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DataBases\"/>
    </mc:Choice>
  </mc:AlternateContent>
  <xr:revisionPtr revIDLastSave="0" documentId="8_{C581EE8B-48BD-4F8B-91CD-F655A971AB49}" xr6:coauthVersionLast="47" xr6:coauthVersionMax="47" xr10:uidLastSave="{00000000-0000-0000-0000-000000000000}"/>
  <bookViews>
    <workbookView xWindow="735" yWindow="735" windowWidth="21600" windowHeight="11430" firstSheet="3" activeTab="5" xr2:uid="{00000000-000D-0000-FFFF-FFFF00000000}"/>
  </bookViews>
  <sheets>
    <sheet name="Gasfield" sheetId="3" r:id="rId1"/>
    <sheet name="Oilfields" sheetId="2" r:id="rId2"/>
    <sheet name="General Oil_Gas_fields" sheetId="4" r:id="rId3"/>
    <sheet name="BD" sheetId="5" r:id="rId4"/>
    <sheet name="Compracion (2)" sheetId="8" r:id="rId5"/>
    <sheet name="Compracion" sheetId="7" r:id="rId6"/>
    <sheet name="GlobalData" sheetId="6" r:id="rId7"/>
    <sheet name="Datos de Imagenes" sheetId="9" r:id="rId8"/>
    <sheet name="Akacias_" sheetId="11" r:id="rId9"/>
    <sheet name="Hoja1" sheetId="10" r:id="rId10"/>
  </sheets>
  <definedNames>
    <definedName name="_xlnm._FilterDatabase" localSheetId="0" hidden="1">Gasfield!$B$4:$R$4</definedName>
    <definedName name="_xlnm._FilterDatabase" localSheetId="1" hidden="1">Oilfields!$B$4:$Q$4</definedName>
    <definedName name="_xlchart.v6.0" hidden="1">'General Oil_Gas_fields'!$K$53</definedName>
    <definedName name="_xlchart.v6.1" hidden="1">'General Oil_Gas_fields'!$K$54:$K$61</definedName>
    <definedName name="_xlchart.v6.10" hidden="1">'General Oil_Gas_fields'!$L$53</definedName>
    <definedName name="_xlchart.v6.11" hidden="1">'General Oil_Gas_fields'!$L$54:$L$61</definedName>
    <definedName name="_xlchart.v6.12" hidden="1">'General Oil_Gas_fields'!$K$53</definedName>
    <definedName name="_xlchart.v6.13" hidden="1">'General Oil_Gas_fields'!$K$54:$K$61</definedName>
    <definedName name="_xlchart.v6.14" hidden="1">'General Oil_Gas_fields'!$N$53</definedName>
    <definedName name="_xlchart.v6.15" hidden="1">'General Oil_Gas_fields'!$N$54:$N$61</definedName>
    <definedName name="_xlchart.v6.2" hidden="1">'General Oil_Gas_fields'!$N$53</definedName>
    <definedName name="_xlchart.v6.3" hidden="1">'General Oil_Gas_fields'!$N$54:$N$61</definedName>
    <definedName name="_xlchart.v6.4" hidden="1">'General Oil_Gas_fields'!$K$53</definedName>
    <definedName name="_xlchart.v6.5" hidden="1">'General Oil_Gas_fields'!$K$54:$K$61</definedName>
    <definedName name="_xlchart.v6.6" hidden="1">'General Oil_Gas_fields'!$L$53</definedName>
    <definedName name="_xlchart.v6.7" hidden="1">'General Oil_Gas_fields'!$L$54:$L$61</definedName>
    <definedName name="_xlchart.v6.8" hidden="1">'General Oil_Gas_fields'!$K$53</definedName>
    <definedName name="_xlchart.v6.9" hidden="1">'General Oil_Gas_fields'!$K$54:$K$61</definedName>
    <definedName name="DatosExternos_1" localSheetId="8" hidden="1">Akacias_!$A$1:$B$14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2" i="9" l="1"/>
  <c r="N28" i="9"/>
  <c r="T1" i="9"/>
  <c r="T2" i="9" s="1"/>
  <c r="L8" i="9"/>
  <c r="N8" i="9" s="1"/>
  <c r="L9" i="9"/>
  <c r="N9" i="9" s="1"/>
  <c r="L10" i="9"/>
  <c r="N10" i="9" s="1"/>
  <c r="L12" i="9"/>
  <c r="L16" i="9"/>
  <c r="N16" i="9" s="1"/>
  <c r="L27" i="9"/>
  <c r="N27" i="9" s="1"/>
  <c r="L28" i="9"/>
  <c r="L4" i="9"/>
  <c r="N4" i="9" s="1"/>
  <c r="M5" i="9"/>
  <c r="M9" i="9"/>
  <c r="P9" i="9" s="1"/>
  <c r="M13" i="9"/>
  <c r="M17" i="9"/>
  <c r="M20" i="9"/>
  <c r="M21" i="9"/>
  <c r="M24" i="9"/>
  <c r="M25" i="9"/>
  <c r="M28" i="9"/>
  <c r="P28" i="9" s="1"/>
  <c r="M29" i="9"/>
  <c r="M32" i="9"/>
  <c r="M33" i="9"/>
  <c r="M36" i="9"/>
  <c r="M37" i="9"/>
  <c r="N1" i="9"/>
  <c r="M4" i="9" s="1"/>
  <c r="P4" i="9" s="1"/>
  <c r="Q6" i="9" l="1"/>
  <c r="Q10" i="9"/>
  <c r="Q14" i="9"/>
  <c r="Q18" i="9"/>
  <c r="Q22" i="9"/>
  <c r="Q26" i="9"/>
  <c r="Q30" i="9"/>
  <c r="Q34" i="9"/>
  <c r="Q4" i="9"/>
  <c r="R4" i="9" s="1"/>
  <c r="Q9" i="9"/>
  <c r="R9" i="9" s="1"/>
  <c r="Q21" i="9"/>
  <c r="Q33" i="9"/>
  <c r="Q7" i="9"/>
  <c r="Q11" i="9"/>
  <c r="Q15" i="9"/>
  <c r="Q19" i="9"/>
  <c r="Q23" i="9"/>
  <c r="Q27" i="9"/>
  <c r="Q31" i="9"/>
  <c r="Q35" i="9"/>
  <c r="Q5" i="9"/>
  <c r="Q17" i="9"/>
  <c r="Q29" i="9"/>
  <c r="Q8" i="9"/>
  <c r="Q12" i="9"/>
  <c r="Q16" i="9"/>
  <c r="Q20" i="9"/>
  <c r="Q24" i="9"/>
  <c r="Q28" i="9"/>
  <c r="R28" i="9" s="1"/>
  <c r="Q32" i="9"/>
  <c r="Q36" i="9"/>
  <c r="Q13" i="9"/>
  <c r="Q25" i="9"/>
  <c r="Q37" i="9"/>
  <c r="M16" i="9"/>
  <c r="P16" i="9" s="1"/>
  <c r="R16" i="9" s="1"/>
  <c r="M12" i="9"/>
  <c r="P12" i="9" s="1"/>
  <c r="M8" i="9"/>
  <c r="P8" i="9" s="1"/>
  <c r="R8" i="9" s="1"/>
  <c r="M35" i="9"/>
  <c r="M31" i="9"/>
  <c r="M27" i="9"/>
  <c r="P27" i="9" s="1"/>
  <c r="R27" i="9" s="1"/>
  <c r="M23" i="9"/>
  <c r="M19" i="9"/>
  <c r="M15" i="9"/>
  <c r="M11" i="9"/>
  <c r="M7" i="9"/>
  <c r="M34" i="9"/>
  <c r="M30" i="9"/>
  <c r="M26" i="9"/>
  <c r="M22" i="9"/>
  <c r="M18" i="9"/>
  <c r="M14" i="9"/>
  <c r="M10" i="9"/>
  <c r="P10" i="9" s="1"/>
  <c r="R10" i="9" s="1"/>
  <c r="M6" i="9"/>
  <c r="R12" i="9" l="1"/>
  <c r="F5" i="9" l="1"/>
  <c r="I5" i="9" s="1"/>
  <c r="F8" i="9"/>
  <c r="I8" i="9" s="1"/>
  <c r="F9" i="9"/>
  <c r="I9" i="9" s="1"/>
  <c r="F10" i="9"/>
  <c r="I10" i="9" s="1"/>
  <c r="F12" i="9"/>
  <c r="I12" i="9" s="1"/>
  <c r="F16" i="9"/>
  <c r="I16" i="9" s="1"/>
  <c r="F25" i="9"/>
  <c r="I25" i="9" s="1"/>
  <c r="F27" i="9"/>
  <c r="I27" i="9" s="1"/>
  <c r="F28" i="9"/>
  <c r="I28" i="9" s="1"/>
  <c r="F36" i="9"/>
  <c r="I36" i="9" s="1"/>
  <c r="F4" i="9"/>
  <c r="I4" i="9" s="1"/>
  <c r="E18" i="9"/>
  <c r="L18" i="9" s="1"/>
  <c r="E5" i="9"/>
  <c r="L5" i="9" s="1"/>
  <c r="N5" i="9" s="1"/>
  <c r="E42" i="9"/>
  <c r="E41" i="9"/>
  <c r="E40" i="9"/>
  <c r="E39" i="9"/>
  <c r="E37" i="9"/>
  <c r="L37" i="9" s="1"/>
  <c r="E36" i="9"/>
  <c r="L36" i="9" s="1"/>
  <c r="E35" i="9"/>
  <c r="L35" i="9" s="1"/>
  <c r="E34" i="9"/>
  <c r="L34" i="9" s="1"/>
  <c r="E33" i="9"/>
  <c r="L33" i="9" s="1"/>
  <c r="E32" i="9"/>
  <c r="L32" i="9" s="1"/>
  <c r="E31" i="9"/>
  <c r="L31" i="9" s="1"/>
  <c r="E30" i="9"/>
  <c r="L30" i="9" s="1"/>
  <c r="E29" i="9"/>
  <c r="L29" i="9" s="1"/>
  <c r="E26" i="9"/>
  <c r="L26" i="9" s="1"/>
  <c r="E25" i="9"/>
  <c r="L25" i="9" s="1"/>
  <c r="E24" i="9"/>
  <c r="L24" i="9" s="1"/>
  <c r="E23" i="9"/>
  <c r="L23" i="9" s="1"/>
  <c r="E22" i="9"/>
  <c r="L22" i="9" s="1"/>
  <c r="E21" i="9"/>
  <c r="L21" i="9" s="1"/>
  <c r="E20" i="9"/>
  <c r="L20" i="9" s="1"/>
  <c r="E19" i="9"/>
  <c r="L19" i="9" s="1"/>
  <c r="E17" i="9"/>
  <c r="L17" i="9" s="1"/>
  <c r="E15" i="9"/>
  <c r="L15" i="9" s="1"/>
  <c r="E14" i="9"/>
  <c r="L14" i="9" s="1"/>
  <c r="E13" i="9"/>
  <c r="L13" i="9" s="1"/>
  <c r="E11" i="9"/>
  <c r="L11" i="9" s="1"/>
  <c r="E7" i="9"/>
  <c r="L7" i="9" s="1"/>
  <c r="E6" i="9"/>
  <c r="L6" i="9" s="1"/>
  <c r="G40" i="6"/>
  <c r="V50" i="7"/>
  <c r="E59" i="8"/>
  <c r="E47" i="8"/>
  <c r="P55" i="8" s="1"/>
  <c r="T45" i="8"/>
  <c r="T46" i="8" s="1"/>
  <c r="T47" i="8" s="1"/>
  <c r="U49" i="8" s="1"/>
  <c r="G43" i="8"/>
  <c r="G42" i="8"/>
  <c r="G41" i="8"/>
  <c r="G40" i="8"/>
  <c r="H39" i="8"/>
  <c r="P38" i="8"/>
  <c r="M38" i="8" s="1"/>
  <c r="Q38" i="8" s="1"/>
  <c r="R38" i="8" s="1"/>
  <c r="G38" i="8"/>
  <c r="S38" i="8" s="1"/>
  <c r="AB37" i="8"/>
  <c r="AA37" i="8"/>
  <c r="AC37" i="8" s="1"/>
  <c r="AD37" i="8" s="1"/>
  <c r="P37" i="8"/>
  <c r="M37" i="8" s="1"/>
  <c r="Q37" i="8" s="1"/>
  <c r="R37" i="8" s="1"/>
  <c r="G37" i="8"/>
  <c r="S37" i="8" s="1"/>
  <c r="AB36" i="8"/>
  <c r="AA36" i="8"/>
  <c r="P36" i="8"/>
  <c r="M36" i="8"/>
  <c r="Q36" i="8" s="1"/>
  <c r="R36" i="8" s="1"/>
  <c r="G36" i="8"/>
  <c r="S36" i="8" s="1"/>
  <c r="AB35" i="8"/>
  <c r="AA35" i="8"/>
  <c r="P35" i="8"/>
  <c r="M35" i="8" s="1"/>
  <c r="Q35" i="8" s="1"/>
  <c r="R35" i="8" s="1"/>
  <c r="G35" i="8"/>
  <c r="I35" i="8" s="1"/>
  <c r="AB34" i="8"/>
  <c r="AA34" i="8"/>
  <c r="P34" i="8"/>
  <c r="M34" i="8" s="1"/>
  <c r="Q34" i="8" s="1"/>
  <c r="R34" i="8" s="1"/>
  <c r="G34" i="8"/>
  <c r="H34" i="8" s="1"/>
  <c r="J34" i="8" s="1"/>
  <c r="AB33" i="8"/>
  <c r="AE33" i="8" s="1"/>
  <c r="AF33" i="8" s="1"/>
  <c r="AA33" i="8"/>
  <c r="P33" i="8"/>
  <c r="M33" i="8" s="1"/>
  <c r="Q33" i="8" s="1"/>
  <c r="R33" i="8" s="1"/>
  <c r="H33" i="8"/>
  <c r="J33" i="8" s="1"/>
  <c r="G33" i="8"/>
  <c r="S33" i="8" s="1"/>
  <c r="AB32" i="8"/>
  <c r="AA32" i="8"/>
  <c r="P32" i="8"/>
  <c r="M32" i="8" s="1"/>
  <c r="Q32" i="8" s="1"/>
  <c r="R32" i="8" s="1"/>
  <c r="G32" i="8"/>
  <c r="S32" i="8" s="1"/>
  <c r="AB31" i="8"/>
  <c r="AA31" i="8"/>
  <c r="P31" i="8"/>
  <c r="M31" i="8" s="1"/>
  <c r="Q31" i="8" s="1"/>
  <c r="R31" i="8" s="1"/>
  <c r="G31" i="8"/>
  <c r="I31" i="8" s="1"/>
  <c r="AB30" i="8"/>
  <c r="AA30" i="8"/>
  <c r="P30" i="8"/>
  <c r="M30" i="8" s="1"/>
  <c r="Q30" i="8" s="1"/>
  <c r="R30" i="8" s="1"/>
  <c r="G30" i="8"/>
  <c r="H30" i="8" s="1"/>
  <c r="J30" i="8" s="1"/>
  <c r="AB29" i="8"/>
  <c r="AA29" i="8"/>
  <c r="AC29" i="8" s="1"/>
  <c r="AD29" i="8" s="1"/>
  <c r="S29" i="8"/>
  <c r="P29" i="8"/>
  <c r="M29" i="8" s="1"/>
  <c r="Q29" i="8" s="1"/>
  <c r="R29" i="8" s="1"/>
  <c r="I29" i="8"/>
  <c r="H29" i="8"/>
  <c r="J29" i="8" s="1"/>
  <c r="AB28" i="8"/>
  <c r="AA28" i="8"/>
  <c r="AE28" i="8" s="1"/>
  <c r="AF28" i="8" s="1"/>
  <c r="S28" i="8"/>
  <c r="P28" i="8"/>
  <c r="M28" i="8" s="1"/>
  <c r="Q28" i="8" s="1"/>
  <c r="I28" i="8"/>
  <c r="H28" i="8"/>
  <c r="J28" i="8" s="1"/>
  <c r="AB27" i="8"/>
  <c r="AA27" i="8"/>
  <c r="P27" i="8"/>
  <c r="M27" i="8"/>
  <c r="Q27" i="8" s="1"/>
  <c r="R27" i="8" s="1"/>
  <c r="G27" i="8"/>
  <c r="AB26" i="8"/>
  <c r="AA26" i="8"/>
  <c r="P26" i="8"/>
  <c r="M26" i="8" s="1"/>
  <c r="Q26" i="8" s="1"/>
  <c r="R26" i="8" s="1"/>
  <c r="G26" i="8"/>
  <c r="I26" i="8" s="1"/>
  <c r="AB25" i="8"/>
  <c r="AA25" i="8"/>
  <c r="P25" i="8"/>
  <c r="M25" i="8" s="1"/>
  <c r="Q25" i="8" s="1"/>
  <c r="R25" i="8" s="1"/>
  <c r="G25" i="8"/>
  <c r="S25" i="8" s="1"/>
  <c r="AB24" i="8"/>
  <c r="AA24" i="8"/>
  <c r="P24" i="8"/>
  <c r="M24" i="8" s="1"/>
  <c r="Q24" i="8" s="1"/>
  <c r="R24" i="8" s="1"/>
  <c r="G24" i="8"/>
  <c r="S24" i="8" s="1"/>
  <c r="AB23" i="8"/>
  <c r="AA23" i="8"/>
  <c r="P23" i="8"/>
  <c r="M23" i="8" s="1"/>
  <c r="Q23" i="8" s="1"/>
  <c r="R23" i="8" s="1"/>
  <c r="G23" i="8"/>
  <c r="S23" i="8" s="1"/>
  <c r="AB22" i="8"/>
  <c r="AA22" i="8"/>
  <c r="P22" i="8"/>
  <c r="M22" i="8" s="1"/>
  <c r="Q22" i="8" s="1"/>
  <c r="R22" i="8" s="1"/>
  <c r="G22" i="8"/>
  <c r="I22" i="8" s="1"/>
  <c r="AB21" i="8"/>
  <c r="AA21" i="8"/>
  <c r="P21" i="8"/>
  <c r="M21" i="8" s="1"/>
  <c r="Q21" i="8" s="1"/>
  <c r="R21" i="8" s="1"/>
  <c r="G21" i="8"/>
  <c r="S21" i="8" s="1"/>
  <c r="AB20" i="8"/>
  <c r="AA20" i="8"/>
  <c r="P20" i="8"/>
  <c r="M20" i="8" s="1"/>
  <c r="Q20" i="8" s="1"/>
  <c r="R20" i="8" s="1"/>
  <c r="G20" i="8"/>
  <c r="S20" i="8" s="1"/>
  <c r="AB19" i="8"/>
  <c r="AA19" i="8"/>
  <c r="P19" i="8"/>
  <c r="M19" i="8"/>
  <c r="Q19" i="8" s="1"/>
  <c r="R19" i="8" s="1"/>
  <c r="G19" i="8"/>
  <c r="S19" i="8" s="1"/>
  <c r="AB18" i="8"/>
  <c r="AA18" i="8"/>
  <c r="P18" i="8"/>
  <c r="M18" i="8" s="1"/>
  <c r="Q18" i="8" s="1"/>
  <c r="R18" i="8" s="1"/>
  <c r="G18" i="8"/>
  <c r="I18" i="8" s="1"/>
  <c r="AB17" i="8"/>
  <c r="AA17" i="8"/>
  <c r="S17" i="8"/>
  <c r="P17" i="8"/>
  <c r="M17" i="8" s="1"/>
  <c r="Q17" i="8" s="1"/>
  <c r="R17" i="8" s="1"/>
  <c r="I17" i="8"/>
  <c r="H17" i="8"/>
  <c r="J17" i="8" s="1"/>
  <c r="AB16" i="8"/>
  <c r="AA16" i="8"/>
  <c r="P16" i="8"/>
  <c r="M16" i="8" s="1"/>
  <c r="Q16" i="8" s="1"/>
  <c r="R16" i="8" s="1"/>
  <c r="G16" i="8"/>
  <c r="S16" i="8" s="1"/>
  <c r="AC15" i="8"/>
  <c r="AD15" i="8" s="1"/>
  <c r="AB15" i="8"/>
  <c r="AA15" i="8"/>
  <c r="P15" i="8"/>
  <c r="M15" i="8" s="1"/>
  <c r="Q15" i="8" s="1"/>
  <c r="R15" i="8" s="1"/>
  <c r="G15" i="8"/>
  <c r="I15" i="8" s="1"/>
  <c r="AB14" i="8"/>
  <c r="AA14" i="8"/>
  <c r="AE14" i="8" s="1"/>
  <c r="AF14" i="8" s="1"/>
  <c r="P14" i="8"/>
  <c r="M14" i="8" s="1"/>
  <c r="Q14" i="8" s="1"/>
  <c r="R14" i="8" s="1"/>
  <c r="G14" i="8"/>
  <c r="H14" i="8" s="1"/>
  <c r="J14" i="8" s="1"/>
  <c r="AB13" i="8"/>
  <c r="AA13" i="8"/>
  <c r="S13" i="8"/>
  <c r="P13" i="8"/>
  <c r="M13" i="8" s="1"/>
  <c r="Q13" i="8" s="1"/>
  <c r="R13" i="8" s="1"/>
  <c r="I13" i="8"/>
  <c r="H13" i="8"/>
  <c r="J13" i="8" s="1"/>
  <c r="AB12" i="8"/>
  <c r="AA12" i="8"/>
  <c r="AE12" i="8" s="1"/>
  <c r="AF12" i="8" s="1"/>
  <c r="P12" i="8"/>
  <c r="M12" i="8" s="1"/>
  <c r="Q12" i="8" s="1"/>
  <c r="R12" i="8" s="1"/>
  <c r="I12" i="8"/>
  <c r="G12" i="8"/>
  <c r="S12" i="8" s="1"/>
  <c r="AB11" i="8"/>
  <c r="AA11" i="8"/>
  <c r="S11" i="8"/>
  <c r="P11" i="8"/>
  <c r="M11" i="8" s="1"/>
  <c r="Q11" i="8" s="1"/>
  <c r="R11" i="8" s="1"/>
  <c r="I11" i="8"/>
  <c r="H11" i="8"/>
  <c r="J11" i="8" s="1"/>
  <c r="AB10" i="8"/>
  <c r="AA10" i="8"/>
  <c r="S10" i="8"/>
  <c r="P10" i="8"/>
  <c r="M10" i="8" s="1"/>
  <c r="Q10" i="8" s="1"/>
  <c r="R10" i="8" s="1"/>
  <c r="I10" i="8"/>
  <c r="H10" i="8"/>
  <c r="J10" i="8" s="1"/>
  <c r="AB9" i="8"/>
  <c r="AA9" i="8"/>
  <c r="S9" i="8"/>
  <c r="P9" i="8"/>
  <c r="M9" i="8" s="1"/>
  <c r="Q9" i="8" s="1"/>
  <c r="R9" i="8" s="1"/>
  <c r="I9" i="8"/>
  <c r="H9" i="8"/>
  <c r="J9" i="8" s="1"/>
  <c r="AB8" i="8"/>
  <c r="AA8" i="8"/>
  <c r="P8" i="8"/>
  <c r="M8" i="8" s="1"/>
  <c r="Q8" i="8" s="1"/>
  <c r="R8" i="8" s="1"/>
  <c r="G8" i="8"/>
  <c r="AB7" i="8"/>
  <c r="AA7" i="8"/>
  <c r="P7" i="8"/>
  <c r="M7" i="8" s="1"/>
  <c r="Q7" i="8" s="1"/>
  <c r="R7" i="8" s="1"/>
  <c r="G7" i="8"/>
  <c r="S7" i="8" s="1"/>
  <c r="F7" i="8"/>
  <c r="E50" i="8" s="1"/>
  <c r="AB6" i="8"/>
  <c r="AA6" i="8"/>
  <c r="P6" i="8"/>
  <c r="M6" i="8" s="1"/>
  <c r="Q6" i="8" s="1"/>
  <c r="R6" i="8" s="1"/>
  <c r="G6" i="8"/>
  <c r="S6" i="8" s="1"/>
  <c r="AB5" i="8"/>
  <c r="AA5" i="8"/>
  <c r="R5" i="8"/>
  <c r="I5" i="8"/>
  <c r="H5" i="8"/>
  <c r="J5" i="8" s="1"/>
  <c r="G1" i="8"/>
  <c r="R56" i="7"/>
  <c r="T6" i="7"/>
  <c r="T7" i="7"/>
  <c r="T8" i="7"/>
  <c r="T9" i="7"/>
  <c r="T10" i="7"/>
  <c r="T11" i="7"/>
  <c r="T12" i="7"/>
  <c r="T13" i="7"/>
  <c r="T14" i="7"/>
  <c r="T15" i="7"/>
  <c r="T16" i="7"/>
  <c r="T17" i="7"/>
  <c r="T18" i="7"/>
  <c r="T19" i="7"/>
  <c r="T20" i="7"/>
  <c r="T21" i="7"/>
  <c r="T22" i="7"/>
  <c r="T23" i="7"/>
  <c r="T24" i="7"/>
  <c r="T25" i="7"/>
  <c r="T26" i="7"/>
  <c r="T27" i="7"/>
  <c r="T29" i="7"/>
  <c r="T30" i="7"/>
  <c r="T31" i="7"/>
  <c r="T32" i="7"/>
  <c r="T33" i="7"/>
  <c r="T34" i="7"/>
  <c r="T35" i="7"/>
  <c r="T36" i="7"/>
  <c r="T37" i="7"/>
  <c r="T38" i="7"/>
  <c r="T5" i="7"/>
  <c r="U9" i="7"/>
  <c r="U10" i="7"/>
  <c r="U11" i="7"/>
  <c r="U13" i="7"/>
  <c r="U17" i="7"/>
  <c r="U28" i="7"/>
  <c r="U29" i="7"/>
  <c r="O7" i="7"/>
  <c r="S7" i="7" s="1"/>
  <c r="O15" i="7"/>
  <c r="S15" i="7" s="1"/>
  <c r="O23" i="7"/>
  <c r="S23" i="7" s="1"/>
  <c r="O31" i="7"/>
  <c r="S31" i="7" s="1"/>
  <c r="O6" i="7"/>
  <c r="S6" i="7" s="1"/>
  <c r="R7" i="7"/>
  <c r="R8" i="7"/>
  <c r="O8" i="7" s="1"/>
  <c r="S8" i="7" s="1"/>
  <c r="R9" i="7"/>
  <c r="O9" i="7" s="1"/>
  <c r="S9" i="7" s="1"/>
  <c r="R10" i="7"/>
  <c r="O10" i="7" s="1"/>
  <c r="S10" i="7" s="1"/>
  <c r="R11" i="7"/>
  <c r="O11" i="7" s="1"/>
  <c r="S11" i="7" s="1"/>
  <c r="R12" i="7"/>
  <c r="O12" i="7" s="1"/>
  <c r="S12" i="7" s="1"/>
  <c r="R13" i="7"/>
  <c r="O13" i="7" s="1"/>
  <c r="S13" i="7" s="1"/>
  <c r="R14" i="7"/>
  <c r="O14" i="7" s="1"/>
  <c r="S14" i="7" s="1"/>
  <c r="R15" i="7"/>
  <c r="R16" i="7"/>
  <c r="O16" i="7" s="1"/>
  <c r="S16" i="7" s="1"/>
  <c r="R17" i="7"/>
  <c r="O17" i="7" s="1"/>
  <c r="S17" i="7" s="1"/>
  <c r="R18" i="7"/>
  <c r="O18" i="7" s="1"/>
  <c r="S18" i="7" s="1"/>
  <c r="R19" i="7"/>
  <c r="O19" i="7" s="1"/>
  <c r="S19" i="7" s="1"/>
  <c r="R20" i="7"/>
  <c r="O20" i="7" s="1"/>
  <c r="S20" i="7" s="1"/>
  <c r="R21" i="7"/>
  <c r="O21" i="7" s="1"/>
  <c r="S21" i="7" s="1"/>
  <c r="R22" i="7"/>
  <c r="O22" i="7" s="1"/>
  <c r="S22" i="7" s="1"/>
  <c r="R23" i="7"/>
  <c r="R24" i="7"/>
  <c r="O24" i="7" s="1"/>
  <c r="S24" i="7" s="1"/>
  <c r="R25" i="7"/>
  <c r="O25" i="7" s="1"/>
  <c r="S25" i="7" s="1"/>
  <c r="R26" i="7"/>
  <c r="O26" i="7" s="1"/>
  <c r="S26" i="7" s="1"/>
  <c r="R27" i="7"/>
  <c r="O27" i="7" s="1"/>
  <c r="S27" i="7" s="1"/>
  <c r="R28" i="7"/>
  <c r="O28" i="7" s="1"/>
  <c r="S28" i="7" s="1"/>
  <c r="R29" i="7"/>
  <c r="O29" i="7" s="1"/>
  <c r="S29" i="7" s="1"/>
  <c r="R30" i="7"/>
  <c r="O30" i="7" s="1"/>
  <c r="S30" i="7" s="1"/>
  <c r="R31" i="7"/>
  <c r="R32" i="7"/>
  <c r="O32" i="7" s="1"/>
  <c r="S32" i="7" s="1"/>
  <c r="R33" i="7"/>
  <c r="O33" i="7" s="1"/>
  <c r="S33" i="7" s="1"/>
  <c r="R34" i="7"/>
  <c r="O34" i="7" s="1"/>
  <c r="S34" i="7" s="1"/>
  <c r="R35" i="7"/>
  <c r="O35" i="7" s="1"/>
  <c r="S35" i="7" s="1"/>
  <c r="R36" i="7"/>
  <c r="O36" i="7" s="1"/>
  <c r="S36" i="7" s="1"/>
  <c r="R37" i="7"/>
  <c r="O37" i="7" s="1"/>
  <c r="S37" i="7" s="1"/>
  <c r="R38" i="7"/>
  <c r="O38" i="7" s="1"/>
  <c r="S38" i="7" s="1"/>
  <c r="R6" i="7"/>
  <c r="P33" i="9" l="1"/>
  <c r="R33" i="9" s="1"/>
  <c r="N33" i="9"/>
  <c r="P6" i="9"/>
  <c r="R6" i="9" s="1"/>
  <c r="N6" i="9"/>
  <c r="P14" i="9"/>
  <c r="R14" i="9" s="1"/>
  <c r="N14" i="9"/>
  <c r="P20" i="9"/>
  <c r="R20" i="9" s="1"/>
  <c r="N20" i="9"/>
  <c r="P24" i="9"/>
  <c r="R24" i="9" s="1"/>
  <c r="N24" i="9"/>
  <c r="P30" i="9"/>
  <c r="R30" i="9" s="1"/>
  <c r="N30" i="9"/>
  <c r="P34" i="9"/>
  <c r="R34" i="9" s="1"/>
  <c r="N34" i="9"/>
  <c r="F32" i="9"/>
  <c r="I32" i="9" s="1"/>
  <c r="F21" i="9"/>
  <c r="I21" i="9" s="1"/>
  <c r="P19" i="9"/>
  <c r="R19" i="9" s="1"/>
  <c r="N19" i="9"/>
  <c r="P29" i="9"/>
  <c r="R29" i="9" s="1"/>
  <c r="N29" i="9"/>
  <c r="P7" i="9"/>
  <c r="R7" i="9" s="1"/>
  <c r="N7" i="9"/>
  <c r="P15" i="9"/>
  <c r="R15" i="9" s="1"/>
  <c r="N15" i="9"/>
  <c r="P21" i="9"/>
  <c r="R21" i="9" s="1"/>
  <c r="N21" i="9"/>
  <c r="P25" i="9"/>
  <c r="R25" i="9" s="1"/>
  <c r="N25" i="9"/>
  <c r="P31" i="9"/>
  <c r="R31" i="9" s="1"/>
  <c r="N31" i="9"/>
  <c r="P35" i="9"/>
  <c r="R35" i="9" s="1"/>
  <c r="N35" i="9"/>
  <c r="P18" i="9"/>
  <c r="R18" i="9" s="1"/>
  <c r="N18" i="9"/>
  <c r="F17" i="9"/>
  <c r="I17" i="9" s="1"/>
  <c r="P13" i="9"/>
  <c r="R13" i="9" s="1"/>
  <c r="N13" i="9"/>
  <c r="P23" i="9"/>
  <c r="R23" i="9" s="1"/>
  <c r="N23" i="9"/>
  <c r="P37" i="9"/>
  <c r="R37" i="9" s="1"/>
  <c r="N37" i="9"/>
  <c r="P11" i="9"/>
  <c r="R11" i="9" s="1"/>
  <c r="N11" i="9"/>
  <c r="P17" i="9"/>
  <c r="R17" i="9" s="1"/>
  <c r="N17" i="9"/>
  <c r="P22" i="9"/>
  <c r="R22" i="9" s="1"/>
  <c r="N22" i="9"/>
  <c r="P26" i="9"/>
  <c r="R26" i="9" s="1"/>
  <c r="N26" i="9"/>
  <c r="P32" i="9"/>
  <c r="R32" i="9" s="1"/>
  <c r="N32" i="9"/>
  <c r="P36" i="9"/>
  <c r="R36" i="9" s="1"/>
  <c r="N36" i="9"/>
  <c r="F37" i="9"/>
  <c r="I37" i="9" s="1"/>
  <c r="F29" i="9"/>
  <c r="I29" i="9" s="1"/>
  <c r="P5" i="9"/>
  <c r="R5" i="9" s="1"/>
  <c r="D47" i="9"/>
  <c r="F20" i="9"/>
  <c r="I20" i="9" s="1"/>
  <c r="F35" i="9"/>
  <c r="I35" i="9" s="1"/>
  <c r="F31" i="9"/>
  <c r="I31" i="9" s="1"/>
  <c r="F23" i="9"/>
  <c r="I23" i="9" s="1"/>
  <c r="F19" i="9"/>
  <c r="I19" i="9" s="1"/>
  <c r="F15" i="9"/>
  <c r="I15" i="9" s="1"/>
  <c r="F11" i="9"/>
  <c r="I11" i="9" s="1"/>
  <c r="F7" i="9"/>
  <c r="I7" i="9" s="1"/>
  <c r="F33" i="9"/>
  <c r="I33" i="9" s="1"/>
  <c r="F13" i="9"/>
  <c r="I13" i="9" s="1"/>
  <c r="F24" i="9"/>
  <c r="I24" i="9" s="1"/>
  <c r="F34" i="9"/>
  <c r="I34" i="9" s="1"/>
  <c r="F30" i="9"/>
  <c r="I30" i="9" s="1"/>
  <c r="F26" i="9"/>
  <c r="I26" i="9" s="1"/>
  <c r="F22" i="9"/>
  <c r="I22" i="9" s="1"/>
  <c r="F18" i="9"/>
  <c r="I18" i="9" s="1"/>
  <c r="F14" i="9"/>
  <c r="I14" i="9" s="1"/>
  <c r="F6" i="9"/>
  <c r="I6" i="9" s="1"/>
  <c r="AE8" i="8"/>
  <c r="AF8" i="8" s="1"/>
  <c r="AE10" i="8"/>
  <c r="AF10" i="8" s="1"/>
  <c r="AE18" i="8"/>
  <c r="AF18" i="8" s="1"/>
  <c r="AE31" i="8"/>
  <c r="AF31" i="8" s="1"/>
  <c r="I33" i="8"/>
  <c r="AE22" i="8"/>
  <c r="AF22" i="8" s="1"/>
  <c r="AE11" i="8"/>
  <c r="AF11" i="8" s="1"/>
  <c r="AC16" i="8"/>
  <c r="AD16" i="8" s="1"/>
  <c r="AC23" i="8"/>
  <c r="AD23" i="8" s="1"/>
  <c r="AE26" i="8"/>
  <c r="AF26" i="8" s="1"/>
  <c r="AE35" i="8"/>
  <c r="AF35" i="8" s="1"/>
  <c r="H7" i="8"/>
  <c r="J7" i="8" s="1"/>
  <c r="H24" i="8"/>
  <c r="J24" i="8" s="1"/>
  <c r="AC25" i="8"/>
  <c r="AD25" i="8" s="1"/>
  <c r="I30" i="8"/>
  <c r="AC30" i="8"/>
  <c r="AD30" i="8" s="1"/>
  <c r="AC34" i="8"/>
  <c r="AD34" i="8" s="1"/>
  <c r="H38" i="8"/>
  <c r="J38" i="8" s="1"/>
  <c r="H6" i="8"/>
  <c r="J6" i="8" s="1"/>
  <c r="AE6" i="8"/>
  <c r="AF6" i="8" s="1"/>
  <c r="I7" i="8"/>
  <c r="AC7" i="8"/>
  <c r="AD7" i="8" s="1"/>
  <c r="H20" i="8"/>
  <c r="J20" i="8" s="1"/>
  <c r="AC21" i="8"/>
  <c r="AD21" i="8" s="1"/>
  <c r="I24" i="8"/>
  <c r="I38" i="8"/>
  <c r="I6" i="8"/>
  <c r="H12" i="8"/>
  <c r="J12" i="8" s="1"/>
  <c r="H15" i="8"/>
  <c r="J15" i="8" s="1"/>
  <c r="AC19" i="8"/>
  <c r="AD19" i="8" s="1"/>
  <c r="I20" i="8"/>
  <c r="H25" i="8"/>
  <c r="J25" i="8" s="1"/>
  <c r="AE5" i="8"/>
  <c r="AF5" i="8" s="1"/>
  <c r="P56" i="8"/>
  <c r="AC12" i="8"/>
  <c r="AD12" i="8" s="1"/>
  <c r="I14" i="8"/>
  <c r="AE15" i="8"/>
  <c r="AF15" i="8" s="1"/>
  <c r="H21" i="8"/>
  <c r="J21" i="8" s="1"/>
  <c r="AE21" i="8"/>
  <c r="AF21" i="8" s="1"/>
  <c r="AC24" i="8"/>
  <c r="AD24" i="8" s="1"/>
  <c r="I25" i="8"/>
  <c r="AE25" i="8"/>
  <c r="AF25" i="8" s="1"/>
  <c r="AC26" i="8"/>
  <c r="AD26" i="8" s="1"/>
  <c r="AC27" i="8"/>
  <c r="AD27" i="8" s="1"/>
  <c r="AC31" i="8"/>
  <c r="AD31" i="8" s="1"/>
  <c r="AC33" i="8"/>
  <c r="AD33" i="8" s="1"/>
  <c r="I34" i="8"/>
  <c r="AC35" i="8"/>
  <c r="AD35" i="8" s="1"/>
  <c r="H37" i="8"/>
  <c r="J37" i="8" s="1"/>
  <c r="T49" i="8"/>
  <c r="AC17" i="8"/>
  <c r="AD17" i="8" s="1"/>
  <c r="AE7" i="8"/>
  <c r="AF7" i="8" s="1"/>
  <c r="AC8" i="8"/>
  <c r="AD8" i="8" s="1"/>
  <c r="AC10" i="8"/>
  <c r="AD10" i="8" s="1"/>
  <c r="AC13" i="8"/>
  <c r="AD13" i="8" s="1"/>
  <c r="AC18" i="8"/>
  <c r="AD18" i="8" s="1"/>
  <c r="AC20" i="8"/>
  <c r="AD20" i="8" s="1"/>
  <c r="I21" i="8"/>
  <c r="AC22" i="8"/>
  <c r="AD22" i="8" s="1"/>
  <c r="AC28" i="8"/>
  <c r="AD28" i="8" s="1"/>
  <c r="AE30" i="8"/>
  <c r="AF30" i="8" s="1"/>
  <c r="AC32" i="8"/>
  <c r="AD32" i="8" s="1"/>
  <c r="AC36" i="8"/>
  <c r="AD36" i="8" s="1"/>
  <c r="I37" i="8"/>
  <c r="I8" i="8"/>
  <c r="H8" i="8"/>
  <c r="J8" i="8" s="1"/>
  <c r="AC6" i="8"/>
  <c r="AD6" i="8" s="1"/>
  <c r="S8" i="8"/>
  <c r="I23" i="8"/>
  <c r="H23" i="8"/>
  <c r="J23" i="8" s="1"/>
  <c r="I36" i="8"/>
  <c r="H36" i="8"/>
  <c r="J36" i="8" s="1"/>
  <c r="I40" i="8"/>
  <c r="H40" i="8"/>
  <c r="J40" i="8" s="1"/>
  <c r="E51" i="8"/>
  <c r="E52" i="8" s="1"/>
  <c r="E54" i="8"/>
  <c r="I27" i="8"/>
  <c r="H27" i="8"/>
  <c r="J27" i="8" s="1"/>
  <c r="I43" i="8"/>
  <c r="H43" i="8"/>
  <c r="J43" i="8" s="1"/>
  <c r="I19" i="8"/>
  <c r="H19" i="8"/>
  <c r="J19" i="8" s="1"/>
  <c r="AE24" i="8"/>
  <c r="AF24" i="8" s="1"/>
  <c r="AE29" i="8"/>
  <c r="AF29" i="8" s="1"/>
  <c r="AE34" i="8"/>
  <c r="AF34" i="8" s="1"/>
  <c r="AE37" i="8"/>
  <c r="AF37" i="8" s="1"/>
  <c r="I41" i="8"/>
  <c r="H41" i="8"/>
  <c r="J41" i="8" s="1"/>
  <c r="AC5" i="8"/>
  <c r="AD5" i="8" s="1"/>
  <c r="AE9" i="8"/>
  <c r="AF9" i="8" s="1"/>
  <c r="AE13" i="8"/>
  <c r="AF13" i="8" s="1"/>
  <c r="I16" i="8"/>
  <c r="H16" i="8"/>
  <c r="J16" i="8" s="1"/>
  <c r="AE17" i="8"/>
  <c r="AF17" i="8" s="1"/>
  <c r="AE20" i="8"/>
  <c r="AF20" i="8" s="1"/>
  <c r="S27" i="8"/>
  <c r="I32" i="8"/>
  <c r="H32" i="8"/>
  <c r="J32" i="8" s="1"/>
  <c r="I42" i="8"/>
  <c r="H42" i="8"/>
  <c r="J42" i="8" s="1"/>
  <c r="E48" i="8"/>
  <c r="G48" i="8" s="1"/>
  <c r="AC9" i="8"/>
  <c r="AD9" i="8" s="1"/>
  <c r="AC11" i="8"/>
  <c r="AD11" i="8" s="1"/>
  <c r="AC14" i="8"/>
  <c r="AD14" i="8" s="1"/>
  <c r="S15" i="8"/>
  <c r="AE16" i="8"/>
  <c r="AF16" i="8" s="1"/>
  <c r="S18" i="8"/>
  <c r="AE19" i="8"/>
  <c r="AF19" i="8" s="1"/>
  <c r="S22" i="8"/>
  <c r="AE23" i="8"/>
  <c r="AF23" i="8" s="1"/>
  <c r="S26" i="8"/>
  <c r="AE27" i="8"/>
  <c r="AF27" i="8" s="1"/>
  <c r="S31" i="8"/>
  <c r="AE32" i="8"/>
  <c r="AF32" i="8" s="1"/>
  <c r="S35" i="8"/>
  <c r="AE36" i="8"/>
  <c r="AF36" i="8" s="1"/>
  <c r="S14" i="8"/>
  <c r="H18" i="8"/>
  <c r="J18" i="8" s="1"/>
  <c r="H22" i="8"/>
  <c r="J22" i="8" s="1"/>
  <c r="H26" i="8"/>
  <c r="J26" i="8" s="1"/>
  <c r="S30" i="8"/>
  <c r="H31" i="8"/>
  <c r="J31" i="8" s="1"/>
  <c r="S34" i="8"/>
  <c r="H35" i="8"/>
  <c r="J35" i="8" s="1"/>
  <c r="E49" i="8"/>
  <c r="G49" i="8" s="1"/>
  <c r="E60" i="8" l="1"/>
  <c r="E55" i="8"/>
  <c r="E56" i="8" s="1"/>
  <c r="E59" i="7" l="1"/>
  <c r="E47" i="7"/>
  <c r="R55" i="7" s="1"/>
  <c r="V45" i="7"/>
  <c r="V46" i="7" s="1"/>
  <c r="V47" i="7" s="1"/>
  <c r="G43" i="7"/>
  <c r="I43" i="7" s="1"/>
  <c r="G42" i="7"/>
  <c r="I42" i="7" s="1"/>
  <c r="G41" i="7"/>
  <c r="H41" i="7" s="1"/>
  <c r="J41" i="7" s="1"/>
  <c r="G40" i="7"/>
  <c r="H40" i="7" s="1"/>
  <c r="J40" i="7" s="1"/>
  <c r="H39" i="7"/>
  <c r="G38" i="7"/>
  <c r="AD37" i="7"/>
  <c r="AC37" i="7"/>
  <c r="G37" i="7"/>
  <c r="AD36" i="7"/>
  <c r="AC36" i="7"/>
  <c r="AG36" i="7" s="1"/>
  <c r="AH36" i="7" s="1"/>
  <c r="G36" i="7"/>
  <c r="AD35" i="7"/>
  <c r="AC35" i="7"/>
  <c r="AG35" i="7" s="1"/>
  <c r="AH35" i="7" s="1"/>
  <c r="G35" i="7"/>
  <c r="AD34" i="7"/>
  <c r="AC34" i="7"/>
  <c r="G34" i="7"/>
  <c r="AD33" i="7"/>
  <c r="AC33" i="7"/>
  <c r="G33" i="7"/>
  <c r="AD32" i="7"/>
  <c r="AC32" i="7"/>
  <c r="G32" i="7"/>
  <c r="AD31" i="7"/>
  <c r="AC31" i="7"/>
  <c r="AG31" i="7" s="1"/>
  <c r="AH31" i="7" s="1"/>
  <c r="G31" i="7"/>
  <c r="AD30" i="7"/>
  <c r="AC30" i="7"/>
  <c r="G30" i="7"/>
  <c r="AD29" i="7"/>
  <c r="AC29" i="7"/>
  <c r="I29" i="7"/>
  <c r="H29" i="7"/>
  <c r="J29" i="7" s="1"/>
  <c r="AD28" i="7"/>
  <c r="AC28" i="7"/>
  <c r="I28" i="7"/>
  <c r="H28" i="7"/>
  <c r="J28" i="7" s="1"/>
  <c r="AD27" i="7"/>
  <c r="AC27" i="7"/>
  <c r="G27" i="7"/>
  <c r="AD26" i="7"/>
  <c r="AC26" i="7"/>
  <c r="G26" i="7"/>
  <c r="AD25" i="7"/>
  <c r="AC25" i="7"/>
  <c r="AE25" i="7" s="1"/>
  <c r="AF25" i="7" s="1"/>
  <c r="G25" i="7"/>
  <c r="AD24" i="7"/>
  <c r="AC24" i="7"/>
  <c r="G24" i="7"/>
  <c r="AD23" i="7"/>
  <c r="AC23" i="7"/>
  <c r="G23" i="7"/>
  <c r="AD22" i="7"/>
  <c r="AC22" i="7"/>
  <c r="AG22" i="7" s="1"/>
  <c r="AH22" i="7" s="1"/>
  <c r="G22" i="7"/>
  <c r="AD21" i="7"/>
  <c r="AC21" i="7"/>
  <c r="AE21" i="7" s="1"/>
  <c r="AF21" i="7" s="1"/>
  <c r="G21" i="7"/>
  <c r="AD20" i="7"/>
  <c r="AC20" i="7"/>
  <c r="G20" i="7"/>
  <c r="AD19" i="7"/>
  <c r="AC19" i="7"/>
  <c r="G19" i="7"/>
  <c r="AD18" i="7"/>
  <c r="AC18" i="7"/>
  <c r="AG18" i="7" s="1"/>
  <c r="AH18" i="7" s="1"/>
  <c r="G18" i="7"/>
  <c r="AD17" i="7"/>
  <c r="AC17" i="7"/>
  <c r="AE17" i="7" s="1"/>
  <c r="AF17" i="7" s="1"/>
  <c r="I17" i="7"/>
  <c r="H17" i="7"/>
  <c r="J17" i="7" s="1"/>
  <c r="AD16" i="7"/>
  <c r="AC16" i="7"/>
  <c r="G16" i="7"/>
  <c r="AD15" i="7"/>
  <c r="AE15" i="7" s="1"/>
  <c r="AF15" i="7" s="1"/>
  <c r="AC15" i="7"/>
  <c r="G15" i="7"/>
  <c r="AD14" i="7"/>
  <c r="AC14" i="7"/>
  <c r="G14" i="7"/>
  <c r="AD13" i="7"/>
  <c r="AC13" i="7"/>
  <c r="I13" i="7"/>
  <c r="H13" i="7"/>
  <c r="J13" i="7" s="1"/>
  <c r="AD12" i="7"/>
  <c r="AC12" i="7"/>
  <c r="G12" i="7"/>
  <c r="AD11" i="7"/>
  <c r="AC11" i="7"/>
  <c r="AG11" i="7" s="1"/>
  <c r="AH11" i="7" s="1"/>
  <c r="I11" i="7"/>
  <c r="H11" i="7"/>
  <c r="J11" i="7" s="1"/>
  <c r="AD10" i="7"/>
  <c r="AC10" i="7"/>
  <c r="I10" i="7"/>
  <c r="H10" i="7"/>
  <c r="J10" i="7" s="1"/>
  <c r="AD9" i="7"/>
  <c r="AC9" i="7"/>
  <c r="I9" i="7"/>
  <c r="H9" i="7"/>
  <c r="J9" i="7" s="1"/>
  <c r="AD8" i="7"/>
  <c r="AC8" i="7"/>
  <c r="AG8" i="7" s="1"/>
  <c r="AH8" i="7" s="1"/>
  <c r="G8" i="7"/>
  <c r="AD7" i="7"/>
  <c r="AC7" i="7"/>
  <c r="G7" i="7"/>
  <c r="F7" i="7"/>
  <c r="E50" i="7" s="1"/>
  <c r="AD6" i="7"/>
  <c r="AC6" i="7"/>
  <c r="G6" i="7"/>
  <c r="AD5" i="7"/>
  <c r="AC5" i="7"/>
  <c r="I5" i="7"/>
  <c r="H5" i="7"/>
  <c r="J5" i="7" s="1"/>
  <c r="G1" i="7"/>
  <c r="M45" i="6"/>
  <c r="M46" i="6" s="1"/>
  <c r="M47" i="6" s="1"/>
  <c r="G1" i="6"/>
  <c r="I9" i="6"/>
  <c r="I10" i="6"/>
  <c r="I11" i="6"/>
  <c r="I13" i="6"/>
  <c r="I17" i="6"/>
  <c r="I28" i="6"/>
  <c r="I29" i="6"/>
  <c r="I5" i="6"/>
  <c r="H9" i="6"/>
  <c r="J9" i="6" s="1"/>
  <c r="H10" i="6"/>
  <c r="J10" i="6" s="1"/>
  <c r="H11" i="6"/>
  <c r="J11" i="6" s="1"/>
  <c r="H13" i="6"/>
  <c r="J13" i="6" s="1"/>
  <c r="H17" i="6"/>
  <c r="J17" i="6" s="1"/>
  <c r="H28" i="6"/>
  <c r="J28" i="6" s="1"/>
  <c r="H29" i="6"/>
  <c r="J29" i="6" s="1"/>
  <c r="H39" i="6"/>
  <c r="H5" i="6"/>
  <c r="J5" i="6" s="1"/>
  <c r="E59" i="6"/>
  <c r="M49" i="6" l="1"/>
  <c r="N49" i="6"/>
  <c r="I8" i="7"/>
  <c r="U8" i="7"/>
  <c r="I16" i="7"/>
  <c r="U16" i="7"/>
  <c r="I35" i="7"/>
  <c r="U35" i="7"/>
  <c r="H15" i="7"/>
  <c r="J15" i="7" s="1"/>
  <c r="U15" i="7"/>
  <c r="I20" i="7"/>
  <c r="U20" i="7"/>
  <c r="I24" i="7"/>
  <c r="U24" i="7"/>
  <c r="H30" i="7"/>
  <c r="J30" i="7" s="1"/>
  <c r="U30" i="7"/>
  <c r="H34" i="7"/>
  <c r="J34" i="7" s="1"/>
  <c r="U34" i="7"/>
  <c r="H38" i="7"/>
  <c r="J38" i="7" s="1"/>
  <c r="U38" i="7"/>
  <c r="I12" i="7"/>
  <c r="U12" i="7"/>
  <c r="I18" i="7"/>
  <c r="U18" i="7"/>
  <c r="I22" i="7"/>
  <c r="U22" i="7"/>
  <c r="I26" i="7"/>
  <c r="U26" i="7"/>
  <c r="H32" i="7"/>
  <c r="J32" i="7" s="1"/>
  <c r="U32" i="7"/>
  <c r="H36" i="7"/>
  <c r="J36" i="7" s="1"/>
  <c r="U36" i="7"/>
  <c r="I21" i="7"/>
  <c r="U21" i="7"/>
  <c r="I25" i="7"/>
  <c r="U25" i="7"/>
  <c r="I31" i="7"/>
  <c r="U31" i="7"/>
  <c r="I6" i="7"/>
  <c r="U6" i="7"/>
  <c r="H7" i="7"/>
  <c r="J7" i="7" s="1"/>
  <c r="U7" i="7"/>
  <c r="I14" i="7"/>
  <c r="U14" i="7"/>
  <c r="I19" i="7"/>
  <c r="U19" i="7"/>
  <c r="I23" i="7"/>
  <c r="U23" i="7"/>
  <c r="I27" i="7"/>
  <c r="U27" i="7"/>
  <c r="I33" i="7"/>
  <c r="U33" i="7"/>
  <c r="I37" i="7"/>
  <c r="U37" i="7"/>
  <c r="AG6" i="7"/>
  <c r="AH6" i="7" s="1"/>
  <c r="AG7" i="7"/>
  <c r="AH7" i="7" s="1"/>
  <c r="AE32" i="7"/>
  <c r="AF32" i="7" s="1"/>
  <c r="AE5" i="7"/>
  <c r="AF5" i="7" s="1"/>
  <c r="AG24" i="7"/>
  <c r="AH24" i="7" s="1"/>
  <c r="AG30" i="7"/>
  <c r="AH30" i="7" s="1"/>
  <c r="AG34" i="7"/>
  <c r="AH34" i="7" s="1"/>
  <c r="I41" i="7"/>
  <c r="AE7" i="7"/>
  <c r="AF7" i="7" s="1"/>
  <c r="AE23" i="7"/>
  <c r="AF23" i="7" s="1"/>
  <c r="AG29" i="7"/>
  <c r="AH29" i="7" s="1"/>
  <c r="AG37" i="7"/>
  <c r="AH37" i="7" s="1"/>
  <c r="AE13" i="7"/>
  <c r="AF13" i="7" s="1"/>
  <c r="AE36" i="7"/>
  <c r="AF36" i="7" s="1"/>
  <c r="H6" i="7"/>
  <c r="J6" i="7" s="1"/>
  <c r="AE10" i="7"/>
  <c r="AF10" i="7" s="1"/>
  <c r="H24" i="7"/>
  <c r="J24" i="7" s="1"/>
  <c r="H25" i="7"/>
  <c r="J25" i="7" s="1"/>
  <c r="AG26" i="7"/>
  <c r="AH26" i="7" s="1"/>
  <c r="AE28" i="7"/>
  <c r="AF28" i="7" s="1"/>
  <c r="AG32" i="7"/>
  <c r="AH32" i="7" s="1"/>
  <c r="AG33" i="7"/>
  <c r="AH33" i="7" s="1"/>
  <c r="I38" i="7"/>
  <c r="H22" i="7"/>
  <c r="J22" i="7" s="1"/>
  <c r="H27" i="7"/>
  <c r="J27" i="7" s="1"/>
  <c r="I15" i="7"/>
  <c r="H20" i="7"/>
  <c r="J20" i="7" s="1"/>
  <c r="AE30" i="7"/>
  <c r="AF30" i="7" s="1"/>
  <c r="AE34" i="7"/>
  <c r="AF34" i="7" s="1"/>
  <c r="E48" i="7"/>
  <c r="G48" i="7" s="1"/>
  <c r="H43" i="7"/>
  <c r="J43" i="7" s="1"/>
  <c r="I7" i="7"/>
  <c r="AE11" i="7"/>
  <c r="AF11" i="7" s="1"/>
  <c r="H26" i="7"/>
  <c r="J26" i="7" s="1"/>
  <c r="H31" i="7"/>
  <c r="J31" i="7" s="1"/>
  <c r="I32" i="7"/>
  <c r="H35" i="7"/>
  <c r="J35" i="7" s="1"/>
  <c r="I36" i="7"/>
  <c r="AE9" i="7"/>
  <c r="AF9" i="7" s="1"/>
  <c r="AG10" i="7"/>
  <c r="AH10" i="7" s="1"/>
  <c r="AE12" i="7"/>
  <c r="AF12" i="7" s="1"/>
  <c r="AG13" i="7"/>
  <c r="AH13" i="7" s="1"/>
  <c r="AG14" i="7"/>
  <c r="AH14" i="7" s="1"/>
  <c r="AG15" i="7"/>
  <c r="AH15" i="7" s="1"/>
  <c r="AE16" i="7"/>
  <c r="AF16" i="7" s="1"/>
  <c r="H18" i="7"/>
  <c r="J18" i="7" s="1"/>
  <c r="AE19" i="7"/>
  <c r="AF19" i="7" s="1"/>
  <c r="AG20" i="7"/>
  <c r="AH20" i="7" s="1"/>
  <c r="AE27" i="7"/>
  <c r="AF27" i="7" s="1"/>
  <c r="AG28" i="7"/>
  <c r="AH28" i="7" s="1"/>
  <c r="I30" i="7"/>
  <c r="H33" i="7"/>
  <c r="J33" i="7" s="1"/>
  <c r="I34" i="7"/>
  <c r="H37" i="7"/>
  <c r="J37" i="7" s="1"/>
  <c r="H42" i="7"/>
  <c r="J42" i="7" s="1"/>
  <c r="W49" i="7"/>
  <c r="V49" i="7"/>
  <c r="E49" i="7"/>
  <c r="G49" i="7" s="1"/>
  <c r="E54" i="7"/>
  <c r="E51" i="7"/>
  <c r="E52" i="7" s="1"/>
  <c r="I40" i="7"/>
  <c r="AG5" i="7"/>
  <c r="AH5" i="7" s="1"/>
  <c r="AE6" i="7"/>
  <c r="AF6" i="7" s="1"/>
  <c r="H8" i="7"/>
  <c r="J8" i="7" s="1"/>
  <c r="AG9" i="7"/>
  <c r="AH9" i="7" s="1"/>
  <c r="AG12" i="7"/>
  <c r="AH12" i="7" s="1"/>
  <c r="H14" i="7"/>
  <c r="J14" i="7" s="1"/>
  <c r="H16" i="7"/>
  <c r="J16" i="7" s="1"/>
  <c r="AG17" i="7"/>
  <c r="AH17" i="7" s="1"/>
  <c r="AE18" i="7"/>
  <c r="AF18" i="7" s="1"/>
  <c r="AG19" i="7"/>
  <c r="AH19" i="7" s="1"/>
  <c r="AE20" i="7"/>
  <c r="AF20" i="7" s="1"/>
  <c r="AG21" i="7"/>
  <c r="AH21" i="7" s="1"/>
  <c r="AE22" i="7"/>
  <c r="AF22" i="7" s="1"/>
  <c r="AG23" i="7"/>
  <c r="AH23" i="7" s="1"/>
  <c r="AE24" i="7"/>
  <c r="AF24" i="7" s="1"/>
  <c r="AG25" i="7"/>
  <c r="AH25" i="7" s="1"/>
  <c r="AE26" i="7"/>
  <c r="AF26" i="7" s="1"/>
  <c r="AG27" i="7"/>
  <c r="AH27" i="7" s="1"/>
  <c r="AE29" i="7"/>
  <c r="AF29" i="7" s="1"/>
  <c r="AE31" i="7"/>
  <c r="AF31" i="7" s="1"/>
  <c r="AE33" i="7"/>
  <c r="AF33" i="7" s="1"/>
  <c r="AE35" i="7"/>
  <c r="AF35" i="7" s="1"/>
  <c r="AE37" i="7"/>
  <c r="AF37" i="7" s="1"/>
  <c r="AG16" i="7"/>
  <c r="AH16" i="7" s="1"/>
  <c r="AE8" i="7"/>
  <c r="AF8" i="7" s="1"/>
  <c r="H12" i="7"/>
  <c r="J12" i="7" s="1"/>
  <c r="AE14" i="7"/>
  <c r="AF14" i="7" s="1"/>
  <c r="H19" i="7"/>
  <c r="J19" i="7" s="1"/>
  <c r="H21" i="7"/>
  <c r="J21" i="7" s="1"/>
  <c r="H23" i="7"/>
  <c r="J23" i="7" s="1"/>
  <c r="E47" i="6"/>
  <c r="G42" i="6"/>
  <c r="G43" i="6"/>
  <c r="G41" i="6"/>
  <c r="E60" i="7" l="1"/>
  <c r="E55" i="7"/>
  <c r="E56" i="7" s="1"/>
  <c r="H43" i="6"/>
  <c r="J43" i="6" s="1"/>
  <c r="I43" i="6"/>
  <c r="H42" i="6"/>
  <c r="J42" i="6" s="1"/>
  <c r="I42" i="6"/>
  <c r="H40" i="6"/>
  <c r="J40" i="6" s="1"/>
  <c r="I40" i="6"/>
  <c r="H41" i="6"/>
  <c r="J41" i="6" s="1"/>
  <c r="I41" i="6"/>
  <c r="G38" i="6" l="1"/>
  <c r="T33" i="6"/>
  <c r="U33" i="6"/>
  <c r="X33" i="6" s="1"/>
  <c r="Y33" i="6" s="1"/>
  <c r="T34" i="6"/>
  <c r="U34" i="6"/>
  <c r="T35" i="6"/>
  <c r="U35" i="6"/>
  <c r="T36" i="6"/>
  <c r="U36" i="6"/>
  <c r="T37" i="6"/>
  <c r="U37" i="6"/>
  <c r="G37" i="6"/>
  <c r="G36" i="6"/>
  <c r="G35" i="6"/>
  <c r="G34" i="6"/>
  <c r="G33" i="6"/>
  <c r="G32" i="6"/>
  <c r="T32" i="6"/>
  <c r="U32" i="6"/>
  <c r="G31" i="6"/>
  <c r="T31" i="6"/>
  <c r="U31" i="6"/>
  <c r="G30" i="6"/>
  <c r="T30" i="6"/>
  <c r="U30" i="6"/>
  <c r="T29" i="6"/>
  <c r="U29" i="6"/>
  <c r="T27" i="6"/>
  <c r="U27" i="6"/>
  <c r="T28" i="6"/>
  <c r="U28" i="6"/>
  <c r="G27" i="6"/>
  <c r="G26" i="6"/>
  <c r="T26" i="6"/>
  <c r="U26" i="6"/>
  <c r="G25" i="6"/>
  <c r="T25" i="6"/>
  <c r="U25" i="6"/>
  <c r="G24" i="6"/>
  <c r="T24" i="6"/>
  <c r="U24" i="6"/>
  <c r="G23" i="6"/>
  <c r="T23" i="6"/>
  <c r="U23" i="6"/>
  <c r="T21" i="6"/>
  <c r="U21" i="6"/>
  <c r="T22" i="6"/>
  <c r="U22" i="6"/>
  <c r="G22" i="6"/>
  <c r="G21" i="6"/>
  <c r="G20" i="6"/>
  <c r="T20" i="6"/>
  <c r="U20" i="6"/>
  <c r="T19" i="6"/>
  <c r="U19" i="6"/>
  <c r="G19" i="6"/>
  <c r="G18" i="6"/>
  <c r="T18" i="6"/>
  <c r="U18" i="6"/>
  <c r="T17" i="6"/>
  <c r="U17" i="6"/>
  <c r="G16" i="6"/>
  <c r="T16" i="6"/>
  <c r="U16" i="6"/>
  <c r="G15" i="6"/>
  <c r="T15" i="6"/>
  <c r="U15" i="6"/>
  <c r="T14" i="6"/>
  <c r="U14" i="6"/>
  <c r="G14" i="6"/>
  <c r="T13" i="6"/>
  <c r="U13" i="6"/>
  <c r="G12" i="6"/>
  <c r="T12" i="6"/>
  <c r="U12" i="6"/>
  <c r="T11" i="6"/>
  <c r="U11" i="6"/>
  <c r="T10" i="6"/>
  <c r="U10" i="6"/>
  <c r="T9" i="6"/>
  <c r="U9" i="6"/>
  <c r="G8" i="6"/>
  <c r="T8" i="6"/>
  <c r="U8" i="6"/>
  <c r="F7" i="6"/>
  <c r="G7" i="6"/>
  <c r="T7" i="6"/>
  <c r="U7" i="6"/>
  <c r="T6" i="6"/>
  <c r="U6" i="6"/>
  <c r="U5" i="6"/>
  <c r="T5" i="6"/>
  <c r="G6" i="6"/>
  <c r="L36" i="5"/>
  <c r="K36" i="5"/>
  <c r="I37" i="5"/>
  <c r="K37" i="5" s="1"/>
  <c r="L37" i="5" s="1"/>
  <c r="I38" i="5"/>
  <c r="K38" i="5" s="1"/>
  <c r="L38" i="5" s="1"/>
  <c r="I39" i="5"/>
  <c r="K39" i="5" s="1"/>
  <c r="L39" i="5" s="1"/>
  <c r="I40" i="5"/>
  <c r="K40" i="5" s="1"/>
  <c r="L40" i="5" s="1"/>
  <c r="I41" i="5"/>
  <c r="K41" i="5" s="1"/>
  <c r="L41" i="5" s="1"/>
  <c r="I42" i="5"/>
  <c r="K42" i="5" s="1"/>
  <c r="L42" i="5" s="1"/>
  <c r="I43" i="5"/>
  <c r="K43" i="5" s="1"/>
  <c r="L43" i="5" s="1"/>
  <c r="I44" i="5"/>
  <c r="K44" i="5" s="1"/>
  <c r="L44" i="5" s="1"/>
  <c r="I45" i="5"/>
  <c r="K45" i="5" s="1"/>
  <c r="L45" i="5" s="1"/>
  <c r="I46" i="5"/>
  <c r="K46" i="5" s="1"/>
  <c r="L46" i="5" s="1"/>
  <c r="I47" i="5"/>
  <c r="K47" i="5" s="1"/>
  <c r="L47" i="5" s="1"/>
  <c r="I48" i="5"/>
  <c r="K48" i="5" s="1"/>
  <c r="L48" i="5" s="1"/>
  <c r="I36" i="5"/>
  <c r="H7" i="6" l="1"/>
  <c r="J7" i="6" s="1"/>
  <c r="I7" i="6"/>
  <c r="H8" i="6"/>
  <c r="J8" i="6" s="1"/>
  <c r="I8" i="6"/>
  <c r="H14" i="6"/>
  <c r="J14" i="6" s="1"/>
  <c r="I14" i="6"/>
  <c r="H16" i="6"/>
  <c r="J16" i="6" s="1"/>
  <c r="I16" i="6"/>
  <c r="H21" i="6"/>
  <c r="J21" i="6" s="1"/>
  <c r="I21" i="6"/>
  <c r="H23" i="6"/>
  <c r="J23" i="6" s="1"/>
  <c r="I23" i="6"/>
  <c r="H30" i="6"/>
  <c r="J30" i="6" s="1"/>
  <c r="I30" i="6"/>
  <c r="H34" i="6"/>
  <c r="J34" i="6" s="1"/>
  <c r="I34" i="6"/>
  <c r="H6" i="6"/>
  <c r="J6" i="6" s="1"/>
  <c r="I6" i="6"/>
  <c r="E50" i="6"/>
  <c r="H12" i="6"/>
  <c r="J12" i="6" s="1"/>
  <c r="I12" i="6"/>
  <c r="H15" i="6"/>
  <c r="J15" i="6" s="1"/>
  <c r="I15" i="6"/>
  <c r="H18" i="6"/>
  <c r="J18" i="6" s="1"/>
  <c r="I18" i="6"/>
  <c r="H22" i="6"/>
  <c r="J22" i="6" s="1"/>
  <c r="I22" i="6"/>
  <c r="H26" i="6"/>
  <c r="J26" i="6" s="1"/>
  <c r="I26" i="6"/>
  <c r="H35" i="6"/>
  <c r="J35" i="6" s="1"/>
  <c r="I35" i="6"/>
  <c r="H19" i="6"/>
  <c r="J19" i="6" s="1"/>
  <c r="I19" i="6"/>
  <c r="H25" i="6"/>
  <c r="J25" i="6" s="1"/>
  <c r="I25" i="6"/>
  <c r="H27" i="6"/>
  <c r="J27" i="6" s="1"/>
  <c r="I27" i="6"/>
  <c r="H32" i="6"/>
  <c r="J32" i="6" s="1"/>
  <c r="I32" i="6"/>
  <c r="H36" i="6"/>
  <c r="J36" i="6" s="1"/>
  <c r="I36" i="6"/>
  <c r="H38" i="6"/>
  <c r="J38" i="6" s="1"/>
  <c r="I38" i="6"/>
  <c r="H20" i="6"/>
  <c r="J20" i="6" s="1"/>
  <c r="I20" i="6"/>
  <c r="H24" i="6"/>
  <c r="J24" i="6" s="1"/>
  <c r="I24" i="6"/>
  <c r="H31" i="6"/>
  <c r="J31" i="6" s="1"/>
  <c r="I31" i="6"/>
  <c r="H33" i="6"/>
  <c r="J33" i="6" s="1"/>
  <c r="I33" i="6"/>
  <c r="H37" i="6"/>
  <c r="J37" i="6" s="1"/>
  <c r="I37" i="6"/>
  <c r="X10" i="6"/>
  <c r="Y10" i="6" s="1"/>
  <c r="X18" i="6"/>
  <c r="Y18" i="6" s="1"/>
  <c r="X37" i="6"/>
  <c r="Y37" i="6" s="1"/>
  <c r="V17" i="6"/>
  <c r="W17" i="6" s="1"/>
  <c r="X36" i="6"/>
  <c r="Y36" i="6" s="1"/>
  <c r="X17" i="6"/>
  <c r="Y17" i="6" s="1"/>
  <c r="V22" i="6"/>
  <c r="W22" i="6" s="1"/>
  <c r="V5" i="6"/>
  <c r="W5" i="6" s="1"/>
  <c r="X21" i="6"/>
  <c r="Y21" i="6" s="1"/>
  <c r="X25" i="6"/>
  <c r="Y25" i="6" s="1"/>
  <c r="V9" i="6"/>
  <c r="W9" i="6" s="1"/>
  <c r="V35" i="6"/>
  <c r="W35" i="6" s="1"/>
  <c r="V19" i="6"/>
  <c r="W19" i="6" s="1"/>
  <c r="V32" i="6"/>
  <c r="W32" i="6" s="1"/>
  <c r="V33" i="6"/>
  <c r="W33" i="6" s="1"/>
  <c r="V13" i="6"/>
  <c r="W13" i="6" s="1"/>
  <c r="X26" i="6"/>
  <c r="Y26" i="6" s="1"/>
  <c r="V30" i="6"/>
  <c r="W30" i="6" s="1"/>
  <c r="X35" i="6"/>
  <c r="Y35" i="6" s="1"/>
  <c r="V7" i="6"/>
  <c r="W7" i="6" s="1"/>
  <c r="V27" i="6"/>
  <c r="W27" i="6" s="1"/>
  <c r="V31" i="6"/>
  <c r="W31" i="6" s="1"/>
  <c r="X11" i="6"/>
  <c r="Y11" i="6" s="1"/>
  <c r="X15" i="6"/>
  <c r="Y15" i="6" s="1"/>
  <c r="X23" i="6"/>
  <c r="Y23" i="6" s="1"/>
  <c r="X27" i="6"/>
  <c r="Y27" i="6" s="1"/>
  <c r="X29" i="6"/>
  <c r="Y29" i="6" s="1"/>
  <c r="X32" i="6"/>
  <c r="Y32" i="6" s="1"/>
  <c r="V37" i="6"/>
  <c r="W37" i="6" s="1"/>
  <c r="V34" i="6"/>
  <c r="W34" i="6" s="1"/>
  <c r="X13" i="6"/>
  <c r="Y13" i="6" s="1"/>
  <c r="V15" i="6"/>
  <c r="W15" i="6" s="1"/>
  <c r="V28" i="6"/>
  <c r="W28" i="6" s="1"/>
  <c r="X31" i="6"/>
  <c r="Y31" i="6" s="1"/>
  <c r="E48" i="6"/>
  <c r="E49" i="6" s="1"/>
  <c r="V8" i="6"/>
  <c r="W8" i="6" s="1"/>
  <c r="V11" i="6"/>
  <c r="W11" i="6" s="1"/>
  <c r="V14" i="6"/>
  <c r="W14" i="6" s="1"/>
  <c r="X19" i="6"/>
  <c r="Y19" i="6" s="1"/>
  <c r="X22" i="6"/>
  <c r="Y22" i="6" s="1"/>
  <c r="V21" i="6"/>
  <c r="W21" i="6" s="1"/>
  <c r="V23" i="6"/>
  <c r="W23" i="6" s="1"/>
  <c r="V24" i="6"/>
  <c r="W24" i="6" s="1"/>
  <c r="V25" i="6"/>
  <c r="W25" i="6" s="1"/>
  <c r="X34" i="6"/>
  <c r="Y34" i="6" s="1"/>
  <c r="X8" i="6"/>
  <c r="Y8" i="6" s="1"/>
  <c r="X12" i="6"/>
  <c r="Y12" i="6" s="1"/>
  <c r="V18" i="6"/>
  <c r="W18" i="6" s="1"/>
  <c r="V29" i="6"/>
  <c r="W29" i="6" s="1"/>
  <c r="V36" i="6"/>
  <c r="W36" i="6" s="1"/>
  <c r="X30" i="6"/>
  <c r="Y30" i="6" s="1"/>
  <c r="X28" i="6"/>
  <c r="Y28" i="6" s="1"/>
  <c r="V26" i="6"/>
  <c r="W26" i="6" s="1"/>
  <c r="X24" i="6"/>
  <c r="Y24" i="6" s="1"/>
  <c r="V20" i="6"/>
  <c r="W20" i="6" s="1"/>
  <c r="X20" i="6"/>
  <c r="Y20" i="6" s="1"/>
  <c r="V16" i="6"/>
  <c r="W16" i="6" s="1"/>
  <c r="X16" i="6"/>
  <c r="Y16" i="6" s="1"/>
  <c r="X14" i="6"/>
  <c r="Y14" i="6" s="1"/>
  <c r="V12" i="6"/>
  <c r="W12" i="6" s="1"/>
  <c r="V6" i="6"/>
  <c r="W6" i="6" s="1"/>
  <c r="X7" i="6"/>
  <c r="Y7" i="6" s="1"/>
  <c r="X9" i="6"/>
  <c r="Y9" i="6" s="1"/>
  <c r="V10" i="6"/>
  <c r="W10" i="6" s="1"/>
  <c r="X6" i="6"/>
  <c r="Y6" i="6" s="1"/>
  <c r="X5" i="6"/>
  <c r="Y5" i="6" s="1"/>
  <c r="I49" i="5"/>
  <c r="E54" i="6" l="1"/>
  <c r="E51" i="6"/>
  <c r="E52" i="6" s="1"/>
  <c r="E60" i="6"/>
  <c r="E55" i="6"/>
  <c r="E56" i="6" s="1"/>
  <c r="G49" i="6"/>
  <c r="G48" i="6"/>
  <c r="T11" i="5"/>
  <c r="T12" i="5"/>
  <c r="T13" i="5"/>
  <c r="T14" i="5"/>
  <c r="T15" i="5"/>
  <c r="T16" i="5"/>
  <c r="T17" i="5"/>
  <c r="T18" i="5"/>
  <c r="T19" i="5"/>
  <c r="T20" i="5"/>
  <c r="T21" i="5"/>
  <c r="T22" i="5"/>
  <c r="T23" i="5"/>
  <c r="T24" i="5"/>
  <c r="T25" i="5"/>
  <c r="T26" i="5"/>
  <c r="T27" i="5"/>
  <c r="T28" i="5"/>
  <c r="T29" i="5"/>
  <c r="T10" i="5"/>
  <c r="W22" i="5"/>
  <c r="W23" i="5"/>
  <c r="W24" i="5"/>
  <c r="W25" i="5"/>
  <c r="W26" i="5"/>
  <c r="W27" i="5"/>
  <c r="W28" i="5"/>
  <c r="W21" i="5" l="1"/>
  <c r="W20" i="5"/>
  <c r="M18" i="4"/>
  <c r="W18" i="5"/>
  <c r="W17" i="5"/>
  <c r="W16" i="5"/>
  <c r="W15" i="5"/>
  <c r="W14" i="5"/>
  <c r="W11" i="5"/>
  <c r="U19" i="5"/>
  <c r="W19" i="5" s="1"/>
  <c r="U13" i="5"/>
  <c r="W13" i="5" s="1"/>
  <c r="U12" i="5"/>
  <c r="W12" i="5" s="1"/>
  <c r="U10" i="5"/>
  <c r="W10" i="5" s="1"/>
  <c r="V122" i="4"/>
  <c r="U122" i="4"/>
  <c r="V121" i="4"/>
  <c r="U121" i="4"/>
  <c r="V120" i="4"/>
  <c r="U120" i="4"/>
  <c r="V119" i="4"/>
  <c r="U119" i="4"/>
  <c r="V118" i="4"/>
  <c r="U118" i="4"/>
  <c r="V117" i="4"/>
  <c r="U117" i="4"/>
  <c r="V113" i="4"/>
  <c r="U113" i="4"/>
  <c r="V112" i="4"/>
  <c r="U112" i="4"/>
  <c r="V111" i="4"/>
  <c r="U111" i="4"/>
  <c r="V110" i="4"/>
  <c r="U110" i="4"/>
  <c r="V109" i="4"/>
  <c r="U109" i="4"/>
  <c r="V108" i="4"/>
  <c r="U108" i="4"/>
  <c r="T87" i="4"/>
  <c r="U87" i="4" s="1"/>
  <c r="R87" i="4"/>
  <c r="S87" i="4" s="1"/>
  <c r="T86" i="4"/>
  <c r="R86" i="4"/>
  <c r="S84" i="4" s="1"/>
  <c r="T84" i="4"/>
  <c r="U84" i="4" s="1"/>
  <c r="T83" i="4"/>
  <c r="U83" i="4" s="1"/>
  <c r="R83" i="4"/>
  <c r="S83" i="4" s="1"/>
  <c r="T82" i="4"/>
  <c r="U82" i="4" s="1"/>
  <c r="R82" i="4"/>
  <c r="S82" i="4" s="1"/>
  <c r="T81" i="4"/>
  <c r="U81" i="4" s="1"/>
  <c r="R81" i="4"/>
  <c r="S81" i="4" s="1"/>
  <c r="U80" i="4"/>
  <c r="S80" i="4"/>
  <c r="R80" i="4"/>
  <c r="T79" i="4"/>
  <c r="U79" i="4" s="1"/>
  <c r="S79" i="4"/>
  <c r="R79" i="4"/>
  <c r="T78" i="4"/>
  <c r="U78" i="4" s="1"/>
  <c r="S78" i="4"/>
  <c r="R78" i="4"/>
  <c r="T77" i="4"/>
  <c r="U77" i="4" s="1"/>
  <c r="S77" i="4"/>
  <c r="R77" i="4"/>
  <c r="R85" i="4" s="1"/>
  <c r="S85" i="4" s="1"/>
  <c r="T72" i="4"/>
  <c r="U68" i="4" s="1"/>
  <c r="R71" i="4"/>
  <c r="R72" i="4" s="1"/>
  <c r="T70" i="4"/>
  <c r="U70" i="4" s="1"/>
  <c r="T69" i="4"/>
  <c r="U69" i="4" s="1"/>
  <c r="L69" i="4"/>
  <c r="T68" i="4"/>
  <c r="L61" i="4"/>
  <c r="R48" i="4"/>
  <c r="R47" i="4"/>
  <c r="R46" i="4"/>
  <c r="R45" i="4"/>
  <c r="R49" i="4" s="1"/>
  <c r="T62" i="4"/>
  <c r="R62" i="4"/>
  <c r="T19" i="4"/>
  <c r="S19" i="4"/>
  <c r="T18" i="4"/>
  <c r="N84" i="4" s="1"/>
  <c r="O84" i="4" s="1"/>
  <c r="S18" i="4"/>
  <c r="L84" i="4" s="1"/>
  <c r="N61" i="4"/>
  <c r="T17" i="4"/>
  <c r="N17" i="4"/>
  <c r="S17" i="4"/>
  <c r="T16" i="4"/>
  <c r="S16" i="4"/>
  <c r="T15" i="4"/>
  <c r="S15" i="4"/>
  <c r="T14" i="4"/>
  <c r="N60" i="4"/>
  <c r="L60" i="4"/>
  <c r="T13" i="4"/>
  <c r="N82" i="4" s="1"/>
  <c r="O82" i="4" s="1"/>
  <c r="N59" i="4"/>
  <c r="S13" i="4"/>
  <c r="L82" i="4" s="1"/>
  <c r="T12" i="4"/>
  <c r="N81" i="4" s="1"/>
  <c r="O81" i="4" s="1"/>
  <c r="N58" i="4"/>
  <c r="L58" i="4"/>
  <c r="T11" i="4"/>
  <c r="N80" i="4" s="1"/>
  <c r="O80" i="4" s="1"/>
  <c r="N57" i="4"/>
  <c r="L57" i="4"/>
  <c r="T10" i="4"/>
  <c r="N79" i="4" s="1"/>
  <c r="O79" i="4" s="1"/>
  <c r="N56" i="4"/>
  <c r="L56" i="4"/>
  <c r="T9" i="4"/>
  <c r="N78" i="4" s="1"/>
  <c r="O78" i="4" s="1"/>
  <c r="N9" i="4"/>
  <c r="N55" i="4"/>
  <c r="L68" i="4"/>
  <c r="T8" i="4"/>
  <c r="N8" i="4"/>
  <c r="S8" i="4"/>
  <c r="T7" i="4"/>
  <c r="S7" i="4"/>
  <c r="N7" i="4"/>
  <c r="N70" i="4"/>
  <c r="T6" i="4"/>
  <c r="S6" i="4"/>
  <c r="T5" i="4"/>
  <c r="N77" i="4" s="1"/>
  <c r="N5" i="4"/>
  <c r="L54" i="4"/>
  <c r="N88" i="4"/>
  <c r="O88" i="4" s="1"/>
  <c r="N83" i="4" l="1"/>
  <c r="O83" i="4" s="1"/>
  <c r="T63" i="4"/>
  <c r="S48" i="4"/>
  <c r="S47" i="4"/>
  <c r="S46" i="4"/>
  <c r="S45" i="4"/>
  <c r="R63" i="4"/>
  <c r="S68" i="4"/>
  <c r="S69" i="4"/>
  <c r="S71" i="4"/>
  <c r="S70" i="4"/>
  <c r="K5" i="4" a="1"/>
  <c r="S10" i="4"/>
  <c r="L79" i="4" s="1"/>
  <c r="S11" i="4"/>
  <c r="L80" i="4" s="1"/>
  <c r="N69" i="4"/>
  <c r="T85" i="4"/>
  <c r="U85" i="4" s="1"/>
  <c r="N86" i="4"/>
  <c r="O86" i="4" s="1"/>
  <c r="S5" i="4"/>
  <c r="S12" i="4"/>
  <c r="L81" i="4" s="1"/>
  <c r="L4" i="4"/>
  <c r="S9" i="4"/>
  <c r="L78" i="4" s="1"/>
  <c r="S14" i="4"/>
  <c r="L83" i="4" s="1"/>
  <c r="N54" i="4"/>
  <c r="L55" i="4"/>
  <c r="L62" i="4" s="1"/>
  <c r="L59" i="4"/>
  <c r="N68" i="4"/>
  <c r="L70" i="4"/>
  <c r="T71" i="4"/>
  <c r="U71" i="4" s="1"/>
  <c r="U72" i="4" s="1"/>
  <c r="N87" i="4"/>
  <c r="O87" i="4" s="1"/>
  <c r="K14" i="4" a="1"/>
  <c r="L87" i="4" l="1"/>
  <c r="M87" i="4" s="1"/>
  <c r="M61" i="4"/>
  <c r="M56" i="4"/>
  <c r="M58" i="4"/>
  <c r="M57" i="4"/>
  <c r="M54" i="4"/>
  <c r="M60" i="4"/>
  <c r="S60" i="4"/>
  <c r="S58" i="4"/>
  <c r="S56" i="4"/>
  <c r="S54" i="4"/>
  <c r="S61" i="4"/>
  <c r="S59" i="4"/>
  <c r="S57" i="4"/>
  <c r="S55" i="4"/>
  <c r="U61" i="4"/>
  <c r="U59" i="4"/>
  <c r="U57" i="4"/>
  <c r="U55" i="4"/>
  <c r="U60" i="4"/>
  <c r="U58" i="4"/>
  <c r="U56" i="4"/>
  <c r="U54" i="4"/>
  <c r="K14" i="4"/>
  <c r="N62" i="4"/>
  <c r="L5" i="4" a="1"/>
  <c r="L5" i="4" s="1"/>
  <c r="L14" i="4" a="1"/>
  <c r="L14" i="4" s="1"/>
  <c r="N71" i="4"/>
  <c r="O70" i="4" s="1"/>
  <c r="L71" i="4"/>
  <c r="U62" i="4"/>
  <c r="M10" i="4"/>
  <c r="O10" i="4" s="1"/>
  <c r="K5" i="4"/>
  <c r="S72" i="4"/>
  <c r="M59" i="4"/>
  <c r="L86" i="4"/>
  <c r="M79" i="4" s="1"/>
  <c r="L77" i="4"/>
  <c r="M77" i="4" s="1"/>
  <c r="M55" i="4"/>
  <c r="L88" i="4"/>
  <c r="M88" i="4" s="1"/>
  <c r="S62" i="4"/>
  <c r="S49" i="4"/>
  <c r="O77" i="4"/>
  <c r="O69" i="4" l="1"/>
  <c r="M8" i="4"/>
  <c r="O8" i="4" s="1"/>
  <c r="O68" i="4"/>
  <c r="M86" i="4"/>
  <c r="M84" i="4"/>
  <c r="M82" i="4"/>
  <c r="M13" i="4"/>
  <c r="O13" i="4" s="1"/>
  <c r="M12" i="4"/>
  <c r="O12" i="4" s="1"/>
  <c r="M11" i="4"/>
  <c r="O11" i="4" s="1"/>
  <c r="M81" i="4"/>
  <c r="M78" i="4"/>
  <c r="M83" i="4"/>
  <c r="M6" i="4"/>
  <c r="O6" i="4" s="1"/>
  <c r="M7" i="4"/>
  <c r="O7" i="4" s="1"/>
  <c r="O71" i="4"/>
  <c r="O57" i="4"/>
  <c r="O60" i="4"/>
  <c r="O59" i="4"/>
  <c r="O58" i="4"/>
  <c r="O61" i="4"/>
  <c r="O55" i="4"/>
  <c r="O56" i="4"/>
  <c r="M16" i="4"/>
  <c r="O16" i="4" s="1"/>
  <c r="U63" i="4"/>
  <c r="S63" i="4"/>
  <c r="M80" i="4"/>
  <c r="M5" i="4"/>
  <c r="M9" i="4"/>
  <c r="O9" i="4" s="1"/>
  <c r="M69" i="4"/>
  <c r="M68" i="4"/>
  <c r="O54" i="4"/>
  <c r="M19" i="4"/>
  <c r="M70" i="4"/>
  <c r="M15" i="4"/>
  <c r="O15" i="4" s="1"/>
  <c r="M14" i="4"/>
  <c r="O14" i="4" s="1"/>
  <c r="M17" i="4"/>
  <c r="O17" i="4" s="1"/>
  <c r="M62" i="4"/>
  <c r="J25" i="3"/>
  <c r="C25" i="3"/>
  <c r="J24" i="3"/>
  <c r="C24" i="3"/>
  <c r="H15" i="2"/>
  <c r="H14" i="2"/>
  <c r="H12" i="2"/>
  <c r="H11" i="2"/>
  <c r="C29" i="2" s="1"/>
  <c r="H10" i="2"/>
  <c r="H8" i="2"/>
  <c r="H7" i="2"/>
  <c r="H6" i="2"/>
  <c r="C30" i="2" s="1"/>
  <c r="O62" i="4" l="1"/>
  <c r="L24" i="4"/>
  <c r="L23" i="4"/>
  <c r="O5" i="4"/>
  <c r="L22" i="4"/>
  <c r="M71" i="4"/>
  <c r="O19" i="4"/>
  <c r="O18" i="4"/>
  <c r="L25" i="4" l="1"/>
  <c r="L48" i="4"/>
  <c r="L47" i="4"/>
  <c r="L46" i="4"/>
  <c r="L45" i="4"/>
  <c r="L49" i="4" l="1"/>
  <c r="M45" i="4" s="1"/>
  <c r="M48" i="4" l="1"/>
  <c r="M47" i="4"/>
  <c r="M46" i="4"/>
  <c r="M49"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tc={B5DC5291-6A6D-48C7-A6C7-D48CFE382A60}</author>
    <author>tc={554B21F3-EFB7-49C5-962B-7A8B26EF7170}</author>
    <author>tc={8A7D8302-9A73-4C71-B1C6-4B3DCE14D226}</author>
    <author>tc={EC31951F-36DB-4BB9-889B-66C815AE699D}</author>
    <author>tc={0366A16D-EEAC-403F-96A9-4310780EA050}</author>
    <author>tc={4262ED9D-7D4D-4979-A886-69ABD815975C}</author>
    <author>tc={D776B7B1-62B5-4346-9580-94152522D5BD}</author>
    <author>tc={BA761599-396A-49D5-AA6D-4BC19FBDF2BD}</author>
    <author>tc={E320C1C6-DE32-49A6-870A-0918B7BE0E85}</author>
    <author>tc={21204627-F6DC-4143-9567-33068CB8C7FA}</author>
    <author>tc={9873AE17-3FF6-4804-B27E-E3E701DD8B0C}</author>
    <author>tc={56DB3520-C5F7-4FA4-B4D9-82B6B2808C68}</author>
    <author>tc={91993813-061C-47E7-A3AB-2463BC6DB191}</author>
    <author>tc={10EC9C8E-F434-45E3-B814-D8578688DD09}</author>
    <author>tc={2E6F47D5-070C-44D3-BAB1-67ADAE18466B}</author>
    <author>tc={0023FFC6-039A-46E8-8E63-6F287132D253}</author>
    <author>tc={70A75F81-4CAB-4384-A689-206C8CFA0516}</author>
    <author>tc={99DC78EC-4683-44A1-AD26-041BE706B124}</author>
    <author>tc={CD64E6C6-5474-4A71-9BAB-A199E58F34DC}</author>
    <author>tc={D2921E57-2D44-4B35-989E-5AA00252E3C8}</author>
    <author>tc={1371A6D2-3AC0-4404-BBF4-3F45CF4B722B}</author>
    <author>tc={7AF6FB8E-74D6-4C88-BA41-503CE35E7727}</author>
    <author>tc={4D46370C-7FFD-4489-9A9B-2DC1439F982E}</author>
  </authors>
  <commentList>
    <comment ref="P3" authorId="0" shapeId="0" xr:uid="{B5DC5291-6A6D-48C7-A6C7-D48CFE382A60}">
      <text>
        <t>[Comentario encadenado]
Su versión de Excel le permite leer este comentario encadenado; sin embargo, las ediciones que se apliquen se quitarán si el archivo se abre en una versión más reciente de Excel. Más información: https://go.microsoft.com/fwlink/?linkid=870924
Comentario:
    BP is Beam Pump, PCP is Progressive Cavity Pump, ESP is Electrical Submersible Pump</t>
      </text>
    </comment>
    <comment ref="Q3" authorId="1" shapeId="0" xr:uid="{554B21F3-EFB7-49C5-962B-7A8B26EF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WI is Water Injection; GI is Gas Injection</t>
      </text>
    </comment>
    <comment ref="R3" authorId="2" shapeId="0" xr:uid="{8A7D8302-9A73-4C71-B1C6-4B3DCE14D226}">
      <text>
        <t>[Comentario encadenado]
Su versión de Excel le permite leer este comentario encadenado; sin embargo, las ediciones que se apliquen se quitarán si el archivo se abre en una versión más reciente de Excel. Más información: https://go.microsoft.com/fwlink/?linkid=870924
Comentario:
    SI is Steam Injection; AI is Air Injection; CHI is Chemical Inyection (includes Polymer and/or surfractant injection); nnI is Nanofluids Inections; NI is Nitrogen Injection; SAG is surfractang alternative gas</t>
      </text>
    </comment>
    <comment ref="Q43" authorId="3" shapeId="0" xr:uid="{EC31951F-36DB-4BB9-889B-66C815AE699D}">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ANH (https://www.anh.gov.co/documents/4172/Cuencas_Sedimentarias_de_Colombia_PDF.pdf)</t>
      </text>
    </comment>
    <comment ref="Q66" authorId="4" shapeId="0" xr:uid="{0366A16D-EEAC-403F-96A9-4310780EA05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Upstream Characterization UPME (2021)</t>
      </text>
    </comment>
    <comment ref="T72" authorId="5" shapeId="0" xr:uid="{4262ED9D-7D4D-4979-A886-69ABD815975C}">
      <text>
        <t>[Comentario encadenado]
Su versión de Excel le permite leer este comentario encadenado; sin embargo, las ediciones que se apliquen se quitarán si el archivo se abre en una versión más reciente de Excel. Más información: https://go.microsoft.com/fwlink/?linkid=870924
Comentario:
    ANH use to report de fiscalized gas that includes:  Gas lift + Reinjected gas + Gas to plant + transformed gas + gas to gaseoduct.
In 2018 the fiscalized gas production was 2253 Mscf/d, but the commercialized gas production was 1050 Mscf/d.
in 2010 the commercialized gas was 1040 Mscf/d.
Respuesta:
    https://www.valoraanalitik.com/2019/01/16/colombia-cerro-el-2018-con-record-en-produccion-de-gas-y-petroleo/</t>
      </text>
    </comment>
    <comment ref="R76" authorId="6" shapeId="0" xr:uid="{D776B7B1-62B5-4346-9580-94152522D5BD}">
      <text>
        <t>[Comentario encadenado]
Su versión de Excel le permite leer este comentario encadenado; sin embargo, las ediciones que se apliquen se quitarán si el archivo se abre en una versión más reciente de Excel. Más información: https://go.microsoft.com/fwlink/?linkid=870924
Comentario:
    Data from ANH report: Reserves 2018</t>
      </text>
    </comment>
    <comment ref="T77" authorId="7" shapeId="0" xr:uid="{BA761599-396A-49D5-AA6D-4BC19FBDF2BD}">
      <text>
        <t>[Comentario encadenado]
Su versión de Excel le permite leer este comentario encadenado; sin embargo, las ediciones que se apliquen se quitarán si el archivo se abre en una versión más reciente de Excel. Más información: https://go.microsoft.com/fwlink/?linkid=870924
Comentario:
    Chichimene + Apiay + 10 oilfields</t>
      </text>
    </comment>
    <comment ref="R78" authorId="8" shapeId="0" xr:uid="{E320C1C6-DE32-49A6-870A-0918B7BE0E85}">
      <text>
        <t>[Comentario encadenado]
Su versión de Excel le permite leer este comentario encadenado; sin embargo, las ediciones que se apliquen se quitarán si el archivo se abre en una versión más reciente de Excel. Más información: https://go.microsoft.com/fwlink/?linkid=870924
Comentario:
    Infantas + la Cira + Lisama + LLanito + Yarigui-Cantagallo</t>
      </text>
    </comment>
    <comment ref="T78" authorId="9" shapeId="0" xr:uid="{21204627-F6DC-4143-9567-33068CB8C7FA}">
      <text>
        <t>[Comentario encadenado]
Su versión de Excel le permite leer este comentario encadenado; sin embargo, las ediciones que se apliquen se quitarán si el archivo se abre en una versión más reciente de Excel. Más información: https://go.microsoft.com/fwlink/?linkid=870924
Comentario:
    Cira + Infantas + Yarigui-Cantagallo +12 oilfields</t>
      </text>
    </comment>
    <comment ref="R79" authorId="10" shapeId="0" xr:uid="{9873AE17-3FF6-4804-B27E-E3E701DD8B0C}">
      <text>
        <t>[Comentario encadenado]
Su versión de Excel le permite leer este comentario encadenado; sin embargo, las ediciones que se apliquen se quitarán si el archivo se abre en una versión más reciente de Excel. Más información: https://go.microsoft.com/fwlink/?linkid=870924
Comentario:
    Caño limon + 24 campos</t>
      </text>
    </comment>
    <comment ref="T79" authorId="11" shapeId="0" xr:uid="{56DB3520-C5F7-4FA4-B4D9-82B6B2808C68}">
      <text>
        <t>[Comentario encadenado]
Su versión de Excel le permite leer este comentario encadenado; sin embargo, las ediciones que se apliquen se quitarán si el archivo se abre en una versión más reciente de Excel. Más información: https://go.microsoft.com/fwlink/?linkid=870924
Comentario:
    Andina + Capachos</t>
      </text>
    </comment>
    <comment ref="R80" authorId="12" shapeId="0" xr:uid="{91993813-061C-47E7-A3AB-2463BC6DB191}">
      <text>
        <t>[Comentario encadenado]
Su versión de Excel le permite leer este comentario encadenado; sin embargo, las ediciones que se apliquen se quitarán si el archivo se abre en una versión más reciente de Excel. Más información: https://go.microsoft.com/fwlink/?linkid=870924
Comentario:
    Boquete + cicuco (Yarigui-Cantagallo is not considered as part of Bolivar Department but Santander)</t>
      </text>
    </comment>
    <comment ref="R81" authorId="13" shapeId="0" xr:uid="{10EC9C8E-F434-45E3-B814-D8578688DD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Nare + Peñas Blancas + Teca-Corcona</t>
      </text>
    </comment>
    <comment ref="T81" authorId="14" shapeId="0" xr:uid="{2E6F47D5-070C-44D3-BAB1-67ADAE1846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Casabe + Peñas Blancas</t>
      </text>
    </comment>
    <comment ref="R82" authorId="15" shapeId="0" xr:uid="{0023FFC6-039A-46E8-8E63-6F287132D253}">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Girasol + Moriche + Velasquez + 8 oilfields</t>
      </text>
    </comment>
    <comment ref="T82" authorId="16" shapeId="0" xr:uid="{70A75F81-4CAB-4384-A689-206C8CFA0516}">
      <text>
        <t>[Comentario encadenado]
Su versión de Excel le permite leer este comentario encadenado; sin embargo, las ediciones que se apliquen se quitarán si el archivo se abre en una versión más reciente de Excel. Más información: https://go.microsoft.com/fwlink/?linkid=870924
Comentario:
    Gibraltar + 5 gasfields</t>
      </text>
    </comment>
    <comment ref="T83" authorId="17" shapeId="0" xr:uid="{99DC78EC-4683-44A1-AD26-041BE706B124}">
      <text>
        <t>[Comentario encadenado]
Su versión de Excel le permite leer este comentario encadenado; sin embargo, las ediciones que se apliquen se quitarán si el archivo se abre en una versión más reciente de Excel. Más información: https://go.microsoft.com/fwlink/?linkid=870924
Comentario:
    Cupiagua + Cusiana + Pauto + 9 gasfields</t>
      </text>
    </comment>
    <comment ref="T84" authorId="18" shapeId="0" xr:uid="{CD64E6C6-5474-4A71-9BAB-A199E58F34DC}">
      <text>
        <t>[Comentario encadenado]
Su versión de Excel le permite leer este comentario encadenado; sin embargo, las ediciones que se apliquen se quitarán si el archivo se abre en una versión más reciente de Excel. Más información: https://go.microsoft.com/fwlink/?linkid=870924
Comentario:
    Ballena + Chuchupa</t>
      </text>
    </comment>
    <comment ref="R87" authorId="19" shapeId="0" xr:uid="{D2921E57-2D44-4B35-989E-5AA00252E3C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T87" authorId="20" shapeId="0" xr:uid="{1371A6D2-3AC0-4404-BBF4-3F45CF4B722B}">
      <text>
        <t>[Comentario encadenado]
Su versión de Excel le permite leer este comentario encadenado; sin embargo, las ediciones que se apliquen se quitarán si el archivo se abre en una versión más reciente de Excel. Más información: https://go.microsoft.com/fwlink/?linkid=870924
Comentario:
    1 Equivalent oil barrel is about 5800 scf</t>
      </text>
    </comment>
    <comment ref="R97" authorId="21" shapeId="0" xr:uid="{7AF6FB8E-74D6-4C88-BA41-503CE35E772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https://nuevoportal.ecopetrol.com.co/wps/portal/ecopetrol-web/nuestra-empresa/sala-de-prensa/boletines-de-prensa/boletines-2019/boletines-2018/Grupo%20Ecopetrol%20incremento%20sus%20reservas%20probadas%20de%20hidrocarburos%20al%20cierre%20de%202018</t>
      </text>
    </comment>
    <comment ref="Q104" authorId="22" shapeId="0" xr:uid="{4D46370C-7FFD-4489-9A9B-2DC1439F982E}">
      <text>
        <t>[Comentario encadenado]
Su versión de Excel le permite leer este comentario encadenado; sin embargo, las ediciones que se apliquen se quitarán si el archivo se abre en una versión más reciente de Excel. Más información: https://go.microsoft.com/fwlink/?linkid=870924
Comentario:
    Boletin Estadistico UPME 2016-2020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U22" authorId="0" shapeId="0" xr:uid="{9A7E7D35-8E04-4306-B9E3-CEF0D97B40FA}">
      <text>
        <r>
          <rPr>
            <b/>
            <sz val="9"/>
            <color indexed="81"/>
            <rFont val="Tahoma"/>
            <family val="2"/>
          </rPr>
          <t>JULIAN:</t>
        </r>
        <r>
          <rPr>
            <sz val="9"/>
            <color indexed="81"/>
            <rFont val="Tahoma"/>
            <family val="2"/>
          </rPr>
          <t xml:space="preserve">
spe-171080-ms</t>
        </r>
      </text>
    </comment>
    <comment ref="U23" authorId="0" shapeId="0" xr:uid="{DEED395F-1D1B-424C-A1A8-2483B506D4A8}">
      <text>
        <r>
          <rPr>
            <b/>
            <sz val="9"/>
            <color indexed="81"/>
            <rFont val="Tahoma"/>
            <family val="2"/>
          </rPr>
          <t>JULIAN:</t>
        </r>
        <r>
          <rPr>
            <sz val="9"/>
            <color indexed="81"/>
            <rFont val="Tahoma"/>
            <family val="2"/>
          </rPr>
          <t xml:space="preserve">
spe-165273-ms</t>
        </r>
      </text>
    </comment>
    <comment ref="F24" authorId="0" shapeId="0" xr:uid="{3AEA3F1E-ACF2-42CF-9928-7D104AA72A5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U24" authorId="0" shapeId="0" xr:uid="{721FB5EC-A40A-4A58-9A4A-3D991283EEA3}">
      <text>
        <r>
          <rPr>
            <b/>
            <sz val="9"/>
            <color indexed="81"/>
            <rFont val="Tahoma"/>
            <family val="2"/>
          </rPr>
          <t>JULIAN:</t>
        </r>
        <r>
          <rPr>
            <sz val="9"/>
            <color indexed="81"/>
            <rFont val="Tahoma"/>
            <family val="2"/>
          </rPr>
          <t xml:space="preserve">
spe-138979-ms</t>
        </r>
      </text>
    </comment>
    <comment ref="U25" authorId="0" shapeId="0" xr:uid="{021120BA-4355-4767-B534-349B36E47141}">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U26" authorId="0" shapeId="0" xr:uid="{AB424C1A-019E-4FB3-9CA1-987A9D0ACC1F}">
      <text>
        <r>
          <rPr>
            <b/>
            <sz val="9"/>
            <color indexed="81"/>
            <rFont val="Tahoma"/>
            <family val="2"/>
          </rPr>
          <t>JULIAN:</t>
        </r>
        <r>
          <rPr>
            <sz val="9"/>
            <color indexed="81"/>
            <rFont val="Tahoma"/>
            <family val="2"/>
          </rPr>
          <t xml:space="preserve">
9-16 api</t>
        </r>
      </text>
    </comment>
    <comment ref="U27" authorId="0" shapeId="0" xr:uid="{03F48D67-635D-40EF-8147-C3E6BDC78A04}">
      <text>
        <r>
          <rPr>
            <b/>
            <sz val="9"/>
            <color indexed="81"/>
            <rFont val="Tahoma"/>
            <family val="2"/>
          </rPr>
          <t>JULIAN:</t>
        </r>
        <r>
          <rPr>
            <sz val="9"/>
            <color indexed="81"/>
            <rFont val="Tahoma"/>
            <family val="2"/>
          </rPr>
          <t xml:space="preserve">
Solo vapor.</t>
        </r>
      </text>
    </comment>
    <comment ref="U29" authorId="0" shapeId="0" xr:uid="{8FF7CB05-762A-4817-8177-C646D05EFBD9}">
      <text>
        <r>
          <rPr>
            <b/>
            <sz val="9"/>
            <color indexed="81"/>
            <rFont val="Tahoma"/>
            <family val="2"/>
          </rPr>
          <t>JULIAN:</t>
        </r>
        <r>
          <rPr>
            <sz val="9"/>
            <color indexed="81"/>
            <rFont val="Tahoma"/>
            <family val="2"/>
          </rPr>
          <t xml:space="preserve">
http://www.scielo.org.co/scielo.php?script=sci_arttext&amp;pid=S0122-53832001000100009
Usa gas lift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1272EF-5D77-4F82-AF39-0C76AD9EB519}" keepAlive="1" name="Consulta - Akacias_" description="Conexión a la consulta 'Akacias_' en el libro." type="5" refreshedVersion="8" background="1" saveData="1">
    <dbPr connection="Provider=Microsoft.Mashup.OleDb.1;Data Source=$Workbook$;Location=Akacias_;Extended Properties=&quot;&quot;" command="SELECT * FROM [Akacias_]"/>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0"/>
        </ext>
      </extLst>
    </bk>
    <bk>
      <extLst>
        <ext uri="{3e2802c4-a4d2-4d8b-9148-e3be6c30e623}">
          <xlrd:rvb i="18"/>
        </ext>
      </extLst>
    </bk>
    <bk>
      <extLst>
        <ext uri="{3e2802c4-a4d2-4d8b-9148-e3be6c30e623}">
          <xlrd:rvb i="26"/>
        </ext>
      </extLst>
    </bk>
    <bk>
      <extLst>
        <ext uri="{3e2802c4-a4d2-4d8b-9148-e3be6c30e623}">
          <xlrd:rvb i="35"/>
        </ext>
      </extLst>
    </bk>
    <bk>
      <extLst>
        <ext uri="{3e2802c4-a4d2-4d8b-9148-e3be6c30e623}">
          <xlrd:rvb i="44"/>
        </ext>
      </extLst>
    </bk>
    <bk>
      <extLst>
        <ext uri="{3e2802c4-a4d2-4d8b-9148-e3be6c30e623}">
          <xlrd:rvb i="52"/>
        </ext>
      </extLst>
    </bk>
    <bk>
      <extLst>
        <ext uri="{3e2802c4-a4d2-4d8b-9148-e3be6c30e623}">
          <xlrd:rvb i="61"/>
        </ext>
      </extLst>
    </bk>
    <bk>
      <extLst>
        <ext uri="{3e2802c4-a4d2-4d8b-9148-e3be6c30e623}">
          <xlrd:rvb i="70"/>
        </ext>
      </extLst>
    </bk>
    <bk>
      <extLst>
        <ext uri="{3e2802c4-a4d2-4d8b-9148-e3be6c30e623}">
          <xlrd:rvb i="78"/>
        </ext>
      </extLst>
    </bk>
    <bk>
      <extLst>
        <ext uri="{3e2802c4-a4d2-4d8b-9148-e3be6c30e623}">
          <xlrd:rvb i="86"/>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<sst xmlns="http://schemas.openxmlformats.org/spreadsheetml/2006/main" count="1251" uniqueCount="571">
  <si>
    <t>2. Oil and Gas Production by Oilfield (TOP 5) at 2018</t>
  </si>
  <si>
    <t>Characteristic / Main features</t>
  </si>
  <si>
    <t>Order by oil production</t>
  </si>
  <si>
    <t>Department</t>
  </si>
  <si>
    <t>City-town-location</t>
  </si>
  <si>
    <t>Basin</t>
  </si>
  <si>
    <t>Oilfield</t>
  </si>
  <si>
    <t>Company</t>
  </si>
  <si>
    <t>Oil Production [B/d]</t>
  </si>
  <si>
    <t>Gas commercialized [Mscf/d]
= to Plant + to pipelines (Jun/2018)</t>
  </si>
  <si>
    <t>Gas Production [Mscf/d]</t>
  </si>
  <si>
    <t>API Gravity</t>
  </si>
  <si>
    <t>Viscocity</t>
  </si>
  <si>
    <t>Year of initial production</t>
  </si>
  <si>
    <t>Primary production formation</t>
  </si>
  <si>
    <t>Porosity (%)</t>
  </si>
  <si>
    <t>Permeability (mD)</t>
  </si>
  <si>
    <t xml:space="preserve">Reserves </t>
  </si>
  <si>
    <t>FR [%]</t>
  </si>
  <si>
    <t>Primary method</t>
  </si>
  <si>
    <t>Artificial lift method</t>
  </si>
  <si>
    <t>Water production</t>
  </si>
  <si>
    <t>Gas production</t>
  </si>
  <si>
    <t>Secondary production</t>
  </si>
  <si>
    <t>Tertiary production</t>
  </si>
  <si>
    <t>Special considerations</t>
  </si>
  <si>
    <t>Meta</t>
  </si>
  <si>
    <t>Puerto Gaitan</t>
  </si>
  <si>
    <t>Llanos Orientales</t>
  </si>
  <si>
    <t>Rubiales</t>
  </si>
  <si>
    <t>ECP</t>
  </si>
  <si>
    <t>-</t>
  </si>
  <si>
    <t>11.3 - 14.4</t>
  </si>
  <si>
    <t>310 - 730 cP @147F</t>
  </si>
  <si>
    <t>1980 (discovered) 2003-2006 (production)</t>
  </si>
  <si>
    <t>Carbonera "Arenas Basales"</t>
  </si>
  <si>
    <t>0.25 - 0.32</t>
  </si>
  <si>
    <t>5000, 50000 (5 - 13 D RU3)</t>
  </si>
  <si>
    <t>OOIP = 4608 MSTB, Reserves (2011) = 385 MSTB</t>
  </si>
  <si>
    <t>3.7% (2011)</t>
  </si>
  <si>
    <t>Water bottom drive</t>
  </si>
  <si>
    <t>PCP, ESP</t>
  </si>
  <si>
    <t>BS&amp;W = 81% (emulsion state)</t>
  </si>
  <si>
    <t>GOR = 5 - 8 scf/STB</t>
  </si>
  <si>
    <t>88% of wells are horizontals (RU 2). ALS information is contained in RU1</t>
  </si>
  <si>
    <t>Acacias/Castilla Nueva</t>
  </si>
  <si>
    <t>Castilla (c, e, n, n)</t>
  </si>
  <si>
    <t>150 cp</t>
  </si>
  <si>
    <t xml:space="preserve">1969 (discovered) and </t>
  </si>
  <si>
    <t>Guadalupe (K2, k1)</t>
  </si>
  <si>
    <t>0.2, 16-22 (CAS 2)</t>
  </si>
  <si>
    <t>500 - 10000 Md</t>
  </si>
  <si>
    <t>OOIP= 1900 MBBL (K2) OOIP= 900 MSTB (K1)</t>
  </si>
  <si>
    <t>FR=15%  Np= 198 MSTB (2007)</t>
  </si>
  <si>
    <t>Active-bottom aquifer</t>
  </si>
  <si>
    <t>ESP</t>
  </si>
  <si>
    <t>205 MBWPD</t>
  </si>
  <si>
    <t xml:space="preserve">Water injection </t>
  </si>
  <si>
    <t>Nanofluids</t>
  </si>
  <si>
    <t>Multilateral wells reduces water cut and boost oil production. CAS 1 (Some date about drilling costs). CAS2  (Nanofluids)</t>
  </si>
  <si>
    <t>Acacias/Guamal</t>
  </si>
  <si>
    <t>Chichimene</t>
  </si>
  <si>
    <t>20 (Guadalupe) / 7-9 (San Fernando)</t>
  </si>
  <si>
    <t>150-500 cp@150F (Guadalupe) and 2000-7000 cp@180F (San Fernando)</t>
  </si>
  <si>
    <t>1969 (discovered) and 1985 (production). Since 2000 is operated by ECP</t>
  </si>
  <si>
    <t>San Fernando T2, Guadalupe K1-K2</t>
  </si>
  <si>
    <t xml:space="preserve">16-22% (Guadalupe), 16-20% (San Fernando) </t>
  </si>
  <si>
    <t>500 - 10000 mD (Guadalupe) 800 - 4000 mD (San Fernando)</t>
  </si>
  <si>
    <t>OOIP = 247 MSTB (Guadalupe) and OOIP= 2577 MST (San Fernando)</t>
  </si>
  <si>
    <t>FR=16.92% (Np=41.80 MSTB)</t>
  </si>
  <si>
    <t>Gas in solution (San Fernando) and Active Aquifer (Guadalupe)</t>
  </si>
  <si>
    <t>93% of wells uses ESP, the others use PCP</t>
  </si>
  <si>
    <t>BSW=90-95% (Guadalupe) and BSW=10% (San Fernando)</t>
  </si>
  <si>
    <t>GOR= 0 (Guadalupe) GOR=200-500 scf/STB (San Fernando)</t>
  </si>
  <si>
    <t xml:space="preserve">Water injection to pressure maintenance </t>
  </si>
  <si>
    <t>ISC, Nanofluids injection</t>
  </si>
  <si>
    <t>ISC (CHI 1), Reducing skin through ChemInj (CHI 2), 70,000 bbl water is discharged (CHI 8), comparision between ESP - PCP (CHI 7, 3)</t>
  </si>
  <si>
    <t>Santander</t>
  </si>
  <si>
    <t>Barrancabermeja</t>
  </si>
  <si>
    <t>VMM</t>
  </si>
  <si>
    <t>La Cira</t>
  </si>
  <si>
    <t>20 - 25</t>
  </si>
  <si>
    <t>10 - 40cP</t>
  </si>
  <si>
    <t>1918 (discovered and produced)</t>
  </si>
  <si>
    <t>Colorado (Sand A), Mugrosa (Sand B and C). Sand C contributes over 90% oil production and reserves</t>
  </si>
  <si>
    <t xml:space="preserve">22% (Sand C), </t>
  </si>
  <si>
    <t>50 - 2000 Md</t>
  </si>
  <si>
    <t>OOIP=  3900 MSTB (CIRA 11), Reserves = 172 MMSTO (CIRA 10)</t>
  </si>
  <si>
    <t>FR = 13% (Primary production until 1957), FR= 3% (Waterflooding 1959-2005) FR= 3% (Waterflooding 2005-2018)</t>
  </si>
  <si>
    <t>BP 760 wells (76%), PCP 135 wells (14%), ESP 99 wells (10%), ESPCP 6 wells (2014)</t>
  </si>
  <si>
    <t>Produced 506000 BWPD  and Injected 618000 BWIPD (2018), Water-cut=90%.</t>
  </si>
  <si>
    <t>150 scf/STB</t>
  </si>
  <si>
    <t>Gas injection / Water Injection (since 60s) / Water injection optimization (2006)</t>
  </si>
  <si>
    <t>2014 the field has 1000 producing wells and 408 injectors (CIRA 2). 95% producing wells are under waterflooding (CIRA 9)</t>
  </si>
  <si>
    <t>Quifa</t>
  </si>
  <si>
    <t>Frontera</t>
  </si>
  <si>
    <t>13 - 14</t>
  </si>
  <si>
    <t>180 - 300 cP@Reservoir</t>
  </si>
  <si>
    <t>2008 (discovered) 2010 (production)</t>
  </si>
  <si>
    <t>0.25 - 0.33</t>
  </si>
  <si>
    <t>5000 - 10000</t>
  </si>
  <si>
    <t>OOIP= 1500 MBBL</t>
  </si>
  <si>
    <t>12% Vertical wells, 22.3% horizontal wells (all primary production), 30% ISC</t>
  </si>
  <si>
    <t>Mainly ESP. PCP</t>
  </si>
  <si>
    <t>BS&amp;W &gt; 90% (emulsion state)</t>
  </si>
  <si>
    <t>GOR = 7 - 8 scf/STB</t>
  </si>
  <si>
    <t>ISC (2011 - 2014) Pilot</t>
  </si>
  <si>
    <t>QU 2, 3 (ISC) Q5 (Treatment), QU 7 (ALS)</t>
  </si>
  <si>
    <t>Arauca</t>
  </si>
  <si>
    <t>Llanos Orientales*</t>
  </si>
  <si>
    <t>Caño Limon</t>
  </si>
  <si>
    <t>OXY</t>
  </si>
  <si>
    <t>1983 (discovered)</t>
  </si>
  <si>
    <t>Carbonera, Units K1, K2, K3</t>
  </si>
  <si>
    <t>500 - 5000</t>
  </si>
  <si>
    <t>Reserves more than 1 MMSTB, OOIP 1.7 MMSTB</t>
  </si>
  <si>
    <t>FR=58% (1995)</t>
  </si>
  <si>
    <t>Edge-water drive</t>
  </si>
  <si>
    <t>ESP (304 in 2006) nearly 98% of active wells</t>
  </si>
  <si>
    <t>Watercut=80% this is 1 MBWD (1995), Watercut= 93% this is 2.851.721 barrels of fluids  ( CAÑO 3, 2012)</t>
  </si>
  <si>
    <t>GOR = 6 scf/STB</t>
  </si>
  <si>
    <t>Waterflooding</t>
  </si>
  <si>
    <t>394 productor wells, 9 injection wells (2012 according to CAÑO 3).  Waterflooding (CAÑO 7)
ALS consumes nearly 75% of the energy in the oilfield, and the 25% is consumed by production facilities, injection water.  Nearly 50% of the energy generated is based on diesel (CAÑO 3). Cost of energy generated is U S86/MWh and purchased energy 83 UAS/MWh, for a total an annual 96,000,000 USD</t>
  </si>
  <si>
    <t>Bolivar</t>
  </si>
  <si>
    <t>Puerto Wilches</t>
  </si>
  <si>
    <t>Yarigui-Cantagallo</t>
  </si>
  <si>
    <t>24 cP@ReservoirTemperature</t>
  </si>
  <si>
    <t>1940 (discovered) 1941 (production)</t>
  </si>
  <si>
    <t>Mainly Cantagallo sands. Mugrosa, La Paz</t>
  </si>
  <si>
    <t>0.18 - 20</t>
  </si>
  <si>
    <t>50 - 182 Md</t>
  </si>
  <si>
    <t>OOIP= 1,048 MMSTB (77% of the total)in 2015. YARI 7OOIP= 750 MMSTB in 1974.</t>
  </si>
  <si>
    <t>FR= 20.7%, Np= 155 MMSTB in 1999</t>
  </si>
  <si>
    <t xml:space="preserve">Gas in solution / water drive </t>
  </si>
  <si>
    <t>WaterCut&gt;90% (YARI 3)</t>
  </si>
  <si>
    <t>Waterflooding since 2008</t>
  </si>
  <si>
    <t>Polymer Injection</t>
  </si>
  <si>
    <t>Sand production represents costs about 913,860 USD/y (YARI 4). Waterflooding will incorporate 35  MMSTB of reserves (YARI 5). Cost data about PI is in YARI 7.</t>
  </si>
  <si>
    <t>Antioquia</t>
  </si>
  <si>
    <t>Yondo</t>
  </si>
  <si>
    <t>Casabe</t>
  </si>
  <si>
    <t>1941 (discovered)</t>
  </si>
  <si>
    <t>La Paz, Mugrosa, Colorado</t>
  </si>
  <si>
    <t>10 - 300 mD</t>
  </si>
  <si>
    <t>OOIP= 1,700 MSTB. Np= 350 MMSTB (CASA 3)</t>
  </si>
  <si>
    <t>FR@ Primary= 13% (CASA 7). FR@ Secondary=3.4%, FR@ SecondarySelective= 5.4% (CASA 5).
FR=19% (CASA 3)</t>
  </si>
  <si>
    <t>Fluid and rock expansion, solution gas drive</t>
  </si>
  <si>
    <t>PCP (61%) BP (35%)</t>
  </si>
  <si>
    <t xml:space="preserve">Watercut= 80% </t>
  </si>
  <si>
    <t>Waterflooding since 1985. Water Injection 125,000 BWPD (CASA 6). 1 BOPD to 6 BWPD (CASA 5)</t>
  </si>
  <si>
    <t>Oil, water produced and injected data (CASA 1). Water Injection Plant energy consumption (CASA 1).
ALS data  in (CASA 4)</t>
  </si>
  <si>
    <t>Boyaca</t>
  </si>
  <si>
    <t>Puerto Boyaca</t>
  </si>
  <si>
    <t>Moriche</t>
  </si>
  <si>
    <t>Mansarovar</t>
  </si>
  <si>
    <t>800 - 2600cP</t>
  </si>
  <si>
    <t>1983 (discovered) and 2008 (produced)</t>
  </si>
  <si>
    <t>Sand A and B (Chuspas Group)</t>
  </si>
  <si>
    <t>0.2 - 0.28</t>
  </si>
  <si>
    <t>300 - 2000 Md</t>
  </si>
  <si>
    <t>Np= 7 MMSTB (MORI 1), Reserves (2021)= 46 MMBL, OOIP= 1072 MMBL</t>
  </si>
  <si>
    <t>FR= 2% (MORI 1), FR= 6.3% (MORI 6)</t>
  </si>
  <si>
    <t>Gas solution, parcial water drive</t>
  </si>
  <si>
    <t>BP</t>
  </si>
  <si>
    <t>CSS (OSR)&lt; 1 STB/MMBTU</t>
  </si>
  <si>
    <t>604 wells: 522 producers and 13 injectors (MORI 2 - 2016). Energy requirements for CSS 10900 MMBTU/D (MORI 2). GHG Emissions 420.404 CO2eq (MORI 2), 10% by flaring. Steam injected is abouyt 27,000 MMBTU at 80% quality (MARI 3)</t>
  </si>
  <si>
    <t>Casanare</t>
  </si>
  <si>
    <t>Jacana + Tigana (t+ n + s +s )</t>
  </si>
  <si>
    <t>GEOPARK</t>
  </si>
  <si>
    <t>19 (Jacana)</t>
  </si>
  <si>
    <t>Jacana was discovered in 2015. Tigana was discovered in 2014.</t>
  </si>
  <si>
    <t>Cesar</t>
  </si>
  <si>
    <t>Acordionero</t>
  </si>
  <si>
    <t>GRAN TIERRA</t>
  </si>
  <si>
    <t>7 - 487cP</t>
  </si>
  <si>
    <t>2013 (production)</t>
  </si>
  <si>
    <t>Mugrosa, Colorado, Esmeralddas</t>
  </si>
  <si>
    <t>0.15-0.2</t>
  </si>
  <si>
    <t>20-6000 mD</t>
  </si>
  <si>
    <t>Waterflooding (40,000 bwpd)</t>
  </si>
  <si>
    <t>21 wells in 2018  (ARCO 1). Energy generated is based on diesel, there are data and analysis to reuse the gas produced (ARCO 1)</t>
  </si>
  <si>
    <t>All production data is taken from https://www.anh.gov.co/es/operaciones-y-regal%C3%ADas/sistemas-integrados-operaciones/estad%C3%ADsticas-de-producci%C3%B3n/</t>
  </si>
  <si>
    <t>RU2</t>
  </si>
  <si>
    <t xml:space="preserve"> RU 1, RU 2</t>
  </si>
  <si>
    <t>RU1</t>
  </si>
  <si>
    <t>RU1 (review information about AL)</t>
  </si>
  <si>
    <t>RU3</t>
  </si>
  <si>
    <t>Castilla also includes Castilla Norte and Castilla Este</t>
  </si>
  <si>
    <t>CAS 1</t>
  </si>
  <si>
    <t>CAS 2</t>
  </si>
  <si>
    <t>CAS1</t>
  </si>
  <si>
    <t>CAS 6</t>
  </si>
  <si>
    <t>CAS 3</t>
  </si>
  <si>
    <t>Chichimene also includes Chichimene SW</t>
  </si>
  <si>
    <t>CHI 6</t>
  </si>
  <si>
    <t>CHI 9, CHI 7</t>
  </si>
  <si>
    <t>CHI 4</t>
  </si>
  <si>
    <t>CHI 9</t>
  </si>
  <si>
    <t>CHI 7</t>
  </si>
  <si>
    <t>CHI 5</t>
  </si>
  <si>
    <t>CHI 8, CHI 5</t>
  </si>
  <si>
    <t>CHI 1, CHI 4</t>
  </si>
  <si>
    <t>La Cira also includes Infantas</t>
  </si>
  <si>
    <t>CIRA 11</t>
  </si>
  <si>
    <t>CIRA 1</t>
  </si>
  <si>
    <t>CIRA 11, 10</t>
  </si>
  <si>
    <t>CIRA 11, 10, 9</t>
  </si>
  <si>
    <t>CIRA 8</t>
  </si>
  <si>
    <t>CIRA 11, 9</t>
  </si>
  <si>
    <t>Tigana includes Tigana sur and tigana norte</t>
  </si>
  <si>
    <t>QU 5</t>
  </si>
  <si>
    <t>QU 2</t>
  </si>
  <si>
    <t>QU 2, QU 4</t>
  </si>
  <si>
    <t>QU 7</t>
  </si>
  <si>
    <t>QU 3</t>
  </si>
  <si>
    <t>QU5</t>
  </si>
  <si>
    <t>Acordionero also includes Acordionero-24</t>
  </si>
  <si>
    <t>CAÑO 1</t>
  </si>
  <si>
    <t>CAÑO 2</t>
  </si>
  <si>
    <t>CAÑO 1, CAÑO 3</t>
  </si>
  <si>
    <t>CAÑO 7</t>
  </si>
  <si>
    <t>Casabe also includes Casabe Sur</t>
  </si>
  <si>
    <t>https://www.geo-park.com/files/releases/Jacana_Press_Release_ESP.pdf</t>
  </si>
  <si>
    <t>https://www.grantierra.com/operations/company-snapshot</t>
  </si>
  <si>
    <t>ARCO 3</t>
  </si>
  <si>
    <t>ARCO 1</t>
  </si>
  <si>
    <t>ARCO 2</t>
  </si>
  <si>
    <t>Observation (Pending): most of gas is flared or used in oilfield. The gas is not reinjected.</t>
  </si>
  <si>
    <t>YARI 7</t>
  </si>
  <si>
    <t>YARI 3</t>
  </si>
  <si>
    <t>YARI 5, 7</t>
  </si>
  <si>
    <t>YARI 5</t>
  </si>
  <si>
    <t>YARI 3, 5</t>
  </si>
  <si>
    <t>YARI 3, 6</t>
  </si>
  <si>
    <t>CASA 3</t>
  </si>
  <si>
    <t>CASA 1</t>
  </si>
  <si>
    <t>CASA 15</t>
  </si>
  <si>
    <t>CASA 6, CASA 3</t>
  </si>
  <si>
    <t>CASA 7</t>
  </si>
  <si>
    <t>CASA 6</t>
  </si>
  <si>
    <t>CASA 7, 6</t>
  </si>
  <si>
    <t>MORI 1</t>
  </si>
  <si>
    <t>MORI 6</t>
  </si>
  <si>
    <t>MORI 3</t>
  </si>
  <si>
    <t>Oil production</t>
  </si>
  <si>
    <t>Total [B/d]</t>
  </si>
  <si>
    <t>% respect to national production</t>
  </si>
  <si>
    <t>Total [Mscf/d]</t>
  </si>
  <si>
    <t>% respect to ECP production</t>
  </si>
  <si>
    <t>Total ECP [Mscf/d]</t>
  </si>
  <si>
    <t>BP is Beam Pump, PCP is Progressive Cavity Pump, ESP is Electrical Submersible Pump</t>
  </si>
  <si>
    <t>Order by gas production</t>
  </si>
  <si>
    <t>Gas Production* [Mscf/d] June 2018</t>
  </si>
  <si>
    <t>SG gas</t>
  </si>
  <si>
    <t>Heating Value</t>
  </si>
  <si>
    <t>Aguazul</t>
  </si>
  <si>
    <t>Cupiagua (Cupiagua + Liria + Sur)</t>
  </si>
  <si>
    <t>37 (initially), 48 (current)</t>
  </si>
  <si>
    <t>HHV= 42.67 MJ/kg, LHV= 38.62 MJ/kg</t>
  </si>
  <si>
    <t>1992 (discovered) and 1996 (produced)</t>
  </si>
  <si>
    <t>Mirador, Barco, Guadalupe</t>
  </si>
  <si>
    <t>1 - 10 mD</t>
  </si>
  <si>
    <t>OOIP= 1000 MMSTB and OGIP= 4 Tcf (CUPI 3)</t>
  </si>
  <si>
    <t>FR= 42%, Frsomelayers=60%</t>
  </si>
  <si>
    <t>Gas cap expansion, solution gas drive</t>
  </si>
  <si>
    <t>280 stb/MMscf</t>
  </si>
  <si>
    <t>Gas injection, 450 MMscfd (stars 1998)</t>
  </si>
  <si>
    <t>Nanofluids and Foams, SAG</t>
  </si>
  <si>
    <t>CPF has the capacity of 16,000 BOPD and 850 MMscfd (660 from Cupiagua and 180  from Pauto/Receptor)(CUPI 1)</t>
  </si>
  <si>
    <t>Tauramena</t>
  </si>
  <si>
    <t>Cusiana (Cusiana + Norte)</t>
  </si>
  <si>
    <t>1988 (discovered) and 1994 (production)</t>
  </si>
  <si>
    <t xml:space="preserve">OOIP= 1500 MMSTB OGIP= 3 Tcf </t>
  </si>
  <si>
    <t>RF= 50% (Mirador) RF=25% (Barco, Guadalupe)</t>
  </si>
  <si>
    <t>Water injection (Barco and Guadalupe) / Gas injection (Mirador)</t>
  </si>
  <si>
    <t>SAG</t>
  </si>
  <si>
    <t>Yopal</t>
  </si>
  <si>
    <t>Pauto Sur (Sur + Recetor)</t>
  </si>
  <si>
    <t>EQUION*</t>
  </si>
  <si>
    <t>Gross= 1210 BTU/ft3, Net= 1098  BTU/ft3</t>
  </si>
  <si>
    <t>1995 (Discovered) and 2001 (production)</t>
  </si>
  <si>
    <t>Z</t>
  </si>
  <si>
    <t>0.03 - 0.05</t>
  </si>
  <si>
    <t>&lt; 10mD</t>
  </si>
  <si>
    <t>IGIP&gt; 1 Tcf. 
Reserves (Pauto&amp;Floreña)= 70 MSTB  (Light Oil)
Reserves (Pauto&amp;Floreña)= 5000 Gcf  (Gas)</t>
  </si>
  <si>
    <t>Np= 180,000 Bl &amp; Gp= 12,000 Mcf (2016)</t>
  </si>
  <si>
    <t>Natural flow</t>
  </si>
  <si>
    <t>30 - 350 STB/MMscf</t>
  </si>
  <si>
    <t>Nitrogen Injection</t>
  </si>
  <si>
    <t>Between Pauto&amp;Floreña: 25 wells: 1 water injection, 4 gas injection, 20 producer wells (PAU 8). 
Gas composition and Gas distribution in PAU 9</t>
  </si>
  <si>
    <t>Floreña (Floreña + Mirador)</t>
  </si>
  <si>
    <t>44 - 47</t>
  </si>
  <si>
    <t>Gross= 1158 BTU/ft3, Net= 1049  BTU/ft3</t>
  </si>
  <si>
    <t>Reserves (Pauto&amp;Floreña)= 70 MSTB  (Light Oil)
Reserves (Pauto&amp;Floreña)= 5000 Gcf  (Gas)</t>
  </si>
  <si>
    <t>Np= 80,000 Bl &amp; Gp=5,500 Mcf (2016)</t>
  </si>
  <si>
    <t xml:space="preserve"> P&amp;F =3000 BWPD, BSW&lt;0.5</t>
  </si>
  <si>
    <t>P&amp;F= 30000 BOPD / 180 MMscfd</t>
  </si>
  <si>
    <t>Gas injection 80 MMsfcd</t>
  </si>
  <si>
    <t>Between Pauto&amp;Floreña: 25 wells: 1 water injection, 4 gas injection, 20 producer wells (PAU 8).
Treatment in site (FLO 1, 2)
Gas composition in PAU 9</t>
  </si>
  <si>
    <t>Guajira</t>
  </si>
  <si>
    <t>Manaure</t>
  </si>
  <si>
    <t>Chuchupa</t>
  </si>
  <si>
    <t>CHEVRON</t>
  </si>
  <si>
    <t>HHV= 37.13 MJ/kg, LHV= 33.44 MJ/kg</t>
  </si>
  <si>
    <t>1973 (discovered) and 1979 (production)</t>
  </si>
  <si>
    <t>Units A, B1, B2, C</t>
  </si>
  <si>
    <t>0.2-0.3</t>
  </si>
  <si>
    <t>210mD - &gt;1 D</t>
  </si>
  <si>
    <t>OGIP: P10= 4.1 Tcf,  P50= 4.7 Tcf   P90= 5.3 Tcf</t>
  </si>
  <si>
    <t>FR=45% (2009)</t>
  </si>
  <si>
    <t>WGR= 0.2 bwpd/MMscfd</t>
  </si>
  <si>
    <t>Ballena</t>
  </si>
  <si>
    <t>OGIP= 1.5 Tcf</t>
  </si>
  <si>
    <t>FR=30% (1996)</t>
  </si>
  <si>
    <t>Cordoba</t>
  </si>
  <si>
    <t>Nelson</t>
  </si>
  <si>
    <t>GEOPRODUCTION OIL AND GAS COMPANY</t>
  </si>
  <si>
    <t>Norte de Santander</t>
  </si>
  <si>
    <t>Gibraltar</t>
  </si>
  <si>
    <t>PAU 7</t>
  </si>
  <si>
    <t>PAU 8</t>
  </si>
  <si>
    <t>PAU 5</t>
  </si>
  <si>
    <t>CUPI 8,9, PAU 10</t>
  </si>
  <si>
    <t>CUPI 1</t>
  </si>
  <si>
    <t>CUSI 7</t>
  </si>
  <si>
    <t>CUPI</t>
  </si>
  <si>
    <t>CUPI 6</t>
  </si>
  <si>
    <t>CUSI 5</t>
  </si>
  <si>
    <t>CUPI 4</t>
  </si>
  <si>
    <t>CUPI 3</t>
  </si>
  <si>
    <t>CUPI 1, 6</t>
  </si>
  <si>
    <t>CHU 3</t>
  </si>
  <si>
    <t>CUSI 7,8</t>
  </si>
  <si>
    <t>CHU 1</t>
  </si>
  <si>
    <t>CHU 5</t>
  </si>
  <si>
    <t>CUSI 8</t>
  </si>
  <si>
    <t>CUSI 2</t>
  </si>
  <si>
    <t>PAU 1, CUSI 2, CUSI 6</t>
  </si>
  <si>
    <t>CUSI 2, 4</t>
  </si>
  <si>
    <t>FLO 5</t>
  </si>
  <si>
    <t>PAU 1, FLO 5</t>
  </si>
  <si>
    <t>Deparment</t>
  </si>
  <si>
    <t>Akacias</t>
  </si>
  <si>
    <t>Dina</t>
  </si>
  <si>
    <t>San Francisco</t>
  </si>
  <si>
    <t>Tello</t>
  </si>
  <si>
    <t>Apiay</t>
  </si>
  <si>
    <t>Area Teca-Corcona</t>
  </si>
  <si>
    <t>Type of Oil producing</t>
  </si>
  <si>
    <t>Primary Recovery - SLA*</t>
  </si>
  <si>
    <t>Secondary Recovery</t>
  </si>
  <si>
    <t>Tertiary Recovery</t>
  </si>
  <si>
    <t>WI</t>
  </si>
  <si>
    <t>nnI</t>
  </si>
  <si>
    <t>AI, nnl</t>
  </si>
  <si>
    <t>ESP, PCP</t>
  </si>
  <si>
    <t>AI</t>
  </si>
  <si>
    <t>BP, PCP,. ESP</t>
  </si>
  <si>
    <t>GI, WI</t>
  </si>
  <si>
    <t>CHI</t>
  </si>
  <si>
    <t>PCP, BP</t>
  </si>
  <si>
    <t>SI</t>
  </si>
  <si>
    <t>GI</t>
  </si>
  <si>
    <t>nnI, SAG</t>
  </si>
  <si>
    <t>WI, GI</t>
  </si>
  <si>
    <t>NI</t>
  </si>
  <si>
    <t>Chichimene quema y usa el gas en campo</t>
  </si>
  <si>
    <t>Cira solo envia un pequeño porcentaje a planta para el aprovechamiento del gas</t>
  </si>
  <si>
    <t>Yarigui-Cantagallo sí envia un % del gas a oleducto</t>
  </si>
  <si>
    <t>Gas commercialized [Mscf/d]</t>
  </si>
  <si>
    <t>Oil production (&gt; 1% modeled production)</t>
  </si>
  <si>
    <t>Gas production (&gt; 1% modeled production )</t>
  </si>
  <si>
    <t>Clasification by production</t>
  </si>
  <si>
    <t>Cummulative Production in R/P@Oil (MSTB) =</t>
  </si>
  <si>
    <t>Cummulative Production en R/P GAS (Gscf - MMScf) =</t>
  </si>
  <si>
    <t>STB/d</t>
  </si>
  <si>
    <t>Mscf/d</t>
  </si>
  <si>
    <t>Oil producers</t>
  </si>
  <si>
    <t>Gas producers</t>
  </si>
  <si>
    <t>Oil and gas producers</t>
  </si>
  <si>
    <t>Total</t>
  </si>
  <si>
    <t>Oil classification by API gravity</t>
  </si>
  <si>
    <t>Lower limit</t>
  </si>
  <si>
    <t>Upper Limit</t>
  </si>
  <si>
    <t>Extra Heavy Oil</t>
  </si>
  <si>
    <t>Heavy Oil</t>
  </si>
  <si>
    <t>Medium Oil</t>
  </si>
  <si>
    <t>Light Oil</t>
  </si>
  <si>
    <t>Oil and gas production in the model and Colombia in 2018</t>
  </si>
  <si>
    <t xml:space="preserve">Colombia </t>
  </si>
  <si>
    <t>Model</t>
  </si>
  <si>
    <t>Model/Colombia</t>
  </si>
  <si>
    <t>Oil and gas production in the model (oilfields operated by ECP) and ECP in 2018</t>
  </si>
  <si>
    <t>Oil Production (STB/d)</t>
  </si>
  <si>
    <t>Oilfield in the model  by ECP</t>
  </si>
  <si>
    <t>ECP/ Model ECP</t>
  </si>
  <si>
    <t>Gas production (Mscf/d)</t>
  </si>
  <si>
    <t>Gas commercialized (Mscf/d)</t>
  </si>
  <si>
    <t>Production of the model according API gravity</t>
  </si>
  <si>
    <r>
      <t xml:space="preserve">Production of the Colombia according API gravity </t>
    </r>
    <r>
      <rPr>
        <b/>
        <sz val="11"/>
        <color rgb="FFFF0000"/>
        <rFont val="Calibri"/>
        <family val="2"/>
        <scheme val="minor"/>
      </rPr>
      <t>in 2010</t>
    </r>
  </si>
  <si>
    <t>Oil production STB/d</t>
  </si>
  <si>
    <t>Production of the model according Deparment in 2018</t>
  </si>
  <si>
    <t>Production of Colombia 2018</t>
  </si>
  <si>
    <t>%</t>
  </si>
  <si>
    <t>Gas production Mscf/d</t>
  </si>
  <si>
    <t>Other Deparments</t>
  </si>
  <si>
    <t>Production of the model according sedimentary basin in 2018</t>
  </si>
  <si>
    <t>Production of Colombia 2010 according sedimentary basins in 2018</t>
  </si>
  <si>
    <t>Other bains</t>
  </si>
  <si>
    <t xml:space="preserve">Reserves in model </t>
  </si>
  <si>
    <t>Reserves in Colombia at the end of 2018</t>
  </si>
  <si>
    <t>Oil Reserves (MSTB)</t>
  </si>
  <si>
    <t>Gas Reserves ( Gscf - MMscf)</t>
  </si>
  <si>
    <t>Model/Reality</t>
  </si>
  <si>
    <t>Colombia</t>
  </si>
  <si>
    <t>Oifields by ECP in the model</t>
  </si>
  <si>
    <t>Oifields by ECP&amp;EQUION in the model</t>
  </si>
  <si>
    <t>reserve-replacement ratio (RRR) in Colombia 2018</t>
  </si>
  <si>
    <t>Oil Reserves added (MSTB)</t>
  </si>
  <si>
    <t>Gas Reserves added (Gscf - MMscf)</t>
  </si>
  <si>
    <t>New discoveries</t>
  </si>
  <si>
    <t>EOR and new projects</t>
  </si>
  <si>
    <t>Re-evaluations</t>
  </si>
  <si>
    <t>General balance last years in Colombia</t>
  </si>
  <si>
    <t>Oil</t>
  </si>
  <si>
    <t>Reserves P1 (MSTB)</t>
  </si>
  <si>
    <t>Annual Production  (MSTB)</t>
  </si>
  <si>
    <t>Reserves added (MSTB)</t>
  </si>
  <si>
    <t>RRR</t>
  </si>
  <si>
    <t>R/P</t>
  </si>
  <si>
    <t>R</t>
  </si>
  <si>
    <t>P</t>
  </si>
  <si>
    <t>I</t>
  </si>
  <si>
    <t>I/P</t>
  </si>
  <si>
    <t>Gas</t>
  </si>
  <si>
    <t>GAS</t>
  </si>
  <si>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</si>
  <si>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</si>
  <si>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FISCA</t>
    </r>
  </si>
  <si>
    <r>
      <t>G</t>
    </r>
    <r>
      <rPr>
        <b/>
        <vertAlign val="subscript"/>
        <sz val="14"/>
        <color theme="1"/>
        <rFont val="Calibri"/>
        <family val="2"/>
        <scheme val="minor"/>
      </rPr>
      <t>sla</t>
    </r>
  </si>
  <si>
    <r>
      <t>G</t>
    </r>
    <r>
      <rPr>
        <b/>
        <vertAlign val="subscript"/>
        <sz val="14"/>
        <color theme="1"/>
        <rFont val="Calibri"/>
        <family val="2"/>
        <scheme val="minor"/>
      </rPr>
      <t>REI</t>
    </r>
  </si>
  <si>
    <r>
      <t>O</t>
    </r>
    <r>
      <rPr>
        <b/>
        <vertAlign val="subscript"/>
        <sz val="14"/>
        <color theme="1"/>
        <rFont val="Calibri"/>
        <family val="2"/>
        <scheme val="minor"/>
      </rPr>
      <t>FISCA</t>
    </r>
  </si>
  <si>
    <r>
      <t>G</t>
    </r>
    <r>
      <rPr>
        <b/>
        <vertAlign val="subscript"/>
        <sz val="14"/>
        <color theme="1"/>
        <rFont val="Calibri"/>
        <family val="2"/>
        <scheme val="minor"/>
      </rPr>
      <t>FISC</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</si>
  <si>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</si>
  <si>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</si>
  <si>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</si>
  <si>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</si>
  <si>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</si>
  <si>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t>2019, MPC/D</t>
  </si>
  <si>
    <t>Orito</t>
  </si>
  <si>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</si>
  <si>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PUTUMAYO</t>
  </si>
  <si>
    <t>Aipe</t>
  </si>
  <si>
    <t>Neiva/Palermo</t>
  </si>
  <si>
    <t>Neiva</t>
  </si>
  <si>
    <t>Villavicencio</t>
  </si>
  <si>
    <t>Puerto Nare</t>
  </si>
  <si>
    <t>Toledo</t>
  </si>
  <si>
    <t>VSM</t>
  </si>
  <si>
    <t>Cordillera Oriental</t>
  </si>
  <si>
    <t>LLO</t>
  </si>
  <si>
    <t>Putumayo</t>
  </si>
  <si>
    <t>ANTIOQUIA</t>
  </si>
  <si>
    <t>CASANARE</t>
  </si>
  <si>
    <t>CESAR</t>
  </si>
  <si>
    <t>CUNDINAMARCA</t>
  </si>
  <si>
    <t>HUILA</t>
  </si>
  <si>
    <t>META</t>
  </si>
  <si>
    <t>NORTE DE SANTANDER</t>
  </si>
  <si>
    <t>SANTANDER</t>
  </si>
  <si>
    <t>SUCRE</t>
  </si>
  <si>
    <t>TOLIMA</t>
  </si>
  <si>
    <t>BOLIVAR</t>
  </si>
  <si>
    <t>MI MODELO</t>
  </si>
  <si>
    <t>offshore</t>
  </si>
  <si>
    <t>RR (Mmboe)</t>
  </si>
  <si>
    <t>G</t>
  </si>
  <si>
    <t>O</t>
  </si>
  <si>
    <t>G (bcf)</t>
  </si>
  <si>
    <t>Total production, boed</t>
  </si>
  <si>
    <t>FR</t>
  </si>
  <si>
    <t>EC year</t>
  </si>
  <si>
    <t>Intercepto</t>
  </si>
  <si>
    <t>Pendiente</t>
  </si>
  <si>
    <t>boe =</t>
  </si>
  <si>
    <t>scf</t>
  </si>
  <si>
    <t>Produccion@LE (boed)</t>
  </si>
  <si>
    <t>Potencial estimado</t>
  </si>
  <si>
    <t>Mmboe</t>
  </si>
  <si>
    <t>Integral</t>
  </si>
  <si>
    <t>Error</t>
  </si>
  <si>
    <t>Apiay Este</t>
  </si>
  <si>
    <t>Castilla</t>
  </si>
  <si>
    <t>Castilla Este</t>
  </si>
  <si>
    <t>Castilla Norte</t>
  </si>
  <si>
    <t>Casabe Sur</t>
  </si>
  <si>
    <t>Chichimene SW</t>
  </si>
  <si>
    <t>Cupiagua</t>
  </si>
  <si>
    <t>Cupiagua Liria</t>
  </si>
  <si>
    <t>Cupiagua Sur</t>
  </si>
  <si>
    <t>Cusiana Norte</t>
  </si>
  <si>
    <t>Cusiana</t>
  </si>
  <si>
    <t>Dina Terciarios</t>
  </si>
  <si>
    <t>Dina Cretaceos</t>
  </si>
  <si>
    <t>Dina Norte</t>
  </si>
  <si>
    <t>Florena</t>
  </si>
  <si>
    <t>Florena Mirador</t>
  </si>
  <si>
    <t>Según ellos</t>
  </si>
  <si>
    <t>Infantas</t>
  </si>
  <si>
    <t>Pauto Sur Recetor</t>
  </si>
  <si>
    <t>Pauto Sur</t>
  </si>
  <si>
    <t>Teca</t>
  </si>
  <si>
    <t>Yarigui</t>
  </si>
  <si>
    <t>RESERVAS TOTAL</t>
  </si>
  <si>
    <t>RESSERVAS CRUDO</t>
  </si>
  <si>
    <t>RESREVAS GAS</t>
  </si>
  <si>
    <t>Bscf</t>
  </si>
  <si>
    <t>RESERVAS DE GAS</t>
  </si>
  <si>
    <t>según ecp</t>
  </si>
  <si>
    <t>Bonga</t>
  </si>
  <si>
    <t>Provincia</t>
  </si>
  <si>
    <t>Mamey</t>
  </si>
  <si>
    <t>Bonanza</t>
  </si>
  <si>
    <t>Mscf</t>
  </si>
  <si>
    <t>años</t>
  </si>
  <si>
    <t>scf/boe</t>
  </si>
  <si>
    <t>Scf</t>
  </si>
  <si>
    <t>ca</t>
  </si>
  <si>
    <t>be/d</t>
  </si>
  <si>
    <t>Mbe/d</t>
  </si>
  <si>
    <t>g</t>
  </si>
  <si>
    <t>o</t>
  </si>
  <si>
    <t>Según yo</t>
  </si>
  <si>
    <t>ECP, 2019</t>
  </si>
  <si>
    <t>G, Mpc</t>
  </si>
  <si>
    <t>O, bl</t>
  </si>
  <si>
    <t>Barriles</t>
  </si>
  <si>
    <t>%O</t>
  </si>
  <si>
    <t>%O, global</t>
  </si>
  <si>
    <t xml:space="preserve">  </t>
  </si>
  <si>
    <t>Total Reservas</t>
  </si>
  <si>
    <t>Total O</t>
  </si>
  <si>
    <t>O (Mmboe)</t>
  </si>
  <si>
    <t>G (Mmboe)</t>
  </si>
  <si>
    <t>O PJ</t>
  </si>
  <si>
    <t>TJ/kbl</t>
  </si>
  <si>
    <t>PJ</t>
  </si>
  <si>
    <t>G, PJ</t>
  </si>
  <si>
    <t>TJ/MPC</t>
  </si>
  <si>
    <t>PJ/MPC</t>
  </si>
  <si>
    <t>J/bl</t>
  </si>
  <si>
    <t>PJ/bl</t>
  </si>
  <si>
    <t>R, totales, PJ</t>
  </si>
  <si>
    <t>Error calculado</t>
  </si>
  <si>
    <t>GOR</t>
  </si>
  <si>
    <t>AKACIAS</t>
  </si>
  <si>
    <t>2018,0231850117098; 8114,754098360656</t>
  </si>
  <si>
    <t>2018,9135831381734; 19754,09836065574</t>
  </si>
  <si>
    <t>2020,027400468384; 9590,163934426233</t>
  </si>
  <si>
    <t>2021,0482435597191; 16885,245901639348</t>
  </si>
  <si>
    <t>2022,0573770491803; 20081,967213114756</t>
  </si>
  <si>
    <t>2023,125761124122; 19016,393442622953</t>
  </si>
  <si>
    <t>2023,9777517564403; 17213,114754098362</t>
  </si>
  <si>
    <t>2024,9744730679158; 16065,573770491805</t>
  </si>
  <si>
    <t>2029,96018735363; 11065,573770491806</t>
  </si>
  <si>
    <t>2035,0222482435597; 7786,885245901642</t>
  </si>
  <si>
    <t>2039,9440281030445; 5409,836065573771</t>
  </si>
  <si>
    <t>2045,0110070257613; 3852,4590163934445</t>
  </si>
  <si>
    <t>2047,9374707259954; 3114,754098360656</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</si>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</sst>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_-* #,##0.0_-;\-* #,##0.0_-;_-* &quot;-&quot;??_-;_-@_-"/>
    <numFmt numFmtId="166" formatCode="0.0"/>
    <numFmt numFmtId="167" formatCode="0.0%"/>
    <numFmt numFmtId="168" formatCode="0.0000"/>
    <numFmt numFmtId="169" formatCode="0.000"/>
    <numFmt numFmtId="170" formatCode="_-* #,##0.0_-;\-* #,##0.0_-;_-* &quot;-&quot;?_-;_-@_-"/>
  </numFmts>
  <fonts count="22"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0"/>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sz val="5"/>
      <color theme="1"/>
      <name val="Calibri"/>
      <family val="2"/>
      <scheme val="minor"/>
    </font>
    <font>
      <sz val="8"/>
      <color theme="0" tint="-0.249977111117893"/>
      <name val="Calibri"/>
      <family val="2"/>
      <scheme val="minor"/>
    </font>
    <font>
      <b/>
      <sz val="8"/>
      <color theme="1"/>
      <name val="Calibri"/>
      <family val="2"/>
      <scheme val="minor"/>
    </font>
    <font>
      <b/>
      <sz val="9"/>
      <color theme="1"/>
      <name val="Calibri"/>
      <family val="2"/>
      <scheme val="minor"/>
    </font>
    <font>
      <sz val="11"/>
      <color theme="0" tint="-4.9989318521683403E-2"/>
      <name val="Calibri"/>
      <family val="2"/>
      <scheme val="minor"/>
    </font>
    <font>
      <b/>
      <sz val="11"/>
      <color rgb="FFFF0000"/>
      <name val="Calibri"/>
      <family val="2"/>
      <scheme val="minor"/>
    </font>
    <font>
      <sz val="11"/>
      <color theme="0" tint="-0.34998626667073579"/>
      <name val="Calibri"/>
      <family val="2"/>
      <scheme val="minor"/>
    </font>
    <font>
      <b/>
      <sz val="12"/>
      <color rgb="FF202124"/>
      <name val="Arial"/>
      <family val="2"/>
    </font>
    <font>
      <b/>
      <sz val="14"/>
      <color theme="1"/>
      <name val="Calibri"/>
      <family val="2"/>
      <scheme val="minor"/>
    </font>
    <font>
      <b/>
      <vertAlign val="subscript"/>
      <sz val="14"/>
      <color theme="1"/>
      <name val="Calibri"/>
      <family val="2"/>
      <scheme val="minor"/>
    </font>
    <font>
      <b/>
      <sz val="12"/>
      <color rgb="FFFF0000"/>
      <name val="Calibri"/>
      <family val="2"/>
      <scheme val="minor"/>
    </font>
    <font>
      <sz val="9"/>
      <color indexed="81"/>
      <name val="Tahoma"/>
      <family val="2"/>
    </font>
    <font>
      <b/>
      <sz val="9"/>
      <color indexed="81"/>
      <name val="Tahoma"/>
      <family val="2"/>
    </font>
    <font>
      <sz val="11"/>
      <color rgb="FFFF000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00"/>
        <bgColor indexed="64"/>
      </patternFill>
    </fill>
  </fills>
  <borders count="2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top style="double">
        <color indexed="64"/>
      </top>
      <bottom/>
      <diagonal/>
    </border>
    <border>
      <left style="double">
        <color indexed="64"/>
      </left>
      <right/>
      <top style="double">
        <color indexed="64"/>
      </top>
      <bottom/>
      <diagonal/>
    </border>
    <border>
      <left/>
      <right style="double">
        <color indexed="64"/>
      </right>
      <top/>
      <bottom/>
      <diagonal/>
    </border>
    <border>
      <left style="double">
        <color indexed="64"/>
      </left>
      <right/>
      <top/>
      <bottom/>
      <diagonal/>
    </border>
    <border>
      <left style="double">
        <color indexed="64"/>
      </left>
      <right/>
      <top/>
      <bottom style="double">
        <color indexed="64"/>
      </bottom>
      <diagonal/>
    </border>
    <border>
      <left/>
      <right style="double">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double">
        <color indexed="64"/>
      </bottom>
      <diagonal/>
    </border>
    <border>
      <left/>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273">
    <xf numFmtId="0" fontId="0" fillId="0" borderId="0" xfId="0"/>
    <xf numFmtId="0" fontId="0" fillId="2" borderId="0" xfId="0" applyFill="1"/>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2"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5" fillId="2" borderId="2" xfId="0" applyFont="1" applyFill="1" applyBorder="1" applyAlignment="1">
      <alignment horizontal="center" vertical="center" wrapText="1"/>
    </xf>
    <xf numFmtId="164" fontId="5" fillId="2" borderId="2" xfId="1" applyNumberFormat="1" applyFont="1" applyFill="1" applyBorder="1" applyAlignment="1">
      <alignment horizontal="center" vertical="center" wrapText="1"/>
    </xf>
    <xf numFmtId="43" fontId="5" fillId="2" borderId="2" xfId="1" applyFont="1" applyFill="1" applyBorder="1" applyAlignment="1">
      <alignment horizontal="center" vertical="center" wrapText="1"/>
    </xf>
    <xf numFmtId="17" fontId="5" fillId="2" borderId="2" xfId="0" applyNumberFormat="1" applyFont="1" applyFill="1" applyBorder="1" applyAlignment="1">
      <alignment horizontal="center" vertical="center" wrapText="1"/>
    </xf>
    <xf numFmtId="0" fontId="5" fillId="2" borderId="3" xfId="0" applyFont="1" applyFill="1" applyBorder="1" applyAlignment="1">
      <alignment horizontal="center" vertical="center" wrapText="1"/>
    </xf>
    <xf numFmtId="0" fontId="6" fillId="2" borderId="0" xfId="0" applyFont="1" applyFill="1" applyAlignment="1">
      <alignment horizontal="left" vertical="top"/>
    </xf>
    <xf numFmtId="10" fontId="5" fillId="2" borderId="2" xfId="0" applyNumberFormat="1" applyFont="1" applyFill="1" applyBorder="1" applyAlignment="1">
      <alignment horizontal="center" vertical="center" wrapText="1"/>
    </xf>
    <xf numFmtId="15" fontId="5" fillId="2" borderId="2" xfId="0" applyNumberFormat="1" applyFont="1" applyFill="1" applyBorder="1" applyAlignment="1">
      <alignment horizontal="center" vertical="center" wrapText="1"/>
    </xf>
    <xf numFmtId="9" fontId="5" fillId="2" borderId="2" xfId="0" applyNumberFormat="1" applyFont="1" applyFill="1" applyBorder="1" applyAlignment="1">
      <alignment horizontal="center" vertical="center" wrapText="1"/>
    </xf>
    <xf numFmtId="0" fontId="5" fillId="2" borderId="2" xfId="3"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164" fontId="5" fillId="2" borderId="5" xfId="1" applyNumberFormat="1" applyFont="1" applyFill="1" applyBorder="1" applyAlignment="1">
      <alignment horizontal="center" vertical="center" wrapText="1"/>
    </xf>
    <xf numFmtId="43" fontId="5" fillId="2" borderId="5" xfId="1" applyFont="1" applyFill="1" applyBorder="1" applyAlignment="1">
      <alignment horizontal="center" vertical="center" wrapText="1"/>
    </xf>
    <xf numFmtId="0" fontId="5" fillId="2" borderId="6" xfId="0" applyFont="1" applyFill="1" applyBorder="1" applyAlignment="1">
      <alignment horizontal="center" vertical="center" wrapText="1"/>
    </xf>
    <xf numFmtId="15" fontId="6" fillId="2" borderId="0" xfId="0" applyNumberFormat="1" applyFont="1" applyFill="1" applyAlignment="1">
      <alignment horizontal="left" vertical="top"/>
    </xf>
    <xf numFmtId="0" fontId="5" fillId="4"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5" fillId="4" borderId="3" xfId="0" applyFont="1" applyFill="1" applyBorder="1" applyAlignment="1">
      <alignment horizontal="center" vertical="center" wrapText="1"/>
    </xf>
    <xf numFmtId="0" fontId="7" fillId="2" borderId="4" xfId="0" applyFont="1" applyFill="1" applyBorder="1" applyAlignment="1">
      <alignment horizontal="left" vertical="center"/>
    </xf>
    <xf numFmtId="0" fontId="0" fillId="2" borderId="5" xfId="0" applyFill="1" applyBorder="1"/>
    <xf numFmtId="0" fontId="8" fillId="2" borderId="5" xfId="0" applyFont="1" applyFill="1" applyBorder="1" applyAlignment="1">
      <alignment horizontal="center" vertical="center"/>
    </xf>
    <xf numFmtId="0" fontId="6" fillId="2" borderId="5" xfId="0" applyFont="1" applyFill="1" applyBorder="1" applyAlignment="1">
      <alignment horizontal="center"/>
    </xf>
    <xf numFmtId="0" fontId="8" fillId="2" borderId="6" xfId="0" applyFont="1" applyFill="1" applyBorder="1" applyAlignment="1">
      <alignment horizontal="center" vertical="center"/>
    </xf>
    <xf numFmtId="0" fontId="7" fillId="2" borderId="0" xfId="0" applyFont="1" applyFill="1" applyAlignment="1">
      <alignment horizontal="center" vertical="center"/>
    </xf>
    <xf numFmtId="0" fontId="7" fillId="2" borderId="7" xfId="0" applyFont="1" applyFill="1" applyBorder="1"/>
    <xf numFmtId="0" fontId="8" fillId="2" borderId="0" xfId="0" applyFont="1" applyFill="1" applyAlignment="1">
      <alignment horizontal="center" vertical="center"/>
    </xf>
    <xf numFmtId="0" fontId="6" fillId="2" borderId="0" xfId="0" applyFont="1" applyFill="1" applyAlignment="1">
      <alignment horizontal="center"/>
    </xf>
    <xf numFmtId="0" fontId="8" fillId="2" borderId="8" xfId="0" applyFont="1" applyFill="1" applyBorder="1" applyAlignment="1">
      <alignment horizontal="center" vertical="center"/>
    </xf>
    <xf numFmtId="0" fontId="8" fillId="2" borderId="0" xfId="0" applyFont="1" applyFill="1" applyAlignment="1">
      <alignment horizontal="center"/>
    </xf>
    <xf numFmtId="0" fontId="8" fillId="2" borderId="8" xfId="0" applyFont="1" applyFill="1" applyBorder="1" applyAlignment="1">
      <alignment horizontal="center"/>
    </xf>
    <xf numFmtId="0" fontId="7" fillId="2" borderId="9" xfId="0" applyFont="1" applyFill="1" applyBorder="1"/>
    <xf numFmtId="0" fontId="0" fillId="2" borderId="10" xfId="0" applyFill="1" applyBorder="1"/>
    <xf numFmtId="0" fontId="6" fillId="2" borderId="10" xfId="0" applyFont="1" applyFill="1" applyBorder="1" applyAlignment="1">
      <alignment horizontal="center"/>
    </xf>
    <xf numFmtId="0" fontId="6" fillId="2" borderId="11" xfId="0" applyFont="1" applyFill="1" applyBorder="1" applyAlignment="1">
      <alignment horizontal="center"/>
    </xf>
    <xf numFmtId="0" fontId="2" fillId="3" borderId="9" xfId="0" applyFont="1" applyFill="1" applyBorder="1" applyAlignment="1">
      <alignment horizontal="centerContinuous"/>
    </xf>
    <xf numFmtId="0" fontId="0" fillId="3" borderId="10" xfId="0" applyFill="1" applyBorder="1" applyAlignment="1">
      <alignment horizontal="centerContinuous"/>
    </xf>
    <xf numFmtId="0" fontId="0" fillId="3" borderId="10" xfId="0" applyFill="1" applyBorder="1" applyAlignment="1">
      <alignment horizontal="center"/>
    </xf>
    <xf numFmtId="0" fontId="6" fillId="3" borderId="11" xfId="0" applyFont="1" applyFill="1" applyBorder="1" applyAlignment="1">
      <alignment horizontal="center"/>
    </xf>
    <xf numFmtId="0" fontId="2" fillId="3" borderId="10" xfId="0" applyFont="1" applyFill="1" applyBorder="1" applyAlignment="1">
      <alignment horizontal="left"/>
    </xf>
    <xf numFmtId="0" fontId="2" fillId="2" borderId="0" xfId="0" applyFont="1" applyFill="1" applyAlignment="1">
      <alignment horizontal="centerContinuous"/>
    </xf>
    <xf numFmtId="0" fontId="6" fillId="2" borderId="0" xfId="0" applyFont="1" applyFill="1" applyAlignment="1">
      <alignment horizontal="centerContinuous"/>
    </xf>
    <xf numFmtId="0" fontId="2" fillId="3" borderId="7" xfId="0" applyFont="1" applyFill="1" applyBorder="1"/>
    <xf numFmtId="164" fontId="2" fillId="3" borderId="8" xfId="0" applyNumberFormat="1" applyFont="1" applyFill="1" applyBorder="1"/>
    <xf numFmtId="0" fontId="2" fillId="3" borderId="7" xfId="0" applyFont="1" applyFill="1" applyBorder="1" applyAlignment="1">
      <alignment horizontal="left"/>
    </xf>
    <xf numFmtId="0" fontId="2" fillId="3" borderId="0" xfId="0" applyFont="1" applyFill="1" applyAlignment="1">
      <alignment horizontal="left"/>
    </xf>
    <xf numFmtId="0" fontId="2" fillId="3" borderId="5" xfId="0" applyFont="1" applyFill="1" applyBorder="1" applyAlignment="1">
      <alignment horizontal="left"/>
    </xf>
    <xf numFmtId="0" fontId="2" fillId="3" borderId="0" xfId="0" applyFont="1" applyFill="1"/>
    <xf numFmtId="9" fontId="2" fillId="3" borderId="8" xfId="2" applyFont="1" applyFill="1" applyBorder="1"/>
    <xf numFmtId="9" fontId="2" fillId="3" borderId="0" xfId="2" applyFont="1" applyFill="1" applyBorder="1"/>
    <xf numFmtId="2" fontId="2" fillId="3" borderId="0" xfId="2" applyNumberFormat="1" applyFont="1" applyFill="1" applyBorder="1"/>
    <xf numFmtId="10" fontId="2" fillId="3" borderId="12" xfId="0" applyNumberFormat="1" applyFont="1" applyFill="1" applyBorder="1" applyAlignment="1">
      <alignment horizontal="left"/>
    </xf>
    <xf numFmtId="0" fontId="2" fillId="2" borderId="0" xfId="0" applyFont="1" applyFill="1"/>
    <xf numFmtId="9" fontId="2" fillId="2" borderId="0" xfId="2" applyFont="1" applyFill="1" applyBorder="1"/>
    <xf numFmtId="0" fontId="2" fillId="3" borderId="9" xfId="0" applyFont="1" applyFill="1" applyBorder="1"/>
    <xf numFmtId="164" fontId="2" fillId="3" borderId="11" xfId="0" applyNumberFormat="1" applyFont="1" applyFill="1" applyBorder="1"/>
    <xf numFmtId="0" fontId="2" fillId="3" borderId="10" xfId="0" applyFont="1" applyFill="1" applyBorder="1"/>
    <xf numFmtId="9" fontId="2" fillId="3" borderId="11" xfId="2" applyFont="1" applyFill="1" applyBorder="1"/>
    <xf numFmtId="9" fontId="2" fillId="3" borderId="10" xfId="2" applyFont="1" applyFill="1" applyBorder="1"/>
    <xf numFmtId="2" fontId="2" fillId="3" borderId="10" xfId="2" applyNumberFormat="1" applyFont="1" applyFill="1" applyBorder="1"/>
    <xf numFmtId="10" fontId="2" fillId="3" borderId="13" xfId="0" applyNumberFormat="1" applyFont="1" applyFill="1" applyBorder="1" applyAlignment="1">
      <alignment horizontal="left"/>
    </xf>
    <xf numFmtId="165" fontId="5" fillId="2" borderId="2" xfId="1" applyNumberFormat="1"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164" fontId="5" fillId="5" borderId="2" xfId="1" applyNumberFormat="1" applyFont="1" applyFill="1" applyBorder="1" applyAlignment="1">
      <alignment horizontal="center" vertical="center" wrapText="1"/>
    </xf>
    <xf numFmtId="165" fontId="5" fillId="5" borderId="2" xfId="1" applyNumberFormat="1" applyFont="1" applyFill="1" applyBorder="1" applyAlignment="1">
      <alignment horizontal="center" vertical="center" wrapText="1"/>
    </xf>
    <xf numFmtId="0" fontId="2" fillId="3" borderId="11" xfId="0" applyFont="1" applyFill="1" applyBorder="1"/>
    <xf numFmtId="0" fontId="2" fillId="2" borderId="0" xfId="0" applyFont="1" applyFill="1" applyAlignment="1">
      <alignment horizontal="center" wrapText="1"/>
    </xf>
    <xf numFmtId="0" fontId="5" fillId="2" borderId="5" xfId="0" applyFont="1" applyFill="1" applyBorder="1" applyAlignment="1">
      <alignment horizontal="center" vertical="center"/>
    </xf>
    <xf numFmtId="0" fontId="2" fillId="2" borderId="0" xfId="0" applyFont="1" applyFill="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5" xfId="0" applyFill="1" applyBorder="1" applyAlignment="1">
      <alignment horizontal="center"/>
    </xf>
    <xf numFmtId="0" fontId="0" fillId="2" borderId="5" xfId="0" applyFill="1" applyBorder="1" applyAlignment="1">
      <alignment horizontal="center" vertical="center" wrapText="1"/>
    </xf>
    <xf numFmtId="0" fontId="9" fillId="2" borderId="0" xfId="0" applyFont="1" applyFill="1" applyAlignment="1">
      <alignment horizontal="center" vertical="center"/>
    </xf>
    <xf numFmtId="0" fontId="9" fillId="2" borderId="0" xfId="0" applyFont="1" applyFill="1"/>
    <xf numFmtId="0" fontId="0" fillId="2" borderId="0" xfId="0" applyFill="1" applyAlignment="1">
      <alignment horizontal="right"/>
    </xf>
    <xf numFmtId="0" fontId="0" fillId="2" borderId="0" xfId="0" applyFill="1" applyAlignment="1">
      <alignment horizontal="left"/>
    </xf>
    <xf numFmtId="0" fontId="2" fillId="2" borderId="0" xfId="0" applyFont="1" applyFill="1" applyAlignment="1">
      <alignment horizontal="center"/>
    </xf>
    <xf numFmtId="0" fontId="10" fillId="2" borderId="0" xfId="0" applyFont="1" applyFill="1" applyAlignment="1">
      <alignment horizontal="center" wrapText="1"/>
    </xf>
    <xf numFmtId="164" fontId="6" fillId="2" borderId="0" xfId="1" applyNumberFormat="1" applyFont="1" applyFill="1" applyAlignment="1">
      <alignment horizontal="center" vertical="center"/>
    </xf>
    <xf numFmtId="164" fontId="6" fillId="2" borderId="0" xfId="1" applyNumberFormat="1" applyFont="1" applyFill="1" applyAlignment="1">
      <alignment horizontal="center" vertical="center" wrapText="1"/>
    </xf>
    <xf numFmtId="0" fontId="11" fillId="2" borderId="0" xfId="0" applyFont="1" applyFill="1" applyAlignment="1">
      <alignment horizontal="center"/>
    </xf>
    <xf numFmtId="0" fontId="12" fillId="2" borderId="0" xfId="0" applyFont="1" applyFill="1"/>
    <xf numFmtId="164" fontId="7" fillId="2" borderId="5" xfId="1" applyNumberFormat="1" applyFont="1" applyFill="1" applyBorder="1" applyAlignment="1">
      <alignment horizontal="center" vertical="center" wrapText="1"/>
    </xf>
    <xf numFmtId="166" fontId="0" fillId="6" borderId="5" xfId="0" applyNumberFormat="1" applyFill="1" applyBorder="1"/>
    <xf numFmtId="164" fontId="0" fillId="2" borderId="0" xfId="0" applyNumberFormat="1" applyFill="1"/>
    <xf numFmtId="2" fontId="0" fillId="2" borderId="0" xfId="0" applyNumberFormat="1" applyFill="1"/>
    <xf numFmtId="0" fontId="5" fillId="2" borderId="0" xfId="0" applyFont="1" applyFill="1"/>
    <xf numFmtId="0" fontId="0" fillId="2" borderId="14" xfId="0" applyFill="1" applyBorder="1" applyAlignment="1">
      <alignment horizontal="center" vertical="center"/>
    </xf>
    <xf numFmtId="0" fontId="0" fillId="2" borderId="0" xfId="0" applyFill="1" applyAlignment="1">
      <alignment horizontal="center"/>
    </xf>
    <xf numFmtId="0" fontId="12" fillId="2" borderId="0" xfId="0" applyFont="1" applyFill="1" applyAlignment="1">
      <alignment horizontal="center"/>
    </xf>
    <xf numFmtId="0" fontId="0" fillId="2" borderId="0" xfId="0" applyFill="1" applyAlignment="1">
      <alignment horizontal="right" vertical="center"/>
    </xf>
    <xf numFmtId="164" fontId="0" fillId="2" borderId="0" xfId="1" applyNumberFormat="1" applyFont="1" applyFill="1" applyAlignment="1">
      <alignment vertical="center"/>
    </xf>
    <xf numFmtId="167" fontId="0" fillId="2" borderId="0" xfId="0" applyNumberFormat="1" applyFill="1"/>
    <xf numFmtId="0" fontId="0" fillId="2" borderId="0" xfId="0" applyFill="1" applyAlignment="1">
      <alignment horizontal="right" wrapText="1"/>
    </xf>
    <xf numFmtId="167" fontId="0" fillId="2" borderId="0" xfId="0" applyNumberFormat="1" applyFill="1" applyAlignment="1">
      <alignment horizontal="center" vertical="center"/>
    </xf>
    <xf numFmtId="164" fontId="0" fillId="2" borderId="0" xfId="1" applyNumberFormat="1" applyFont="1" applyFill="1"/>
    <xf numFmtId="43" fontId="0" fillId="2" borderId="0" xfId="0" applyNumberFormat="1" applyFill="1"/>
    <xf numFmtId="164" fontId="0" fillId="2" borderId="0" xfId="1" applyNumberFormat="1" applyFont="1" applyFill="1" applyBorder="1" applyAlignment="1">
      <alignment horizontal="center" vertical="center"/>
    </xf>
    <xf numFmtId="167" fontId="0" fillId="2" borderId="0" xfId="1" applyNumberFormat="1" applyFont="1" applyFill="1" applyBorder="1" applyAlignment="1">
      <alignment horizontal="center" vertical="center"/>
    </xf>
    <xf numFmtId="164" fontId="0" fillId="2" borderId="0" xfId="1" applyNumberFormat="1" applyFont="1" applyFill="1" applyAlignment="1">
      <alignment horizontal="center" vertical="center"/>
    </xf>
    <xf numFmtId="10" fontId="0" fillId="2" borderId="0" xfId="0" applyNumberFormat="1" applyFill="1" applyAlignment="1">
      <alignment horizontal="center" vertical="center"/>
    </xf>
    <xf numFmtId="9" fontId="0" fillId="2" borderId="0" xfId="0" applyNumberFormat="1" applyFill="1" applyAlignment="1">
      <alignment horizontal="center" vertical="center"/>
    </xf>
    <xf numFmtId="164" fontId="0" fillId="2" borderId="14" xfId="1" applyNumberFormat="1" applyFont="1" applyFill="1" applyBorder="1" applyAlignment="1">
      <alignment horizontal="center" vertical="center"/>
    </xf>
    <xf numFmtId="9" fontId="0" fillId="2" borderId="14" xfId="0" applyNumberFormat="1" applyFill="1" applyBorder="1" applyAlignment="1">
      <alignment horizontal="center" vertical="center"/>
    </xf>
    <xf numFmtId="0" fontId="0" fillId="2" borderId="16" xfId="0" applyFill="1" applyBorder="1"/>
    <xf numFmtId="9" fontId="0" fillId="2" borderId="0" xfId="0" applyNumberFormat="1" applyFill="1" applyAlignment="1">
      <alignment horizontal="center"/>
    </xf>
    <xf numFmtId="164" fontId="0" fillId="2" borderId="17" xfId="1" applyNumberFormat="1" applyFont="1" applyFill="1" applyBorder="1"/>
    <xf numFmtId="167" fontId="0" fillId="2" borderId="18" xfId="0" applyNumberFormat="1" applyFill="1" applyBorder="1" applyAlignment="1">
      <alignment horizontal="center" vertical="center"/>
    </xf>
    <xf numFmtId="164" fontId="0" fillId="2" borderId="0" xfId="1" applyNumberFormat="1" applyFont="1" applyFill="1" applyBorder="1"/>
    <xf numFmtId="167" fontId="0" fillId="2" borderId="0" xfId="0" applyNumberFormat="1" applyFill="1" applyAlignment="1">
      <alignment horizontal="center"/>
    </xf>
    <xf numFmtId="0" fontId="0" fillId="2" borderId="0" xfId="0" applyFill="1" applyAlignment="1">
      <alignment vertical="center"/>
    </xf>
    <xf numFmtId="164" fontId="0" fillId="2" borderId="19" xfId="1" applyNumberFormat="1" applyFont="1" applyFill="1" applyBorder="1"/>
    <xf numFmtId="164" fontId="0" fillId="2" borderId="14" xfId="1" applyNumberFormat="1" applyFont="1" applyFill="1" applyBorder="1"/>
    <xf numFmtId="167" fontId="0" fillId="2" borderId="14" xfId="0" applyNumberFormat="1" applyFill="1" applyBorder="1" applyAlignment="1">
      <alignment horizontal="center" vertical="center"/>
    </xf>
    <xf numFmtId="164" fontId="0" fillId="2" borderId="20" xfId="1" applyNumberFormat="1" applyFont="1" applyFill="1" applyBorder="1"/>
    <xf numFmtId="167" fontId="0" fillId="2" borderId="14" xfId="1" applyNumberFormat="1" applyFont="1" applyFill="1" applyBorder="1" applyAlignment="1">
      <alignment horizontal="center"/>
    </xf>
    <xf numFmtId="167" fontId="0" fillId="2" borderId="21" xfId="0" applyNumberFormat="1" applyFill="1" applyBorder="1" applyAlignment="1">
      <alignment horizontal="center" vertical="center"/>
    </xf>
    <xf numFmtId="164" fontId="0" fillId="2" borderId="16" xfId="0" applyNumberFormat="1" applyFill="1" applyBorder="1"/>
    <xf numFmtId="0" fontId="0" fillId="7" borderId="15" xfId="0" applyFill="1" applyBorder="1"/>
    <xf numFmtId="164" fontId="0" fillId="7" borderId="15" xfId="0" applyNumberFormat="1" applyFill="1" applyBorder="1"/>
    <xf numFmtId="167" fontId="0" fillId="7" borderId="22" xfId="0" applyNumberFormat="1" applyFill="1" applyBorder="1" applyAlignment="1">
      <alignment horizontal="center" vertical="center"/>
    </xf>
    <xf numFmtId="0" fontId="0" fillId="2" borderId="21" xfId="0" applyFill="1" applyBorder="1" applyAlignment="1">
      <alignment horizontal="center" vertical="center"/>
    </xf>
    <xf numFmtId="9" fontId="0" fillId="2" borderId="18" xfId="0" applyNumberFormat="1" applyFill="1" applyBorder="1" applyAlignment="1">
      <alignment horizontal="center" vertical="center"/>
    </xf>
    <xf numFmtId="43" fontId="0" fillId="2" borderId="0" xfId="0" applyNumberFormat="1" applyFill="1" applyAlignment="1">
      <alignment horizontal="center" vertical="center"/>
    </xf>
    <xf numFmtId="164" fontId="14" fillId="2" borderId="0" xfId="1" applyNumberFormat="1" applyFont="1" applyFill="1" applyAlignment="1">
      <alignment horizontal="center" vertical="center"/>
    </xf>
    <xf numFmtId="167" fontId="0" fillId="2" borderId="0" xfId="0" applyNumberFormat="1" applyFill="1" applyAlignment="1">
      <alignment vertical="center"/>
    </xf>
    <xf numFmtId="0" fontId="0" fillId="2" borderId="14" xfId="0" applyFill="1" applyBorder="1"/>
    <xf numFmtId="9" fontId="0" fillId="2" borderId="23" xfId="0" applyNumberFormat="1" applyFill="1" applyBorder="1" applyAlignment="1">
      <alignment horizontal="center" vertical="center"/>
    </xf>
    <xf numFmtId="43" fontId="0" fillId="2" borderId="14" xfId="0" applyNumberFormat="1" applyFill="1" applyBorder="1" applyAlignment="1">
      <alignment horizontal="center" vertical="center"/>
    </xf>
    <xf numFmtId="0" fontId="14" fillId="2" borderId="0" xfId="0" applyFont="1" applyFill="1"/>
    <xf numFmtId="166" fontId="14" fillId="2" borderId="0" xfId="0" applyNumberFormat="1" applyFont="1" applyFill="1"/>
    <xf numFmtId="164" fontId="0" fillId="2" borderId="0" xfId="0" applyNumberFormat="1" applyFill="1" applyAlignment="1">
      <alignment horizontal="center" vertical="center"/>
    </xf>
    <xf numFmtId="0" fontId="0" fillId="7" borderId="14" xfId="0" applyFill="1" applyBorder="1"/>
    <xf numFmtId="164" fontId="14" fillId="7" borderId="14" xfId="1" applyNumberFormat="1" applyFont="1" applyFill="1" applyBorder="1" applyAlignment="1">
      <alignment horizontal="center" vertical="center"/>
    </xf>
    <xf numFmtId="9" fontId="0" fillId="7" borderId="23" xfId="0" applyNumberFormat="1" applyFill="1" applyBorder="1" applyAlignment="1">
      <alignment horizontal="center" vertical="center"/>
    </xf>
    <xf numFmtId="167" fontId="0" fillId="7" borderId="14" xfId="0" applyNumberFormat="1" applyFill="1" applyBorder="1" applyAlignment="1">
      <alignment vertical="center"/>
    </xf>
    <xf numFmtId="164" fontId="14" fillId="2" borderId="0" xfId="0" applyNumberFormat="1" applyFont="1" applyFill="1"/>
    <xf numFmtId="9" fontId="0" fillId="2" borderId="0" xfId="0" applyNumberFormat="1" applyFill="1"/>
    <xf numFmtId="2" fontId="14" fillId="8" borderId="0" xfId="0" applyNumberFormat="1" applyFont="1" applyFill="1"/>
    <xf numFmtId="0" fontId="0" fillId="2" borderId="24" xfId="0" applyFill="1" applyBorder="1"/>
    <xf numFmtId="0" fontId="2" fillId="2" borderId="24" xfId="0" applyFont="1" applyFill="1" applyBorder="1" applyAlignment="1">
      <alignment horizontal="center" vertical="center"/>
    </xf>
    <xf numFmtId="0" fontId="0" fillId="2" borderId="24" xfId="0" applyFill="1" applyBorder="1" applyAlignment="1">
      <alignment horizontal="center" vertical="center"/>
    </xf>
    <xf numFmtId="1" fontId="0" fillId="2" borderId="0" xfId="0" applyNumberFormat="1" applyFill="1" applyAlignment="1">
      <alignment horizontal="center"/>
    </xf>
    <xf numFmtId="9" fontId="0" fillId="2" borderId="0" xfId="2" applyFont="1" applyFill="1" applyAlignment="1">
      <alignment horizontal="center"/>
    </xf>
    <xf numFmtId="1" fontId="0" fillId="2" borderId="0" xfId="0" applyNumberFormat="1" applyFill="1" applyAlignment="1">
      <alignment horizontal="center" vertical="center"/>
    </xf>
    <xf numFmtId="2" fontId="0" fillId="2" borderId="0" xfId="0" applyNumberFormat="1" applyFill="1" applyAlignment="1">
      <alignment horizontal="center"/>
    </xf>
    <xf numFmtId="166" fontId="0" fillId="2" borderId="0" xfId="0" applyNumberFormat="1" applyFill="1" applyAlignment="1">
      <alignment horizontal="center" vertical="center"/>
    </xf>
    <xf numFmtId="0" fontId="0" fillId="2" borderId="14" xfId="0" applyFill="1" applyBorder="1" applyAlignment="1">
      <alignment vertical="center"/>
    </xf>
    <xf numFmtId="1" fontId="0" fillId="2" borderId="14" xfId="0" applyNumberFormat="1" applyFill="1" applyBorder="1" applyAlignment="1">
      <alignment horizontal="center"/>
    </xf>
    <xf numFmtId="9" fontId="0" fillId="2" borderId="14" xfId="2" applyFont="1" applyFill="1" applyBorder="1" applyAlignment="1">
      <alignment horizontal="center"/>
    </xf>
    <xf numFmtId="1" fontId="0" fillId="2" borderId="14" xfId="0" applyNumberFormat="1" applyFill="1" applyBorder="1" applyAlignment="1">
      <alignment horizontal="center" vertical="center"/>
    </xf>
    <xf numFmtId="167" fontId="0" fillId="2" borderId="14" xfId="0" applyNumberFormat="1" applyFill="1" applyBorder="1" applyAlignment="1">
      <alignment horizontal="center"/>
    </xf>
    <xf numFmtId="2" fontId="0" fillId="7" borderId="15" xfId="0" applyNumberFormat="1" applyFill="1" applyBorder="1" applyAlignment="1">
      <alignment horizontal="center"/>
    </xf>
    <xf numFmtId="9" fontId="0" fillId="7" borderId="15" xfId="2" applyFont="1" applyFill="1" applyBorder="1" applyAlignment="1">
      <alignment horizontal="center"/>
    </xf>
    <xf numFmtId="166" fontId="0" fillId="7" borderId="15" xfId="0" applyNumberFormat="1" applyFill="1" applyBorder="1" applyAlignment="1">
      <alignment horizontal="center" vertical="center"/>
    </xf>
    <xf numFmtId="167" fontId="0" fillId="7" borderId="15" xfId="0" applyNumberFormat="1" applyFill="1" applyBorder="1" applyAlignment="1">
      <alignment horizontal="center"/>
    </xf>
    <xf numFmtId="1" fontId="0" fillId="2" borderId="5" xfId="0" applyNumberFormat="1" applyFill="1" applyBorder="1" applyAlignment="1">
      <alignment horizontal="center" vertical="center"/>
    </xf>
    <xf numFmtId="9" fontId="0" fillId="2" borderId="5" xfId="0" applyNumberFormat="1" applyFill="1" applyBorder="1" applyAlignment="1">
      <alignment horizontal="center" vertical="center"/>
    </xf>
    <xf numFmtId="2" fontId="0" fillId="2" borderId="5" xfId="0" applyNumberFormat="1" applyFill="1" applyBorder="1" applyAlignment="1">
      <alignment horizontal="center" vertical="center"/>
    </xf>
    <xf numFmtId="166" fontId="0" fillId="2" borderId="5" xfId="0" applyNumberFormat="1" applyFill="1" applyBorder="1" applyAlignment="1">
      <alignment horizontal="center" vertical="center"/>
    </xf>
    <xf numFmtId="0" fontId="0" fillId="2" borderId="15" xfId="0" applyFill="1" applyBorder="1"/>
    <xf numFmtId="1" fontId="0" fillId="2" borderId="15" xfId="0" applyNumberFormat="1" applyFill="1" applyBorder="1" applyAlignment="1">
      <alignment horizontal="center" vertical="center"/>
    </xf>
    <xf numFmtId="9" fontId="0" fillId="2" borderId="15" xfId="0" applyNumberFormat="1" applyFill="1" applyBorder="1" applyAlignment="1">
      <alignment horizontal="center" vertical="center"/>
    </xf>
    <xf numFmtId="2" fontId="0" fillId="2" borderId="15" xfId="0" applyNumberFormat="1" applyFill="1" applyBorder="1" applyAlignment="1">
      <alignment horizontal="center" vertical="center"/>
    </xf>
    <xf numFmtId="166" fontId="0" fillId="2" borderId="15" xfId="0" applyNumberFormat="1" applyFill="1" applyBorder="1" applyAlignment="1">
      <alignment horizontal="center" vertical="center"/>
    </xf>
    <xf numFmtId="0" fontId="0" fillId="2" borderId="14" xfId="0" applyFill="1" applyBorder="1" applyAlignment="1">
      <alignment horizontal="right"/>
    </xf>
    <xf numFmtId="9" fontId="0" fillId="2" borderId="0" xfId="2" applyFont="1" applyFill="1" applyAlignment="1">
      <alignment horizontal="center" vertical="center"/>
    </xf>
    <xf numFmtId="9" fontId="0" fillId="2" borderId="14" xfId="2" applyFont="1" applyFill="1" applyBorder="1" applyAlignment="1">
      <alignment horizontal="center" vertical="center"/>
    </xf>
    <xf numFmtId="2" fontId="0" fillId="2" borderId="14" xfId="0" applyNumberFormat="1" applyFill="1" applyBorder="1" applyAlignment="1">
      <alignment horizontal="center"/>
    </xf>
    <xf numFmtId="0" fontId="16" fillId="2" borderId="0" xfId="0" applyFont="1" applyFill="1" applyAlignment="1">
      <alignment horizontal="center" vertical="center" wrapText="1"/>
    </xf>
    <xf numFmtId="0" fontId="0" fillId="9" borderId="0" xfId="0" applyFill="1"/>
    <xf numFmtId="0" fontId="16" fillId="6" borderId="0" xfId="0" applyFont="1" applyFill="1" applyAlignment="1">
      <alignment horizontal="center" vertical="center" wrapText="1"/>
    </xf>
    <xf numFmtId="0" fontId="5" fillId="6" borderId="5" xfId="0" applyFont="1" applyFill="1" applyBorder="1" applyAlignment="1">
      <alignment horizontal="center" vertical="center" wrapText="1"/>
    </xf>
    <xf numFmtId="0" fontId="2" fillId="0" borderId="0" xfId="0" applyFont="1"/>
    <xf numFmtId="1" fontId="5" fillId="6" borderId="5" xfId="0" applyNumberFormat="1" applyFont="1" applyFill="1" applyBorder="1" applyAlignment="1">
      <alignment horizontal="center" vertical="center" wrapText="1"/>
    </xf>
    <xf numFmtId="166" fontId="5" fillId="2" borderId="5" xfId="0" applyNumberFormat="1" applyFont="1" applyFill="1" applyBorder="1" applyAlignment="1">
      <alignment horizontal="center" vertical="center" wrapText="1"/>
    </xf>
    <xf numFmtId="9" fontId="0" fillId="0" borderId="0" xfId="2" applyFont="1"/>
    <xf numFmtId="164" fontId="0" fillId="0" borderId="0" xfId="1" applyNumberFormat="1" applyFont="1"/>
    <xf numFmtId="164" fontId="0" fillId="0" borderId="0" xfId="0" applyNumberFormat="1"/>
    <xf numFmtId="0" fontId="5" fillId="9" borderId="5" xfId="0" applyFont="1" applyFill="1" applyBorder="1" applyAlignment="1">
      <alignment horizontal="center" vertical="center"/>
    </xf>
    <xf numFmtId="164" fontId="0" fillId="9" borderId="0" xfId="1" applyNumberFormat="1" applyFont="1" applyFill="1"/>
    <xf numFmtId="9" fontId="0" fillId="9" borderId="0" xfId="2" applyFont="1" applyFill="1"/>
    <xf numFmtId="164" fontId="0" fillId="9" borderId="0" xfId="0" applyNumberFormat="1" applyFill="1"/>
    <xf numFmtId="0" fontId="0" fillId="9" borderId="5" xfId="0" applyFill="1" applyBorder="1" applyAlignment="1">
      <alignment horizontal="center" vertical="center" wrapText="1"/>
    </xf>
    <xf numFmtId="0" fontId="0" fillId="0" borderId="0" xfId="0" applyAlignment="1">
      <alignment horizontal="center" vertical="center"/>
    </xf>
    <xf numFmtId="43" fontId="0" fillId="0" borderId="0" xfId="1" applyFont="1" applyAlignment="1">
      <alignment horizontal="center" vertical="center"/>
    </xf>
    <xf numFmtId="10" fontId="0" fillId="0" borderId="0" xfId="0" applyNumberFormat="1" applyAlignment="1">
      <alignment horizontal="center" vertical="center"/>
    </xf>
    <xf numFmtId="165" fontId="0" fillId="0" borderId="9" xfId="1" applyNumberFormat="1" applyFont="1" applyBorder="1" applyAlignment="1">
      <alignment horizontal="center" vertical="center"/>
    </xf>
    <xf numFmtId="165" fontId="0" fillId="0" borderId="10" xfId="1" applyNumberFormat="1" applyFont="1" applyBorder="1" applyAlignment="1">
      <alignment horizontal="center" vertical="center"/>
    </xf>
    <xf numFmtId="0" fontId="0" fillId="0" borderId="11" xfId="0" applyBorder="1" applyAlignment="1">
      <alignment horizontal="center" vertical="center"/>
    </xf>
    <xf numFmtId="10" fontId="0" fillId="0" borderId="13" xfId="0" applyNumberFormat="1" applyBorder="1" applyAlignment="1">
      <alignment horizontal="center" vertical="center"/>
    </xf>
    <xf numFmtId="1" fontId="0" fillId="0" borderId="9" xfId="1" applyNumberFormat="1" applyFont="1" applyBorder="1" applyAlignment="1">
      <alignment horizontal="center" vertical="center"/>
    </xf>
    <xf numFmtId="164" fontId="0" fillId="0" borderId="9" xfId="1" applyNumberFormat="1" applyFont="1" applyBorder="1" applyAlignment="1">
      <alignment horizontal="center" vertical="center"/>
    </xf>
    <xf numFmtId="164" fontId="0" fillId="0" borderId="10" xfId="1" applyNumberFormat="1" applyFont="1" applyBorder="1" applyAlignment="1">
      <alignment horizontal="center" vertical="center"/>
    </xf>
    <xf numFmtId="0" fontId="0" fillId="0" borderId="11" xfId="0" applyBorder="1"/>
    <xf numFmtId="0" fontId="0" fillId="0" borderId="0" xfId="0" applyAlignment="1">
      <alignment horizontal="center"/>
    </xf>
    <xf numFmtId="0" fontId="0" fillId="0" borderId="10" xfId="0" applyBorder="1" applyAlignment="1">
      <alignment horizontal="center" vertical="center"/>
    </xf>
    <xf numFmtId="0" fontId="0" fillId="0" borderId="4" xfId="0" applyBorder="1" applyAlignment="1">
      <alignment horizontal="centerContinuous" vertical="center"/>
    </xf>
    <xf numFmtId="0" fontId="0" fillId="0" borderId="5" xfId="0" applyBorder="1" applyAlignment="1">
      <alignment horizontal="centerContinuous" vertical="center"/>
    </xf>
    <xf numFmtId="0" fontId="0" fillId="0" borderId="6" xfId="0" applyBorder="1" applyAlignment="1">
      <alignment horizontal="centerContinuous" vertical="center"/>
    </xf>
    <xf numFmtId="0" fontId="0" fillId="0" borderId="9" xfId="0" applyBorder="1"/>
    <xf numFmtId="1" fontId="0" fillId="0" borderId="13" xfId="0" applyNumberFormat="1" applyBorder="1"/>
    <xf numFmtId="165" fontId="0" fillId="0" borderId="0" xfId="0" applyNumberFormat="1"/>
    <xf numFmtId="164" fontId="0" fillId="0" borderId="0" xfId="1" applyNumberFormat="1" applyFont="1" applyBorder="1" applyAlignment="1">
      <alignment horizontal="center" vertical="center"/>
    </xf>
    <xf numFmtId="164" fontId="0" fillId="0" borderId="0" xfId="0" applyNumberFormat="1" applyAlignment="1">
      <alignment horizontal="center"/>
    </xf>
    <xf numFmtId="164" fontId="0" fillId="0" borderId="0" xfId="1" applyNumberFormat="1" applyFont="1" applyBorder="1" applyAlignment="1">
      <alignment horizont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5" xfId="0" applyFont="1" applyBorder="1" applyAlignment="1">
      <alignment horizontal="center" vertical="center"/>
    </xf>
    <xf numFmtId="0" fontId="2" fillId="0" borderId="1" xfId="0" applyFont="1" applyBorder="1"/>
    <xf numFmtId="0" fontId="2" fillId="0" borderId="3" xfId="0" applyFont="1" applyBorder="1"/>
    <xf numFmtId="0" fontId="2" fillId="0" borderId="25" xfId="0" applyFont="1" applyBorder="1"/>
    <xf numFmtId="168" fontId="0" fillId="0" borderId="0" xfId="0" applyNumberFormat="1"/>
    <xf numFmtId="168" fontId="0" fillId="0" borderId="7" xfId="0" applyNumberFormat="1" applyBorder="1"/>
    <xf numFmtId="168" fontId="0" fillId="0" borderId="8" xfId="0" applyNumberFormat="1" applyBorder="1"/>
    <xf numFmtId="168" fontId="0" fillId="0" borderId="9" xfId="0" applyNumberFormat="1" applyBorder="1"/>
    <xf numFmtId="168" fontId="0" fillId="0" borderId="11" xfId="0" applyNumberFormat="1" applyBorder="1"/>
    <xf numFmtId="10" fontId="0" fillId="0" borderId="0" xfId="0" applyNumberFormat="1"/>
    <xf numFmtId="166" fontId="0" fillId="0" borderId="0" xfId="0" applyNumberFormat="1"/>
    <xf numFmtId="166" fontId="0" fillId="0" borderId="0" xfId="0" applyNumberFormat="1" applyAlignment="1">
      <alignment horizontal="center" vertical="center"/>
    </xf>
    <xf numFmtId="1" fontId="0" fillId="0" borderId="0" xfId="0" applyNumberFormat="1" applyAlignment="1">
      <alignment horizontal="center" vertical="center"/>
    </xf>
    <xf numFmtId="0" fontId="0" fillId="0" borderId="7" xfId="0" applyBorder="1"/>
    <xf numFmtId="0" fontId="0" fillId="0" borderId="8" xfId="0" applyBorder="1"/>
    <xf numFmtId="1" fontId="0" fillId="0" borderId="26" xfId="0" applyNumberFormat="1" applyBorder="1"/>
    <xf numFmtId="9" fontId="21" fillId="10" borderId="0" xfId="2" applyFont="1" applyFill="1"/>
    <xf numFmtId="169" fontId="2" fillId="0" borderId="25" xfId="0" applyNumberFormat="1" applyFont="1" applyBorder="1" applyAlignment="1">
      <alignment horizontal="center" vertical="center"/>
    </xf>
    <xf numFmtId="1" fontId="2" fillId="0" borderId="25" xfId="0" applyNumberFormat="1" applyFont="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1" fontId="2" fillId="3" borderId="9" xfId="1" applyNumberFormat="1" applyFont="1" applyFill="1" applyBorder="1" applyAlignment="1">
      <alignment horizontal="center" vertical="center"/>
    </xf>
    <xf numFmtId="1" fontId="0" fillId="3" borderId="0" xfId="0" applyNumberFormat="1" applyFill="1" applyAlignment="1">
      <alignment horizontal="center" vertical="center"/>
    </xf>
    <xf numFmtId="9" fontId="0" fillId="3" borderId="0" xfId="2" applyFont="1" applyFill="1" applyAlignment="1">
      <alignment horizontal="center" vertical="center"/>
    </xf>
    <xf numFmtId="9" fontId="0" fillId="0" borderId="0" xfId="0" applyNumberFormat="1"/>
    <xf numFmtId="170" fontId="0" fillId="0" borderId="0" xfId="0" applyNumberFormat="1"/>
    <xf numFmtId="166" fontId="0" fillId="0" borderId="0" xfId="0" applyNumberFormat="1" applyAlignment="1">
      <alignment horizontal="center"/>
    </xf>
    <xf numFmtId="0" fontId="2" fillId="0" borderId="0" xfId="0" applyFont="1" applyAlignment="1">
      <alignment horizontal="center" vertical="center"/>
    </xf>
    <xf numFmtId="1" fontId="0" fillId="0" borderId="0" xfId="0" applyNumberFormat="1"/>
    <xf numFmtId="1" fontId="0" fillId="0" borderId="0" xfId="0" applyNumberFormat="1" applyAlignment="1">
      <alignment horizontal="center"/>
    </xf>
    <xf numFmtId="2" fontId="0" fillId="0" borderId="5" xfId="0" applyNumberFormat="1" applyBorder="1"/>
    <xf numFmtId="0" fontId="0" fillId="10" borderId="0" xfId="0" applyFill="1" applyAlignment="1">
      <alignment horizontal="center" vertical="center"/>
    </xf>
    <xf numFmtId="1" fontId="0" fillId="10" borderId="0" xfId="0" applyNumberFormat="1" applyFill="1" applyAlignment="1">
      <alignment horizontal="center" vertical="center"/>
    </xf>
    <xf numFmtId="169" fontId="0" fillId="0" borderId="0" xfId="0" applyNumberFormat="1"/>
    <xf numFmtId="2" fontId="2" fillId="0" borderId="0" xfId="1" applyNumberFormat="1" applyFont="1" applyBorder="1" applyAlignment="1">
      <alignment horizontal="center" vertical="center"/>
    </xf>
    <xf numFmtId="1" fontId="2" fillId="0" borderId="0" xfId="0" applyNumberFormat="1" applyFont="1" applyAlignment="1">
      <alignment horizontal="center" vertical="center"/>
    </xf>
    <xf numFmtId="1" fontId="2" fillId="0" borderId="0" xfId="1" applyNumberFormat="1" applyFont="1" applyBorder="1" applyAlignment="1">
      <alignment horizontal="center" vertical="center"/>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3" borderId="5" xfId="0" applyFill="1" applyBorder="1" applyAlignment="1">
      <alignment horizontal="center"/>
    </xf>
    <xf numFmtId="0" fontId="2" fillId="3" borderId="7" xfId="0" applyFont="1" applyFill="1" applyBorder="1" applyAlignment="1">
      <alignment horizontal="left"/>
    </xf>
    <xf numFmtId="0" fontId="2" fillId="3" borderId="0" xfId="0" applyFont="1" applyFill="1" applyAlignment="1">
      <alignment horizontal="left"/>
    </xf>
    <xf numFmtId="0" fontId="15" fillId="0" borderId="5" xfId="0" applyFont="1" applyBorder="1" applyAlignment="1">
      <alignment horizontal="center"/>
    </xf>
    <xf numFmtId="0" fontId="15" fillId="0" borderId="5" xfId="0" applyFont="1" applyBorder="1" applyAlignment="1">
      <alignment horizontal="center" vertical="center"/>
    </xf>
    <xf numFmtId="0" fontId="15" fillId="2" borderId="15" xfId="0" applyFont="1" applyFill="1" applyBorder="1" applyAlignment="1">
      <alignment horizontal="center" vertical="center"/>
    </xf>
    <xf numFmtId="0" fontId="2" fillId="2" borderId="15" xfId="0" applyFont="1" applyFill="1" applyBorder="1" applyAlignment="1">
      <alignment horizontal="center"/>
    </xf>
    <xf numFmtId="0" fontId="2" fillId="2" borderId="14" xfId="0" applyFont="1" applyFill="1" applyBorder="1" applyAlignment="1">
      <alignment horizontal="center"/>
    </xf>
    <xf numFmtId="0" fontId="2" fillId="2" borderId="0" xfId="0" applyFont="1" applyFill="1" applyAlignment="1">
      <alignment horizontal="center" vertical="center" wrapText="1"/>
    </xf>
    <xf numFmtId="0" fontId="2" fillId="2" borderId="15" xfId="0" applyFont="1" applyFill="1" applyBorder="1" applyAlignment="1">
      <alignment horizontal="center" vertical="center"/>
    </xf>
    <xf numFmtId="0" fontId="2" fillId="2" borderId="15" xfId="0" applyFont="1" applyFill="1" applyBorder="1" applyAlignment="1">
      <alignment horizontal="center" wrapText="1"/>
    </xf>
    <xf numFmtId="0" fontId="18" fillId="0" borderId="0" xfId="0" applyFont="1" applyAlignment="1">
      <alignment horizontal="center"/>
    </xf>
    <xf numFmtId="0" fontId="0" fillId="0" borderId="10" xfId="0" applyBorder="1" applyAlignment="1">
      <alignment horizontal="center"/>
    </xf>
  </cellXfs>
  <cellStyles count="4">
    <cellStyle name="Hipervínculo" xfId="3" builtinId="8"/>
    <cellStyle name="Millares" xfId="1" builtinId="3"/>
    <cellStyle name="Normal" xfId="0" builtinId="0"/>
    <cellStyle name="Porcentaje" xfId="2" builtinId="5"/>
  </cellStyles>
  <dxfs count="46">
    <dxf>
      <fill>
        <patternFill>
          <bgColor rgb="FFFF0000"/>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17/06/relationships/rdRichValue" Target="richData/rdrichvalue.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20/07/relationships/rdRichValueWebImage" Target="richData/rdRichValueWebImage.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_xlchart.v6.5</cx:f>
        <cx:nf>_xlchart.v6.4</cx:nf>
      </cx:strDim>
      <cx:numDim type="colorVal">
        <cx:f>_xlchart.v6.7</cx:f>
        <cx:nf>_xlchart.v6.6</cx:nf>
      </cx:numDim>
    </cx:data>
  </cx:chartData>
  <cx:chart>
    <cx:title pos="t" align="ctr" overlay="0">
      <cx:tx>
        <cx:txData>
          <cx:v>Oil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a:t>
          </a:r>
        </a:p>
      </cx:txPr>
    </cx:title>
    <cx:plotArea>
      <cx:plotAreaRegion>
        <cx:series layoutId="regionMap" uniqueId="{4E3DC997-3E87-41FC-ACE6-F30E991338C0}" formatIdx="0">
          <cx:tx>
            <cx:txData>
              <cx:f>_xlchart.v6.6</cx:f>
              <cx:v>Oil production STB/d</cx:v>
            </cx:txData>
          </cx:tx>
          <cx:spPr>
            <a:solidFill>
              <a:schemeClr val="bg1">
                <a:lumMod val="95000"/>
              </a:schemeClr>
            </a:solidFill>
          </cx:spPr>
          <cx:dataPt idx="7">
            <cx:spPr>
              <a:solidFill>
                <a:sysClr val="window" lastClr="FFFFFF">
                  <a:lumMod val="95000"/>
                </a:sys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JnxUp9Kyji11wy4lTuoG7Q0Pp/9FzrkuyY1j2/lV/ALUAYkrIxyOMMnMrEtmXSVVSX8YJakKvJMg
CZDg2/hZ/GJnpbp7uqWe6fb4hyNOOObPVJeyMpkEgb3X+taemZu/QICd6qwNJ7g0do7nGBpuZJ5B
ruCEKbkOijQfmnXcz5Gm6qpRQ3FThjj+slK6AxRgGV5IH1TbA0CU82oqhmjJWkq3roae0YXf+i6A
Q6mCDjutENaue91aqKhcM7Sy+CXYDSrGswyVb6gobU5rtgsZDuhs6iwTu4qorr0ucOQq2Ey8NSfh
tCpP/Qod+IXzuuGnpbfreppq3n2aKrus+NRRA28ktKH3iTbcpTlQjdascw+jJY9fo87zt1ygpkg2
qITTdVyu7b0qXNCmE8SitBrBQKSB6jdoJqBFbEKnWQ0HTubOZVOu634XLdCQLm1M5lcWRLA4yEY8
yZpi+5AvsU+4GmCjxmzDjjHX5dd2ZXbYDXNsYygIHQUN0saxfwhnFNSkn1t7bSOqvsLk8GsK+Meu
mc1zADhEBIrsR5LXJx277W2uVzT9ggzEZEEOqutA2kCqXbE245AFBD5HMpe2LLJ+aYcjW3y0Ht0Z
GTmg8h6rc2tWoBmt1ESvbT9BLcMa4n6/eCaBPIg439YjC2wvH6XLZZAta9neDtAz9E5oIBVpqxs9
3tqSarrzMQWQIC0EnoNzoE6O4xzE/NrW7XAn13yjaRuF1zOO2QUdll3rxwo133iKrHYoaLYgArYj
cixDGG9LgLK+U+CRVjIYfJ3VNiRgoQCOLCzGThwKFAq70HW03TsZhCu8etPGu66agq/FQAg9DoBz
oHyEDnJSn5vq27rJIk9m0dNU8QoXanp174IeAAlIHeGA2NQFTbGCIUPWZQxbqSV5nKeDX9ZHoEGT
Rtvlqw9qWyN17/XSfKn4Nm2XiywK874F+BDuZxGgnSeTHoqkQtGWf2xEtLansJjKOXH4KysMs8Li
jF5zOqEMcl37SQbnEogFha5QhU8KAnU0Cf/ER07KlKilkFCqq1GksimKj6h1qUpMUBh9L7po+7YY
m29ZG+XAb+ag3J7rSsA59XmnWDLNo/0Smq2t07ItoBnOi2Tj7aAb9wb7s6qTvsBf3A3xNq1JGEr6
cYvaFuWXNDhMB6gZdQouK1hfCVwks9ega+SBxE4XKSmUkHjACteiDq8qfdVElX9jLWiHSzo2TO36
oXFx0vh1664l6bsxbZYBLFXHK9bsXTwXIinbKvro2ML8wTDJ/U5GPH8pIPLazxyQxnQ1BFU0Zrri
Bvu4HJc4nVHuQDAO2uCItrzsEoE1Q5PYyemhcyO58X3e1lmpg45nkx97m3jbgLPBZo6WGrhKc7EC
htpjNxRpSZwb0rqOKjjhHn0har2W8qMwqxmzsiDNdNVQHTNsiyO2T5gbcCnmRoaw++Hpd5mtGNx4
Xmxs3efOGPsED1O95DAaoauGTfQ1auPgKa/54LLYNwyNPhYHHIEhZu2+d+vI76F40Dol3NfFpckn
yY7VEoy3rBq6Ki3LaYvgYbMxSudgWfkldtqZXs8xGohsAWI2ZXOnucEZ12951oTC+hQP71wce5pT
IGUrr0+Nxi+u2zFsy7Q2voY/rdSKx2KYllvUdGu5pxMF6FV2QTNez8MGlSwc+q1H3Unr4jhBHtmS
XIn5a+tN3+47k+spnRpPeephpJiDp4aVhwI1yoyr2ZavM9ZPDHGNcHWIyhrAVKH1OhzCvM6/xEwH
2wEMVKsOgWVjvBeOwPbdqsKA2hrXDnWYLfoyXcpWQCks3HgycUnrnak4dzgBl+12li5a02ZqZJWM
zI8ATQaAKOige1JejVE7rztQM9g5aDWz6XLrZ2ohf43xtBO5lT5t8Vq+Y1AFp1Qu/ewOkwErho67
gSFY9BDnUha1Q8nWxIAX+FD3/qwbBZ75VPZT6K+aKuJBkSjWaDxMrfDbTSiZqQ4sXrg9bylRi10G
J7ZI/gC7/hN+9AyH/g6PKpQ0MiahoJJHCk1MBFb2B3i0wwbZtUWEpiof8TTMU4itiY57ZoMhwTdZ
X3hz+Ov3BPz643tKwiXw1xD7uwQHewZa/wCshpSVkOZrmjHZkgepoDpSY4Ck1v20hyyd7zvNfFbj
i0gXPm72b66Z//n9BY04zE/KIknoT9cMFa/YPMf7z6bb9mFZuAsZefASpFhf//pS/9lbMSJjriQ4
YPkzm7stKDyHYqBZGI3NTUTQkAcA5rJa1+rhr98qPH/sH24ltjcFHhlgpADewOmPX6su8XQ7SK4o
MzxIWwtFURsUmDzLTUCOlZ0gfNUjSiCPzXeABJ9YIkj61x8D0PPPn0IxBSma4LCAiPDTp0C13lrs
GjTTcxt9qVGYunStgyYZTNPdT2jHtr95xz8tYYlrFbFUESjoUIqflhOa47zEM4nL7EWR9JV7BXxD
MkDAz8VI7o0GIPjX1/jnu0o5Y5xKKqAfquj8HfxhAY/tWjDjFp7BlukylKRbQhtAQkS6+W+elT99
nYpJxYWIqeCMUqZ+fCvqwLstdgbHHFbmuVhVdbVZFiZKQ0nomzi4+OtLA87+4+3DmzEhI8ZAu1MW
/3RphhZDxXWHlkAZWu0CUwKAW6Etqr+5a//kjWRIz0s2Vth8fv4O49XiuFl7gAIjcY9gYoublTm5
++vLCf/8NkpB3Ys4gEEmBTsvnj/cKusBx6+aVbuu5XTf9VV0qENW40iYqnSEdJTqUW0JPsRH3+l8
B5KjS2rWFalUxbkjWGFQy1z/zQo637YfnlU0tX/8WD/d1q7OcbGOVzvfFYA/aoAIm201HsugTvnG
51OtdXXX5HH0NwvqT18I9lvcVjwyNAxD+v0L+8MXMpTgCSitG4gstDv2uY/vfEnk37zLz08IU9jY
VYRoBFYtKuefro9Ar2hgsoXw7kFIjKpcb3vUeYmq8iL761v88wXh+VOUhThTIoFPTn9asSMF3Y7u
vYLsHMIp20Q9AtpfB7n8zVr6+ZqwUpGvwMkhI6BdXJAfl9JEQL9Mxhb7cPXReOK9qx6YWAngHjAn
7pfL+o9fMjB3vyyGX5IeX/vBj6VGQfo9pfKPH//H6bdszX8/v+z3/34O0vz+0+3w2j3O4+vrfHoZ
fv6XP7wQf//X9z9ncH744U+BnD8GZv5Pf/lDHuflW1t2WYlGofw6/zFdE5KQYD/D1/evUzkgQF6+
/u//9c9f9ms0R4bvYtzwSCkuGfZ+iRv2azRHsneC427hMORI2ZAYi+bXaI58RzhTNBZhiGKQCYGl
+Ws05/wirgj2I3y6CAcK/3eSOTgQfnjIz3/qvHUjscNQXuF/Px1McDYDH22VzYowcs/Ag+IjSlvy
kYMIi7OZie0KEPaQcbehBctNn98A3YLC2+hKYUPQIrTn8Ail6di5IFu7XNyX8fx+DhucqjyoeZVY
Oa+X1nYoyIVszWGVVM1JH6r2q+ThdJwbCq+k7V1xAN1CSGo6qAwZj0YdH8uybD4hdTCYw1wqGh6G
cBSQqVqfP5lN8GdnOKdZMHsKBi/WSO0416ldLXj7XPZLccWlhAk/tasu97Oscp7kAYmKXdkMU4sT
2fub0Of9zjoRfNFbDuSrZ3nILtDL6JsRX9yhF1Ydi7iF3mF6XezpsBUMLkU+ALZDCwU0jXcNvgIa
H6fFA4Az075Y9JjydgX9io3U7Pq2Gh7qsHa32xBHqSv70aRzboqM8hV9OgX94BOcbcMLEQ5vBWku
3E+hMMBjV5lf+wh8yQJ6cIJTubqjYtBkqnLSl6rn5mXiOJviYXSvC8jC90O0slNYbvkdJEFzZH3N
113RC5L0wVZDSy7Wat/Nsz+1C4CUGkTKBXpHmQzaBlctOsbdVqwz2HUp3FUn/YZmdzQ5JBYQZk3S
boF97+uhWJDL8MszXPboxsWttYd6HqK9jCHBgLlr5urChlFRIXsx8DcI/HCowirUQEICKKNPAx+n
0xjYvM1EoxaIN/MS6RQ6DSIJWxUfVVXMZ8eBh0851PF0aLS+sVvfH2oxRpddGXSfV7Euu23Mqwxk
LMvQVtr3/SrDu3zVzXghAjCUqbHGZPlsiEt8iCIQjFMFES/iHhiLCfLxY9EXoMJ4xBCCor590S6q
j6RjyyfEFubHkmz1VQ6J6QvpZqjWE53LKS2xsm+dmepvM5wJWHl6fsaxrT70TavuC1XqHYOBROGc
KLR9pEUTn8w5z+9EVLV6t9khiDO/GXa7RluXWkf6D440BsZBBySn2Lp5jxRYe9lQr6+jaMWTtEwi
/Nat+E3QSXnfaAJXDLTjmMSzJZ96P+orT7Q5LhCTJKjRzd2jXzMZW0RlEkAteAaDrWuegrCwV+2a
90Vma6tr3N+mOhFfRKfAoVbPgaVcwEl39x1UNRjkOGaAGw228olrR5nDAWnHN9KX25vWxlRJk2/+
vE/kNyXv/IGUZX0sgLzvrciDjw5A1E1RG3sSZNNbEswc97QNIN6p2Ob37bRyaDzSd2/SuuZDRwrx
ILcaTq33MkiL2EE2GsjsGRQeD2MWkuZ80VjX7VwXhk9xm8M5Vl6FcTYWIO8SEiE8sfWBvkbGoLqW
foE1EwrffY210x9xp+GEb0HTfEDlVTRAAmb3CbRZ7y/MFNfpgKzAVdRBADxIiyAcq5fvjBW21pTL
Ot7JYey+NQzSSQLGWA9JUwfFIR8j5K4iyZ8j5x24B77gCbbNWveJbtt+pwdkkWJWkCkJjW3fE4js
ZbKMsromW95+3GqcGwdeWQlnprGnpvb6skF+EJ9ekuqgsX3vJIJEHxsGd6FhxFVZvZbBF976KUhm
9M07O41oNeJg+6awZyd07DgiDb02p3WOoiib8B6PLRo/kTns+CAwY8kuu4Kv2H2A/IlkXXpi4J5w
89iYrn7g3tMykbYr4qSqYSokEEHLJ2WL4QlUH3hir5sSKFzYvy9tEbyfy6KuMqCB/ZZ0SJgB34Zj
0SQi4g3WYmkK7BTIbm6pmPW29xFbAYsYpFJ0SLabSobkIIsqz3d9RCxE4gBW8+YaBeUnJIokbmzr
O7m4Mw8UmTuoPAZoE1YA1lTQDXiaIP8kshuqjzSqBe5oQ6abbtrg37UBqd/WcoDFFYsmY+ib9rBZ
6+uctdg0GmLru0WaPkHaSiTQZYorui0SQc5t3kXRWNzFCI5lc991V22z9dmiSWcz+JfN/WCF7rJp
ygWOzHHQO16Xy41sAiQ1l1ojg6DpOi0JlGhyV8LLB9+92OE9w/7y6OIq+DZxU8FnMLV8mDnsx9Ra
hTTTCHvMrYt+D0KZX+RbOwz70DEBobaunivnHEmCtWYH20wahC2pANvikV2O0Urz14WMzbGBJv+m
RVwiqAHD58YXc/jZzjq6wTa0nRAeRTpOAChIZ9DzN3Etsb2ylorPwSDmz9heg0MUjP3e6yo+pwnb
8HMOc/1Yz2t7U2CBv6/0Qq4oKMx965g7LJ3Kgbmo+NKB4v9cbqqHAL9EQmc1sRxAteu+1chs4R+V
4TVza/g8CqyJdDIQjPOKqqOQrDv0HO4aUW1wFVVd/Rivgn6awjGGz9O0E0shM0YCvECRv+VlbgEn
l3m5GxGUe5wiWT5J/LMLqHvxvm/Eit1kcct1zWHswhMsHggchQvVQhJLhs1HMDzCqj9Z8IpTZqFH
QfuDzXBXbgzOoplMlJQLK0xCVcNOwWzNAYmhQf5f1Nv/RStpdDz/upJ+fOnml+7b6/hPamm88Lda
Onr3vTvGbvQ9yR79UEujsxIc2wBjMepsFMy/1tLqXcggoRHk31GAU4j2/6il+TtJhEQtLUKJElFC
rfqto/ih98E8gF9//m9/SLkjVPhTLQ2MCKIEFwqqnVLo539svmwVUFSF7ZZBaWsusQcUAygCoS/X
89bdO4hZdCDKXqAEVPfLWNfX2/f9npy3fvX9FMBJCr84gJnWOIEQpqGDH9JCFnTZN+eDJDgfKaBw
ywMZWryByDkBDQXjY7+gR47ShZmQ7KhRzSn8fmDNuauufMfrNLZzu1xoMFsvU1tV5QXCPvWH6Pvh
B/Yb4DWCyF+rgNhvAJDVyZ8PTDWBxDTfT9GIzwjNIqQK7XmsVfuxPR+58JthZ38/h5sYT0QCHw/n
M+utClLKrDr15wNcnY/y7XyoR5Ce4Ut4RV8KWU04VxH3WIsAyVPXz+BWjByPI3jxWyPM9jiahV8g
FYgS4lxMQPUHyw8jH3UG9GLxSvNZvDaKGok8l6GAT6p+RU1a2hm1yhIhp7os7DPiEQxWhrN3WxCE
V4PI5WvLQjC6+bkI8mqAdcm/10bqXCaRc8Gk9Qyk05sQaXKZz9Un2Cg1wCNZk9u+UO5RVnber+dS
bBnt/HW2vD9150otbPCLuBIo3yCVgK0+13RqhfkLcKw/+e8lH/9e/nFsJbdTvMK6dit5MZMDOQss
daJps/Z6h+ibQlhxVR8wY2B+hlJp9gsPzeeQzepe4VZOKckDlKPBuTJFDV1DrS+Ig9EatDdxW3Qv
7HtJO69u/Sy6QNzDUuIZtzL+MpkS4GkPvB2Z/+6i7GeDrqH1yEgiZRgrwEF+Ifa+oZW9ghCtT/Gs
m7utGbcqEWEnv/UN8l0c4xESiku9tECxOrbm+3Jt7AUo/PJa9+F20Y+TwmCMor5GOxSAMiyHI1zL
7bQRzZ8FnIiL2o72MCx1fkur1eADVfMb6eL6QKshAAo2DSeTh3SnSeAS6XrzxA3wETgUtWOZh4t1
4f2AwCSC6/MFG2mQdYjrI+7SUjj+EwRwBB7oECRV2Hc1CI8ebA2idVC/J9FH92yoLEsCZFK+yaos
PmtkvK6qdqu/oFPJizRiEyDsLeqRlF2RgkxahKJPSPKarwuiv0j4rjCfkBqzIequsc1RJQw1YEIj
JEKOjdwan5Qiwnc1WiSTULeI4FkVnB1JkYdL2tlYfDbYseYkt72vLkHuxne0N8PnkOfLKZ/L/D7y
vXuGS6PbBCpyHaU5waiJRIJ7wcODZzxxGOFxMLVlTyh8HLLvmgzPlqJaTnRYnhMwcVRvCUADc71K
h2RENeaSJaLvGhTkRbvdrGiyzlR/UNwNfavflyFp0BqMVaMy2VbkraR9jVyeCbZXChPxaPjahciY
sPEe8EXzfm5huA4S8bAd0EPkRQitPmzC5h96PhosB1FwVPFD/bGTxWqumrpxTxOc0T6LdMdfOjd3
T5Vw7adt5qD1S7AooANFgdi2DtoFXFdIg8sGgMZ4xR03oB8HWKw3cOFLl4ETg6yxxZ1H7ELnBR5u
Ui5Pc7yht6zVEj0ibofKC/eIazj8GxBw0ESjSuY5qK5DTPtAuFOSfUUKr1JuWUvSGpGlt7bicQDe
qVJP0DD9nqnRIOAYSkSYo24MDWzHbupwhwn+P1pzFL3T9wK4ONfChWLBB7CZVQDkHrUy7TtwVRWH
nFH1ziQTK+yYVl7NX3S3bXewFc5RkqWMz9g9qnHaSCv2piARUiqo1dF+degfRdV39yXcE5HFzBW3
69qUb+XSv7GqWzBmAMnlPGgI4BP0BOx7e6DcGnwpgmWpsqWy68Vc+vI5sviT34/zf0so/K9ZuERQ
5f514XJ6nV/+XLOcX/NbzRK+I1LCXVNwf0JGzsbP7/pfTCksRgaBEELgWRr8tWZh72LIgjAeMeaC
0QjlyT9qlvCdICHEcbw0gjEIb/LfqVmYPAvCv4v80P9QK8UxljF8TnU2WX+sWda5dIvEtJEMeSFG
MjpLMLSuqpFnVZO0TYrTZHwxvVmC3egjcRdD7noreswTwc4+uKPLUejOe/Bg87WYqL5b+3J9avlc
fcPcgfwlcuv23reRbcEXACskbFj2o/LxjQVv6zNWyhZBxdn4VDhZXYE4mR+jMOoOBMmhCxO6MusJ
hHLkxg2cSTPRved5/nUAef6qMKtoR3M73rYrna+3YiZXQSfW2wGnCELEyHUTreXTZKXcl6Xqbmcj
yi8C40Tg3q/zc0jr8lb0vUxRQgFoLinCbInWiwd8z+ipFMrf5j3HSBQWl0h5MJD8UDtAwFebS+el
aS6d5tWF79X0ujCtdzpi1QcgYkD6mrH4vHKLCSxFDrpRMHayXSseqgp6E2389KnNF/ESNj1wtn4A
9LNB2Ue9GIiPtS/ptmujoj/O4cCuq6hsHitAhhUQPTEgJ2L0ocYMoMtyHsVVUEOq1YxDPhgW0r0i
jD8hvYRc2g61MSY7NEhqPoRklKeilJDybBSsd6VtHdL4mHZx8lqHd1Z2CPtqzJHK8GXRq9jV7bVf
lP2mLKLTIDqa/BoZ7vbQwNBAJnNFYjT20Q0trbkREfon1K7mU+e2CKfA3Hwo81mBTiUYTNSCYR9C
X3/CPCd93zZN+w0ySnO1xUV+AFuv3lhTO/SRW7xiokFdAY7uOvRqgYgJ5gaE7gh2AbMG8ppcrjam
l2W4sUcXYP2meibdNaKe8SVTzgJNdO4RX0QAbnkmy0WkwvAB5wgAR4z04V8hjsSPCB+UINCmaOhT
GkN1S3GOmfdk2Za9qeRwYKZG/CRCmJmzRX3stIU6GdF2e5Sqr+4xjcffwROF/lF3UjUJIMt8B9sZ
J8w2BiDVkMO24DgV5tUYMfInpH3oTvqhu3arbi9MEAMp7zzCSphLY55w96EPIk8/2ESrdURAmEX3
BjBbIpZoMxjPUdZXga71g+kUxyirQMJL9yEmxTCMv2mv2mIJ9ytC8R/iKVa3CpoEFg0YFuT9+jO/
zPktm4i4cF3VXHsc0aCkJKcXirOqRXwrWjO6FMVF2BXzTRvN6ptCVm1fayKvN68pUrJMy+slxxJk
uqI0gUOJ4IgkQL9wxdqSsRiutrpBQ+ICdxwgBZ2CqAmvcyzr8KoPEUzcGraxvVpJVaKmGvjdEii6
E3ERfgs7JcGe93i+95hEIx6iM+aTQmKA3zBjjkx7BaZ6wteENPdzAYK/SAHaI2sTGfeJNRgXAMSl
m3KwKOGMUzhuVhyqm0cwbVMzhqq0PT6vBuDzDVNokJVp19g+edeYdY/dQEZJs5br5xYRNKDfc8M+
doRORzLlhUoaXPGl5+XyIkXQvrKeD+9xu/UFxgKVQC2n/OgRWwY3UprwvkA4JcR6HroveWCWa41M
whFtLN2HgRafupF3c0JdOHgAt8B4oEQDT4Lovea7HNJrWjYNP8ZQUg8Yj9FeIp9YpYCRumwAZw48
3dYLXFiPZIRYnl0UFo/r0KLq8V1/WmFfXDtW8c9rJWnae+Y+C2bbCRj1KqLnykMNy5xhGPhVe36G
p7sl/ByhCxiWFLjtELxHbtqg0l5NiNEIclkvRm7L6gY+B8Q71bdNkUkqm22nkPswmZ6i5mmeAlTZ
ti6QEmjA791jxFV3PQ2rKTOskenBoby9M4g/QbzLq/hD161I3Zm1DFUSACldsa/0xYdpQaWKVF4z
7uKSV6fFTH2M52DGPtR3qrrLRxa8UrQhI2pDwEsZNGU8Pqh1xzuMiMAMqjHkB3BkEaYRDbkFUqef
UNare1mWbY/LynHqVJPJMU6AgHrGM+fJOV5GlyOfaoVyns36Npcjwjbgri7VMDa3IUJBW+ZR7l2z
XNboosb2wVtKDw1UwR16arHLN9BTbKsxv6Vaq6MuIoCiHHDnVVCBEERwcj2UkaSXSAeoy1pUgK2D
aur3FlAfXqgx5wEjHUwmcyeuAGDBWWt7aHeOIR0xYtTMWszozqbGHQSHsjfN0OOTcKDBHpunvNIa
AmnRldMFmPn6YMoBFXfYDOFD10iJTnnwfZ2Mc4tsTMei+NgtvgsOdbNOGpM/pgqzIhAHRkiRYPIg
GG9i+4QPekJjzoZhp1BiIoA90uZWI0/4qVvstCXDpKIV0aypeVS0b+5mlAB4vhaCZxQ2hPH7oC7C
J06jYgE3aySaFExsw3AD46HpyVp9kflUf8FX2MVZU5YWe6wHy8ZbKBNJbPyWgXnFss2bqb/JYwVc
18UTh0fS2Op+LFfs3LYmZIfncesueG3IRdfGCHoOOe7nlK/uadlogyFBFXxD5CqG1h3ymYR1hlk1
OHYCjJNIiG5QZoD4S4FDL5dig825C4ljD85i/lYi4JMdMZFgDDHZycDCCkCCpTXGawH9HmPaI4Il
tc0wbcfe1M3S31WIVwi8/wAeGP4ElGAgh+egwzDjIPE2v+tEB/izXuGcZiZYBpViKJJFi9zEz5g0
VX/RJa45LIrt7UwwYaufMceD+eUwCRI8bGwwQSoDcO+J7tfiWm81ZpD8/1LIU1S2/7qQ/58Y0omR
ND+O2PwVAsALf6vm6Tv47lydtUZwKagZfq/m5bswQhVNGGd4HXyff1Tz6h1K7AgVPlVUKjBn+NWv
bj5/h6mYIoqBM1GU9SA2/p1qPkSf8WMxD1ogJhyfAB8An+SnYv7/FUgURz92GWeCE3UKhRgnBYGP
RNHP/JFwmnlrw36wUTaMbZsfMX0CwQ3j/Txgc4iHr4p4lEyYlWVPK7CYDHS7OgEH5teqUwsqpGn7
soElvnZdgYkmehPYE864f1pvK4wZzC/jH7vcwESPLSIuenUGMmobDm96qaaL1RfxLhiQ2CWkFJ9t
Vw2YM0XdQ+gD8jmMESEwiK08cOLUDlFGvVdjvsKjXPVdGWDuLCwqUj6PmJiGgXWUDB8iN2NeB9JI
Z5tJFOMd1bw/opei1/1WMwFDJ4Q5hWA39mEU0OD77DhP2w6jSfWOwDW+aIDokH3vO+WSPHJ5AGDO
VW8w5DuSTuUwrKlD8v4S/kULUjCX264DsYSC9rtiQWo/YwhKEzU3Y4S5rCk7yxudXoHjBwRDnlIb
6ho2FBggl81IuNNTvPYw+QZbiBGqVsODS51H05JJbqvTjM3zovpFZPkuuCA70H7qzyoM2Dp9H7oC
ha4W2/gVvS7GfuX4oAE6lqAcUuyf25ep0AJj4Mb6sg8I/aihJu0nDDi9wcQFpAmoiEIYxqR7MWJw
CG+bMLooqKP+Mqjn6j0imctROmKeRW0rjGCMhEeWazmXFAU036num7e1C6r3biinGxqiKkMCBulU
KNKvABCnKxT83YMA6iQRkS3r66BqPdtvk7rBPMb4G4ZCkWukmYubsOVbWszc3y+yq977ioQP3oGV
mCHtY44KaQe895KD8sgBg3wJadFjZJ0kb+PanOVzjKxKMVsz/KbGeExpOfmTUrnGsJ549k0a5UV/
CaoWQ0xUtU0Y2OTi/EE76Fg11Uh+VxuO6rVTdYXDFbs1Rp+26EIaGeEYn+Px0o+d7s94rL5yGGb5
XmDi1l3bjcjuLzDjlNPCJKupcQJ6lPnl5TCSBROsejQlmP+Ifgi5RTn5fctH+hoV4KUlgeewBw8e
nKC7um1XgmY/TiH05cQsy/CK9Br9T/bOLEdyK83SWynUOwXOw0O/GEkb3c3n8YXwcPcgeTnPw55q
Fb2x/mgKZXi4VBGl6q5udKISUGZCQsiMZjTee89/zncesJBL4xK4B4iBP+9Ll0oS2SZNeeoEibhV
J+fE1+HDER+Fjvfc1k7w6EDNfNWktj+XFKd3s6gyt3g7xA6AZgkpt84JmMc9+4lxKg8BIwnQpcBP
vwp10m+qoTLAUoZBftlCq7y0xrI7n9tyuHWsfL7D6ObsFC2w8JQmWnM+Sk5yLgatvJOyNu3dsJFK
sSFh0FzrsWwm5AKTuHmSguWIFJKVPkSpRlB1is2WfIQR7wyjrldIcBB+JqN/YYwxeaYxVxtya0xd
1DkxuhWKnskDqo+xZIROmlxhcJJXWkWmMU76ymXbX/pSQMRlJZza8AFQQhxQDMWFxlps2FOELhNy
VGG4FvldMtb861K1DC/nfFS20MGMazivb/2MWBwFM1Ybi/DmMZVr/DYxUh0wppQ58dw4h9HUR/KQ
Tbp3umr2+T4nt3M6w7VbqD2jhA5pZTxJckNSdHYfCjzLPpo4LQDAqIIy5pFGKkt2cES5uGyilybR
x0NnW/UjSAz1QpviB1IjlwFJhGXUn7IRHpoQWlkE2cMVkTm/xrpQzxI2zze9UDESlaEeX/MwA3A5
wbl8sBk4EbcPDaVwcYNoXt1gYU9VDcxaKnqFoF1tmc9G3EjtUSU2+g38YjSNHQPfkHW3JsywS+Qk
YDZmK7eq0lnicu6IluzRHpSjVje5s7Y7vkQTOB1gx6o5DnOoe21sDuvetgJl+zsCpsxBYxIWq5z9
X3FgkAGs53qUr9QwYG+b4EQRoSavJyw/j2Flql+jAWbFz6Aw+Kja29mIFDy5C+4gAc2phUm8kzoT
Z9k82ZtfIWFqBK1VGXPE/i/AwIC266Cl4sVWB9YXFoJsH+WTvBF536MYRPHmRHJJQsm+EHbw3PUI
IgNP9BXhMxXs7rDrouHCFCngMmYq7tBhCLah65KinCvGLXByyxUrDz8ssSTnwcOu58hQ3z6xXMgy
8JslGnP4b4TL/3OEizqCRTXb9p8L4WKCYl4FCYnTcsnL/QXCBaGzvJ97wGD/1xEuSmpsMq36TyJc
SlXG7hJ3Z+noeJZZZd6vAC6YaKAhV3F7Hf0luEVqIZuMtvlzcEumdztcuOfKPNxGTkfKn5E220sQ
+LUFl9tQGz8mJLmTYFyjBzu5tA3TokLKi6tLkenaFQPyGYxPiXunWHap5qw8zkqn3xDHkw/lwhcW
GfPQwmHXXNmQ/sJe5+GZp9qbjR/LHYWIjmqGRcgKYmeR12+TNMEw1GEd67UhsdwOweQhjENgSw2p
ei2tJHa8/eNAvPkqT+2n0F5o0sqo7zVL4L2zjZLgMmnWFbl14VWivw8Cu5ZdSQ+GC6Ms7WsoN+Gj
HqfBdaS1cIx6o1T8FvvFJmrzYYc6pG7yoYYc08JyUh3VmqHEoU7BBIE1VOiDzHqSZG5hkk1fjUDn
pH0cEYt3cTc3XmBZ74whgOppw+UoN1963WJqGdjVTScPxJ9SSBFsVoQ7KHODTxhaPPtFcGvCfomV
Lt6oWoNSkLCnkUUnQ3EfkgenFeY9D+XRjXTlWDjStcK28MFqq94lOY5Dupnvm6aA9GOA1u7Vosck
6NiwI/SLio0HDD/5PhciBSQBREVDlltHrM9b3MnzKqu1ZxPrgefgpnGBFKQHE5nGQ4JCmJRIqUhW
xwqyuCISLBmXChy8VWXED7jSbi1Hwg2BWo+MijshtHr1pSlagC1m2sU+sH0Ye3NL5HsS9q7DaX1R
2mnGK84RelQ/zNJNA5D16Nja6GrDUG2TGDIDV95cZ9BpDplmw25uuFHzNHQaXkcZD20xq8eyjDtI
3wAtzuzBgDaa5eI6GbJsOxZgZgx28e/kaYfLsFKtYRUasnrDrrT2icNmXlKZHCamYj5tfKuLiOPY
1tEaxksjmj72R/DGalrUG4Kz+cYkFfsMahATtDoR+ALzUgGccmRvYqW8tPWw9luNYcEKj53ixe2Q
vZbYWhjNdKRewzjfOMJoLuO6BExYkvteiW6az2pOOl8YBmkoQM2cunZBkQX24nhHoIBbSZ4oPxiE
1B+TGYCLwn22USutOmB5HkH7T9Vrn1fmwUIsu7TCcclsDOCk8hhMh6w7Z3oTdn4ZBskj+CnZZc/d
wplw2gcDM9+wMN0zP5S49wpzHrf2EI5rEOvtmZz2ECKQRJMdOBigRZqIe1eqbALBytxumnYYOMzU
XR26mdKUNwO+oKNtTRaYZlhjD5OQ5h1zqsh2E0tOr1I9uVEDgu6Z0ZB/zMqOnOvcbSyzFX6mzOWa
PE0ChbrLyg1FGXK4KQHHPZRyBiisFsMbgouzqTrRHVW77HBXq+qu5rs+hPrMLJP56lXBxB7TDL4U
sW2EOrNDGgrjLZzq4ZB3pnNBAqp8yQammaueyHF0ntftcJ2LuV0T+Cs6nNqR+JJmmfWSZrF9VIqw
KdwKxzt7ol6MK1o7MPliyHrOmKM+dbVeelYegZrKg7nZlXYirYVtt+c28vg54NQ6geWVYe9NyEwc
jUotgaVh6JwrSglqPUrWFSkCP2qYQXgkr+TLfhiB32MFilamHWAMr1FPJY49GI68omm01zpytG2U
EUr3WiXA0ZpnIXrhPLTn6lDKD3Df+wPENGub25F8xUNWeZN5z0eDj3WX1A2tCHOi1Z6WACog6R9v
dGVqn3NmJSlatg4/dYoj/aFT1fbhgwz3F666JYT1fT6NcmQzOTBN8jGK4SiavOR0P0TB/itDaMTf
SE7iGDSh8mnKp1cWHDoZJ8A7GxX8r/UXMZ3/fS31nzk9pfKJ/URxrV+6178yT/CnvsmtpvMbwTyd
jJJpEzE9lRf9YZ5Qf1tS4csXtISjF6vlP7JTeEAXg4Shqyq6o/o9O2X+RshvyYuqtk7818bs8Df8
nqq1qJbf702DfLhFKB36ErImWVv5k9zaq4ZCwwNsRkVHgPT1OcI2jwWgwJXJybORjiMIyizYZbk8
Am7TO1o49KH0E0sr8AEW1gwOrZfJhejliGkuLYynsnSy83wk0VRo0bQd4kq9ZrYcuRXSqqsBHlox
uBghq0GWTzEwH5xS097KRM2+StLQ7IPChvfUNmD67VF1m2mKXaEWw9J5Ugd+OM9CWyI98ltrthBS
c6N6m5scka4P9N2MU6JYls34DodY9ZJXIFoDywnPCQBD+NaD7ksjxYM7YrHzuOJpk0wq8+upGrBP
JFaebjutirYq2LJNoKrMFlt84AodHBdR5IRnMbUi7qxbAU0tU/KeY8S8GHuT4eeU5sFxDMPYsyBs
bZmwh2c9DRyQj4S8dpLKAutAbCHDZ9jOl5Pe5seiMCwvEcp1nTlXtdH2zY7sUHDVGISCTtexVk1Q
Rxjl+gRGNo6qi2nMiZeMMZu4hiNsj0XtDRe+tZXkVLmaVRvRTjNs/WU2Ju0NWXGAFtkyXxSKae6h
VouXySpCwx2LqjrDxpodxODM+Sbux/qpIhV2nzHuBZRS1UCpVmOhZ3hVBzMUXniKQy3+MG0VtENN
JsoqzE23ZKc0mFSP1ahg1wdg3N06U0XMamwMh0SNlAsLK0PaAJmdmclmYcB2NE6lvZ0UbBaX9JZa
RP3OqBNtXShYX3hoqwhwspgk4n1dma5IvDoPMVuWQ6t2+lWbJQUlGkqjxWDk1fEdQUyScLoMWbum
asXQfJw3MDnKqJL2kVrXlxKohgYeZl1xnBHckgtUujo6J0MsKvsqgpn8HBVjtsOZiRkmmMx9FeqB
V/GbPepdCQRqLmQPfpz+0Co9YJFEznwZt9/GcSptLVdqCrg5ipFe2iG6mtPcOFPmrEfxMxg3s//3
U9xxiNmO8T7WUjKtcktMW5iN2mWAY2HDWqVtO1RMsPDswUKAMJvaoDRkJoxB70LWuzpjx008ytC3
tGmq1lZcLojNaAY9gEuXeHVN44fiAO/g+4CkEpngygS/qkTV2qtEnWNPVSC2T7pu7XuMDWvb0sUL
HCpEzpicxRGlzXSlyC4ZRppZ/NRWenkTkc6F96o21SZLzA5HX9lvcXDPZ42cNdc2XtidqlnBxh47
sU5UgyF5x4RzPTlR+Wpy2CHulaub1IGJxYlQB9gR6TKlYEbS3rOVqI9aOXYbnNEd5WD0aWjKFK6b
eC72zpRXVEDUnLi4mZJdz7d/VpEL8WuJbTgQH83xGrspaesiGLbpi0SWOEvz+WPi5dWEGnoMIvN9
WOKVyNhbXEM5US4LNifvRltDS9WipUlDzr9YXVLfpDko9iK12iu0f+Mmzozhhc9Q3wdVzCNt6mBN
GFJgrpuxzy6o6ugeYMYYrpM34ipZxrjGXOoQ9npHuc1LHJDpMIIQVUu+UEZBX6QIRYnynZHDbhba
yrappnbXwNJ+1IRF8Iuzihpv5kkqEj8eLGnc/P1F/P83Z+MShGD1+9nqDBPzf/5b/1J/NDf+4499
n4ZaOrwQVjmdlVg3Wbn/WJ7N3xRGoWQxdBbb30ee39ZnRf7NJnLPsglvaVm+/zEMNX9zyONTU2jw
H10BuvJ3luc/DUOtU+WgtRAVbAwFS73hx53jd0pEpNHyEkal4hpGVexx/LfeSJ0dZM7Q3DhZ3AH3
dsatBKztG0wC8Rv2PQwjhafM3PsfPsq/2NMuaf8f9g2mwp7FMGj8giqB6e/Hd6b9n+VlsE/h9Wx5
4Q8oFEHybfz4enPWGQwVg9Q3Bgnry+zjXfF+fkmkXP7iothz8QIyVA7ZYTT+8eMuMXwBiM91FuM5
2SUd0yE7KOWXUMknxrTd0DErtBp1srf6JLXv5cn+XXRztZXYDNxhtUvuaDazLnpiCY2fy4b6ZC8+
chvTI0v7Yi4XWd+cOYvjHAAgzhVjlC0w686g+eJkT3emKbyF1R9dEt3Gvi6YbtJ2p1ex5iZtpOMA
mbPqNppKzizRQF6GTKDOZIdBXOzp7K5e6XcUl0YVSI9hxnHbZUdjJ2Tbgui2JAGiemkbJ0ze4IEC
CR1HtJBRgdBvi5IVlYQ24Wayv4t0EqD7AEpnTJsw/FV4XE+SvumxRNIHYmlhthjT++eY7DiPL1lq
n5Rs7L42BSwzfJnRerJjiK2wHrJLzQlKuhUYC62aKQsvzDLUbrGUtE+llVd7QfefT1tF6nUU8FxX
GLEeHTLcl1j2FD9QmfOpMexLAaDzqWV0ejviUN0lQ5rtMJmPDI6QdK6RlaQj0qJNjlyi9CTTo2H2
dYawmccvytHIpWjdGy4tdjRTgQ3fS2Fcv3C4JkqP0hhuRM92wh/waj2VdgZXHj9cc672Do2chKIp
uRCGfiN3OlDlKdCpMBPpk0Enyd4gnvLSlDA4sTmYF+k8TztMmcDi1dYCPNiRoBi1hqqDLh7y864a
A8QrSlyIN5YVnzicLyaXRpipb3gGxVkhujrCbUMhwKqwtfzKmZryvmphX+F0LjKAz22Iyw65sHsi
325vmKCym1Ew2KoMxUP5JsBHdCHR+TAilobV4MmSk9WXspLHb0HMcueOBBLezaUSKSAQ2q+6nP13
HQPbYTdcpvssx95vLd0ourM4htWO+Vw5hv01DXDVnv31CJ5T2OcwvmBt6m352ihcrj5jjBg4gt9F
ZRVdq3IPd163xvZc1GobgwCzujMJKRH4o96dwAmMkiEDX5t2A4Z4aKHuubQGQSIg4wktexwLELK6
WT9oZV5SzJlRhDNIbe4jAAU7cynCYRravJ+qb2w6oDB+tWVluaeym5aCDSybCtRndTA2p6IbWoJM
XF6xeS7CkeYwDYh64SiWX9tA3E5NNUiBTUtWljoaktW1V0xjyihWD+96qanB2/7RJuPQBul9b5JJ
5sFwE54CPjPy9IvqZJWLXmIdkFjsQ7c0wIzoc5eBMOlgW4pfRCrnN6e6FxJsGEROnS6D1g5A8+WB
s0PfchBQIUj6/KUANlT083npXcEfT2tsHeQ4RIslvRQE22mUtfUwWIBalmaVcMq60W01QWnHP7pU
pDnQDyO7ZWuDOK4jp4zZ9Wz3ACLaKL1JjCS6pf2ruYbLTvR3aT5pQxt3a9hZx6SCv0DG/FujSabW
bLY4BxKD003aPmxysclRmE1ASGVKwBnKcla9qm01BysjbHtscWSizzsnzc5tIRneiAi/V3Lw65uO
75qOE4TxVdtl1J3kkQ13L06fUqVPv9r9omnRPSY2khg6vyfEnrn0xIaveh7njwnQgp1GpA0nf08P
XBvrVzFhhkvJnNpDUKnaWdymzt6MKLygy4f0URAagKKD2vIoEB2f4pHHfmd2jCuM2q7cAdjefQ4s
8TmIwm4fNOXwPtdI6vZsyrvGLFV+rqU4ZnKhb5vGkDcaQ/tkhe+S34vVZFW60jH+f9HA5N7AhoCw
b3BEPmJmaX1jmpHBC8we9IX1Qf066QFo7LGA06a1PM9t+J1RL9oaXS6iZE+hXfQZizs5h8GK5SNO
GfO8UlvltW6DiDordToYshH7caDlTwU7TM+GSPtqd3FwGBpVEltOVB3nnWlKHiNNIbiNR6B8N4H7
X5BvEPhya+yBs5Ik8ETatPWbLCszL+7m5mvA0GBwQ50CTqOwRuwFWucH9QKTKxiRhkhyl2ks5CtF
qofIa5usPq+jxLoYhVyc1XJIi0tM/KwJ1V7FMI69RmtEtBcNqbEVtgfach2ck6s0rlgx6rBnyYGr
SUfROGfHvM6qq3QxTXT5HEJzcvog98YpLi/BQsIxCZTxTIU6tc2mDjvkROjbzSENn+e6wkgBTxtn
QkW97R1aYOBfBg+D3BPZiGnZYZqN7d3tReZcYBMtrsocSqmCK/Qa/INzWw3UlI4nd4u8GF3Uk+dl
OPlfALpEB0LiLBMaE+t1QbEzn3GamvfWyUbTCr15d0qHlkYMNlGt8m4xMuBpMEM1OzYagNt2seXE
BcoeYbdM8vnWpRudZVy4tHUkESiYsgN9jE5LOxvwMGZYWRFc8tkq1yG3w224GINKGUwuJqXoiClc
PpBybV5Vq7sLTp4i7vTkYMadydQLO9s15k1m62rXv6dU9/oKzVsEG5uGRsQ6ua0X61JzcjHBItLv
HDgZJuMjDE+QmcVt1IzzXqe1UF6XCqvKLgCAfEG4L38pWM6U1STKeUcFZnoMAauua6Vr76zo/ue7
OHVRrD7vTD9u4hY19oPaCm1UmqCcZT5sAQ9jTXN8trGB+BT/HRjRjW61Uz038SyqpQ/7eC3cn7+B
P2/aLaw8aHRIr5b6512kRa8wJpsm82uPylCPWNL+NjzvXcV9KtbO06+2rUsi+/v1LuqyDv7I4qgg
yxZnjuWff7jeuAjbUBog1/GUW8V6tTLsY4V2//Or+lEn/PYqJ4sniBoy6J+2xpMt0fI5dnR8JsUb
FZheLZXrtLBuszbec+f9Yi/+4058eTnweATeZYRTdNPPB5+WTMzSRZ36lfU4To8BbEo6FZnDbH9+
WZ++rG8vRIRNdzhlYZJcrvvDpxdR4iVHUpv5ja+k63iLpOESYXjNMlf2alfyfnV7fLo//3hF6FBI
rpxo5E+vKPpm6Pgxp75Ad5J83ae+1YXI33qBspF9en08y2XhHf3Ci9bMhYNzfS1v6Uf9+aX/aLT9
8/v49DvBG6RhJ+R9EPghSEb34Yp14hfHROUvv0gYhwDdDB6pn7N5NUpUiqch81tPWTMl9JMtxvdL
yy92iq9S7rOydj+/LuXHB8C3CzNtDua6ruIh/nSrktFvC8XKMl/ftLusdMXa9hpP2jj3wRdk2V/c
qQrO50+/P1RjWUXAR6znxP/p5aD3R/CVw8xnYx1u83XgtSuCGYiqHqcJ/1c8R/VXr7d8rx/uWDDt
ILl0Xq/xB3+8ZUq/KdxdfEi9bOO45GZ88xBx7xAYIqvyi8fAIjj8+LD58WI/PWzstKYjeAJbaXbl
msLlF8CNS+egdtPopND7zjpXMLetkzzTfvHSf3G/gsbg0MT5nKGIvXwuH64bKAINbSl30lxV+BZH
h72Hlv79HwXpNRupRSPwqpmfvsz/JC3zT5dyYkNai28elCK++R8v5edsyL8VWP7nnM1pOiXIH54K
C2XxGxPx+JK9/49/vX9J0/d/eXtP/8X9PKH79mf/0P8Wfgq0k99Hcx9oLDYhZR5Z/H2L3LN6ghd/
U/8MRnDQT5bVFj4Kzxlukm9ZCO03pClWYnQ//gs459+azn16tCxgw4X1AoZFsZC9yO7+eJ+YYU0u
abI0r3/svXg7b1kuVukLmML/wML04z7i9xezIIkCa2Q3oZifniv1/watWT/9WL8/R5YX0wlqw45k
bYdbuoRQPv6YdXNoYg6as9eOICzIEtFZKFnSuuxGPB510PsxHqtNQyLZr0OKPM0qib+EkRxcxHRx
0PHdVb5FzZxPCJ0yBQOkgDEHnNEnrcEvPN3wnTLiJ5XqdxxkqARVoRWOQ3ekstnZOY3IsZw3tDSl
hDEwkueYfSlIbwFMb01RKtvKdigOmr7Wckb/clnIvCeRMKqautltyrnzwbP3Xpia9npo5G6jC2WC
XxOJ4zAy5IFBDRyhhdikN6p+KI1MOtiSLG9CM7UOOIzwKs3ORGfN1J/njWWfZdDh7wzqTy+k0qa2
LrD7VD3KbPELsm6RA9sZVzLmiGg0t0qdzO9ONyo4oTml7LF6FK+wouY3Mx7juzR3qsQb+864VRrb
OjQgGl046uammOfwa93Mceamqtn7VcHEiiOe1QGoUiCprEbVZDJpT/quNIRDJjXR/FYMxTsE3/Er
oV/4NgK03oG6IVrMpNoMKboL5fo675tIWclVlaz1ujeulVHT7iROa9dgH4fboociaJUzKxehyZpg
eCoe5SCdrjJcYeuBWa7jOlE6eyWUwWUZ7boBd3slHVBe534Ln6VDRaIrh0NhGNwIRZS3dWC3O8eQ
2jUQ8/xQJ6McrEx6t58n3jBTx8G8Jm1Etfc81p5h6cHWIX79lluatC05gqVoA4hRlR2oV6XpwNRi
NEYEkNIiy0srvbFX2PRSxSWLUp9LHErjlZzWYKmpbdlKfWfv+e7rFxwp+cOcZimjTrVEmCyt4VBH
5vjGcBeMEG3oa+ZPpYeHHndWmY0ExDmFkrXvgIgwaaxVasb0ngoTTHvOuss7WEilcu80pVd1+uA3
ZVVfG40FNCmLs+BZkEX9IsJIegjVcQIW2ahfER4pN2QYBoEsFR24GSSLGy3o621aO9GzkxXUqEhO
l2nHBhdX7YNyoa6UzEWlQy+sNBz+tLD4srwQ39CQ2o3cDWDqi1HLU+rZ5qldsbIVG72eyy+5EoQP
VtcEkMHzjtFfGlJMHtlz9cxZcMjdxCw4eseRErg9UB00hiy3KZ3kWOp2WRsimTdiWDkDPzk3twoF
EGqmn09yaT11YKawJYhAzC4mMedS4GE8dD0JUynXjCtD06Qj1Bk7J+gxmzdzCZZuZc6pBmlkVlpr
jVQhXY0ZTCBoNLH8lf7V+M2WrOYmN4vkLiz5f3gcTMt1JH1JJtHleTkFSrbvbY0LzZOmv4zA8F0U
MSyplTyrw13d5jq11boCITDhYXaVTEu+n09b7BgmGYdeGZEPkiTa6JKpXsdzV+7HSMCRMwrpPuHe
ImER98W7pI7Et6U5xFenDkAXZXzptGEy7w5a2Er85uvyykmH5rVNiQLL3WgfUNW6p8q089LNplh4
oglTtyNsnxGvylOkANmkhGindU71dZCoE65EbWGBr+gsC3RnfAokXfI1dG8yRku5rTyznYpoJ7Tl
FPWr0pNdXarVAfZq5ef05+07OVHccFQKP6mt4iqAtbMhl9K6VE00POMAvFYSLUZ4oPKt2nf9GQyo
0uVZsDRrRrnLcCS91gnRubjs073BsOEMefxL3QeNW5pU1Le9VYELoGItimgboiANFF5OiLQMhLIb
cD+s84TaVN1s43WHkdHTAiBKvAHLa/qKEUXKk9aUxXyu0Ovg5wnh11LDcjGFMshqpW2fs5xASUl0
gGB+YRwsve3PW0yc7tDL+t5qdcvXxsDYg5ulrFfr5l3p0H5GXQyFUnna+WE/OtCRIipbkOWdaD9F
WUmTQsNuOx0Z3Msd5xpqh656FkA/BxviT2XX75pO5VFjmLF0VhftdGtymvfwf8bHWaq0cznC+KKF
fbEZyyGg3rCSySaJbBPGOg0RsP9YxEqbemxC3vPc1h719YY/U/Vy0NIeRYtg8HVpVcBdYx43Xder
2zEP+7PfC6OCKUr3tRRJz22rAlcLzMHn1ZGhAaj4Sap3PHWLK20kdzZ3SUM7fV7c5Uk83dcMjehw
1mZ437ZM3j6v69syjOGTNqFdrSwoIKuE2tmjTD4GOJSSKW4axp0rNZrtxrRR2XMBmqEN83KbqY5z
yHvLoQ+9n7VjrBmVti2dCqn/VFRl9pVpnUnl3J7XFlUgozpR1xHI6oArmt+o2yGcXvLwNegSrhHO
Ieu2+yo3tJ3FKoGhWuQjPVSD45taRV8fjEWC/rKMTcZoSIuwwPRiErd0ZopL4aTxqzp1ks/fkw5j
FuRXcx/ld9YU44+1wnjPw/BVyors3mxpy3VyWooExhAoHyPhxMaWGliNju2nQN/5/bLdANIVuspk
Un1dJSRRkkSTsGY4VO8WJtW+i8VSnUFYRPRKracgm9aQpCVATnXhUjgsMWNppqdiAKzMpHPwdTXX
X+0hj96npG0u50Fu3sNRKA/SUI9nY0yulCoqHraRrRCLGpNMcmmAZyan6gs9aiI+itdWqeBfsaMg
cZ/M4n6i5HJTYmC56odgZK6QDKwsMwycq8yZnadCwyAea328laaO913VhrknutmtMYI5Zx+26Je/
7/4+wgdPWsv3TaGtGzIT/aU/ANMbpJ7PJ7ygrANk1TrlZJv3q/o28Zu7XbjV/diX3HnjXMXlisTb
TvZAVXrNdhuvf3WaP/EN//QekD4MvJoLAvHTljsaplTQvskT2BFuZoebDMXVMfmfbtfI11mF+7x9
dSQF7C1BdwaCNDrBjIjWQSyuMjugR/qOIWqDUbUI6eQOzjSoppU6e5VxVyTKL07Ff5IDTh/ahzf8
6SzZDDR1MtRLUTvAG403zZ1xkR11v9ikB2Ny/ZX0UuzaowEXjbo/V1r//Es7yYs/+8A+HRucIhB5
vXxghA0L0Gau7Ofr6MLcQVa4T1/o+t10f1e0+3zNn1WIOsuHQi8p6zinQZ7dCkJZjPQhrutjsZZ+
qXosrs8fZI/TCy7ATiRd9IfPxxVbVGUy03eAiiVdtMg86349+SbS0kWybdzQd47Yi/fUhW5dfc1Y
Wd6Kzc8/6D8JaZa8VCJwWy62PXNBgH48MeWh2cfAULBUWgezwOC+cHijt6qZfqGfnRpB/vSNfvgZ
fjqbKXy2tc5ggYtNXh4pNN+ofrMh3HIcXhCzfZ7YZ4OnoY/O9y3om1XiLRLm6XL/W7z419+JDIul
9983FrsvzUv+Ur9/tC59/3PfrcVU4mACNoGeWYb1keSAEGFpKlI9yB1MSovx+5t6Yf6G5MwejGkB
2w8qPXjC/aOXQbUX7QLYG38MgM3fUi+0k4z1/UbikI8oisaFbQk+LZrJp59pTJyac7JReyQQYASp
J0aQILhD2GdBB5lTrK+jBScEl2s4tLWefwlPtCE4PMpVTMGa5tkLjiiWWvkwU0q4HtS0uqUGOn5i
r8luPFlYRjg8Mrpl2oa+d3nS7zOF2qkVCPHxWZB3J0WcWRJ9IvQvPkkapYBq7bQHQsT1m23qgJRo
C4COI5sVm79aRzmN1LzLaQsWbeDiQw0Sl0Ry/0SV27gPT7imiKaRp6TuIS6auZGq+4r9uHADTe0i
VwFmcJdkDDt9jnXG4DM9qdaKCo5KT4TO9l4xLuUyYqslCSAMG6AJ80WmQanaz0z+Dk5bpeeVEabH
bILsHE/sH2NigZQdmJxnV22kicqV9Vq6kDHsboyyrhcuQ12DyQXSEfkMhTrxBPk1g/ZQFgGENKAf
FHubkbZPwIGtCYMkTxJZn2ed/eOzEtfUElQKVXCehBNXeNZIrd+uCseJ6TmSyEUSqrT5UDtR3Bkz
biYq1Iwu9yuG5Y89o+TiIGm59t4OZX5jZqV+O9SOla3qumZUidalHmSjCgmOJLVqvND7GF1zOdUb
GX9sju3ieExGk0B1iAtSnAyRsFYxR9IpTA9dp8tryYjas2JxUVLZptyaJ2tlEnWyryRBdh6JRPG5
mdRLZQxURtY8Lessjjct8243DEya3ucsz3ZisXFi/DNuysXamS0mz7zWqxttMX7quhlutEbS9mUk
0teRrctlvlhFQ1mMa2Wxjy5VHJ6+WEqrxVxKGfkIUT3p9lYlwnvcFcTT6FB2PPoYufnrxaI6z0FF
RTbeshH2N9PbxcxqkxHbl7qVu3qstlujKY1trdY2TqjWuTAAG97Eizk2Sci6Lxtwk+K4mGYNAPqD
B3eufIXSjNU8Gca3Ji3EWlu8t/JMpUa7+HGVUJ/OmsWjqw5zt+4X366CpQQL7+LmDQLQR+zlsfga
AyWWYvH9EvfDAty0lXjBFzBsRg5kO0AK8fWsTIvkY6dXUUGhoHMyFdvVvOTfUJMowrX3dT52fhRi
dKEYVJvO7cWYrC8W5akXuJWNxbjcmFiYtdCi8K9Ss3WcN8od0oHwqDLD+VzSNsiRQLusY3vcTieL
tL24pbPFN51bve4ni5c6AkZ9Li/+6lqYsAAa2mTHPJVHaLDJ4CdgWTa9ihZm6cz0pIDmzUHLgg3Y
KQv1cXDWwizrc2sQ6aaIK3M/UR/hx4v524mq9Dn/X+Sdx3L1yJltX+W+ACrgzeBODnAsPQ/9BEH+
JOFdwiSAp++VbJVUqm6po4Z9b4QGUpRYJA+BzM/svbYShMdTrF9o5mjim1J6cWTarUM9D38/HNZE
3A55qp2o09GZi5Fja9v09VyiCLeCdCsDu/vO9R49Vpe66bgffzTraevad4mUyZHDWio7JOr2zkai
BsXJWZ6GvFvssFY5JwNqxQ0qrymOSBQoaNIy2M0qGwXim0pJ8cYv4ZCc4qkMFd5e/vRjM0YBgEOc
cTFy7RlVX+gw1wFhly08bEsB5YBwyqhNzf5rWqn9NzEDW9RMejnjPKb1SDxbHIAXm4Te1P4SUh5V
d8loNfdW52MrGvrC+zRcxCFt6+gnHiqMayPne9vQX4SaozVE5P3kzDB2jNkYzUxnmqz0LztPk9uG
VJC7pFx0+5D+ZNZMP/E1epk9kHpgOlFFnZ5u524MnE1rFomzbZqRDi/l8D4VVV+9SJWTg3hBiJA2
Fcq9J9i5REKl6qw/+To/UTtenZTdvggYqJo07ci2IYyFhJsjJpJ67F+2hskvmHCCPstBFGJjtk26
739SfSa05Zc1DdqvwSyYS1pD1+417gxGHrWZlrTjtT/S71k146FsJcsxAbbFZ04IBiKSzBuACtgg
7lqtxdaa/5DqePug1lWi6IMQkrOsX50fsl2tIHfGYFrhqMB3gd8CORwFHlBkzFt3cY2bxm2+pFsn
CHHc6ar54eiRIE3ejBG3WyZK+YExU79HdAJ6T0H48g7fDLUlg7i/Xqj9bxOP/2cppYqif12C7cf3
KftvSzD1df8owVjzBEqVbLBr/lMJxlqYbSXeKgLaWA//vQQzFRrXtyi06HLRHVDK/60C00nGQoeO
8QtpAOtraqe/oh//+Vf9oXGhBKO6AWrIT6imvrb+p+5s6gXq1bJMIl60ju61r4YoiCvLriOt1dsr
y1UKWWKTzC2Lof4Vgo57mWhW6+P/iAsClwKMO01ZxvGmw99MDtYwDXe4gIKX3gOcr5VOEDKELal8
Vmc7eyXr6MZYLgVQprupICcW+iSbkDbjB2ipOT+JBZEOure0u2jHrHrSvRXgX0U6qd8PCJjtYb1Y
gm66KhjpHDK9cLZMBhjSi4KhXWzFr7Ic45OBGnaDsdaCdwO7pU0aeTEXfX3tlo51anKnClN+j8iR
q7uxayfmXS3ogmdWSphRvmIfb3Vqj/01QFm+ynKm+7av62eN62GDrBcC1DIQCGNljONQopJShIgz
PxllbCc42Nvs5IuGIie1/VNR1B0BuGSxIIvG2vOIlh0iq15gfMU6rXPWFUYn9iKD971lngV7Uqtm
JLkBVVaUipQpcGo7xTPOLwgDAprkqll65Bo5dNSgrg/6Qi5By6jM15b0yIfsHao0HTmYZi0KdMzn
VkqxZyGsIVweg0A+SeOiN808aqQcfyV5OTz5ZB1tENylKgmcPUY2rUm0Jq1UM6qOmOG4QHRiEcbL
XbZ+UHcad07a1lf9AFiwGYR5Yqg6I8FFCg/BstxXgVVCiSKfuW6Bi/KAA8iySCaZ7NLjFB3mAwBc
RC0lg3yGizB+mBiE7UpGGh45+xT0UoYu1sSwhdm4q+N43QvmChubxB2EKbMbJdCaDiOu/peqLtNj
PYoasfBAFwoj9+CJWH+jsEBpzTrsLGwWTBiO/bc80bt97s3LoXf9jOvJyPeT3fp7SnxQ8+u6olRb
kI0bWnXUC34qnNnaJuO15ndTodn6yBzcmNeDG9v1tShlDJE+dyL2XCx0ePHCdipjUP2rt0tkUm69
ceCjHVk0GQB8mAPCcEVf2obzUmPeQGPUFCLfkiddR0aD7ztFLJ9Crw/5Q6PlrmbtlfL5qegLd9/W
5JzXpeyOjjlyuROcdVk3fXz2eM/oHJoyMvWCz7yTQ5hCNN60sqr5aPFHA+tOJgIB7PJoJqVkYZN6
dDFog0HaLg3oOMYZKrHzZbUnY1u4+CwxsIEZtWBc7fq8tK48Jn8nS3PnXWsN9f2S1nNEkEO7B2vl
beBzYWUb43ifBE73sTYtjKo5dlkT1c3Bz6iUeaS8q35yzJMlXOdIRRiYm7RLjT3lOKHM5HyzbDWH
Txep4NYYrOIwaka+q2oqFhhE6TW7P/B1wq+PS+W0Z9/1JX/HnsGpWckL9CLL1pBle+ukrBbbrnEO
gYbdrM6Fu1d7zP2UDhXsrjUGytxCL9x0lYyfjZ6KqdT1wtro2OG3qPmStwqu18OU2OXD6CHAEmbQ
0eyxutj0gAq2NVavrc+qaW/mrAszc3GemcrIa3oQn+YBjfZQVqw/W6N5g1LvRRWaV+TfPlB/NzV2
Yirat7lfG8QylYn/3ElZi7nD+AtWGByp1M9HJIq6eJnTMj7Fdh//0qyhum/5WLcVm59ni5z1Pe0P
h4qDPjwaiE4IWw7pB1T09r3qWm8zWoR108jSP3kEUlwuxkKvQafKWgU1u5ce5qHqL4bJST5TjCPq
QS7qY0z22dVkOW2E+H86we4kGrqa82OT5eu7SXAS1H+gAUVrcpyjVZ/JpWi1JxPp9M1EoHcZ2ppR
A/Motau489avNc2b0G1XgtchfvsirPuAXtaEIJtVY33RMWB/dA3WMVCJH+npiI1pBKTXAtv0nqTD
+HZdCgejHRPrTTLzccgV80zmauVrF4M/WdEAv1gW1OzZG/xNjzjj0KCZuLbKVt9rYuSUHV3BMGA2
NK6oJbAPwpBwaCynMtAE9yKmHflBQHsk2cOJ1lnbsZhcwbiQJF3A0GQNG3ufrW/212h00wNUjTkq
RM0+o1XU6fUHQC0Vi7qv8wWK+aRfE3xfYCNIFu7bH361kad7yU8KnhusHKMZ41wHJEuG/UoJG9rm
Sp9blGXBgkkBy37Q2Iwaknu0JvnJ+0Fnd44GFBBO5V0yD+QyaoiAoZWQ3kQr7hZnryT+aRMYVXPl
Jz0nQa1nT4JZz5aFlLyBTAHEu+kcNlI/aG8dGlmC0Rr+YK/3CAxYScFH7BUT3GLNdWf9cMJ19i2R
q+jhlVu5N1KD756xjKKNhDLONr57qAI5U36mbvsqG/AtUPWgcLF6Dc79ONu/dDwuWHHASNznRi8P
zQ/WnC4OsLoBzaOvYvuwZKTwYIx3zrFd6DkBJ6DRA27MY6oIyvpARCFZ9tMlYfM9NJuZp4TfnUyS
vE2TDd94nsJVQdjryQ2A6QFmLxWi3auz5K5T2Has7MvLrElYzbwgRyqO8lEEtXkXj233uiR0G8LO
u+txbMzrgFv4HKeCIDsVLwKAJkNgzu0OdkxdnkSoWweXvuuIAc8+GPivPqxgNVgi512218rAPyJN
MT/tunDeHV3zUTOUneTewxZU2kAwghR7LGmHlgsEZdHyo6Zn1Adj5d9owqoPc5EZlyBdmjOA4/ka
6G79UFuiuwxiJwMMXuIu7pUZumqJRaMLNd1t31TN6ywzcZDQhgiyFCqPr/Rh/C2aP98D3LexkNjr
rTelzk3reX2ocp9mnnnNfbY9KXHAOSMq+KJBBAJ9mkTnIYCnZmHaXscGkE5HkABZeFmYuv5yAwsP
8EtC4sDCchDc308QgacyCdrCTW8kcJUny1YCfYKvP4jmsS9qXfSnQi7uM29Auu9U2oFTzcbNknYD
5opxuPDqQtwEKh+BXIrqa1WZCYIh+M5YVZCCvRpyu5j8VTqZ5ufVS5LnsmshUPe2BZOkXEInU9EM
sYPKJpqRbuxWRMD3xGu2uMCWJAirmiHcDNv1UdDxgUCRxQeJa2KnJaRBzMmamo+LOWmjv20bx+cw
om7auNIAlxI0yYoA3pbFptdQ8G9yLSfds5iRCoGlzLY9MuaMBjBJ3/gO6weLtfUOc/z8wI63Dv1x
NCKPYvqYZTVJpT6UvzwuxKkeRsRPdTW/tHLtjrlmFlxu+XSmiFaLxThJjisyF96oUo5XbSytd4ML
YMNYnwnEOi23jdEwcJJeA0hdmjd4ped3nIcpM6ul22qUeGFnjtbrVBYy8nNAnmUTpwc7Na3d4Ivh
tFJ4fuW0PkcmMMbtOq/iKhjz4mq02CuV6hKYV3iOMjPmm4FUuy0zsIx0hiS4kZOPBHWS2TWahmWX
OwIQywBjNoTjr+9Fw2UxVYYZ+l1fXgSLvd4PIDxvKa/lsUkUprKLhxdj6qZnofIFauoMluqVBh9g
rY+G9NZ3XEb1NTPhfKuvurN3icW94daDwe2byTssh/yxHgwEVkaKuCdlKDC3PqIaCoS3dZb23gVp
hKkvr0jXlfmVF7vLsSl9wDVkUtG4NCSL8yqv/myHhmY0sCqGNTs1cc2mul57L0oMbSh2BmE0NEZB
X98YXpze2l43P/g4HjwYlhbE+wZY0mYUa8wKURCBSIGFI7KbYsA0+IVYyA6FMoQHSkc0R33WNLdl
K/2Di2Qiqu2xewRAMXxwTMw3Yk7k3umH4UVbq+B5kJxMFo8OmnHdvV0JJ7p3uV6NcIQh9VHbQXLv
jLO7hQZuPvvaWH/Kom5P+lC3X54ZB29BMpKXCWAc4AVeKxz3GjMF0qguiKN1r3BvWu//v8wMHJZh
/3pmcPn+fxgb5Jng8/iCxj0sx8//+7eFj/rK30Wnxm/ArXGco/CAqRb80XRu/QaqB4UznGlb7XZo
2H83nRMd6KiljuewuqGyZZ3yt7GBof+GLhpyN4J31Msk+P2VqYFay/xxbeO5jAyQxCI41Qk6Nf60
aUSiUdaAWZJtI+7jYgz1Pt06tDF/+GT+m22/8WeeNtsG+ijPYy4RuHzLPy2uSw8+PfrHZCuHhBo+
gVFs7XwuxzwpYbpZ+zhZdvHEZrX+H4QGf16l/vk7/2ko0gTJinVyTrazcdkPEc4kuHyYfP/9L6j8
E//4GPnL/en3+9P2y+Avpmu8rFtqjc0SkdcVBdH/tH7/57+V+iaIEA3bIxMGx7r9Z7QU6x4uiTkA
xL/1nHrX9GKbfv3734N94X/5TUyildjk8WgBuzHVP/+D8r7wHX9xmABFupN4e/TPu27qEGZSk2lj
yMwFBnnObmAjxlHo2yEO8jfS46qLorK7X8nSM4vQmUk+CI3oiYUH79KZLfObeTaWGxqsK0JeYfjl
9bIeVocD3ZUxULPC65Mbl4BjsgqyeL3ySCt5RQCpvZDzLC7H2MxOJiBfEGZkVpJEYnkhBZFx1eda
/+mOHahA6iNlp4TwcUOg+LDvfLe4rc3E2Q+mDwDWGhfUXCKOaSRXxd7s4rIkOGcemhPe5rI+xLHj
vsnKNJPLykGES0zKIkX3rfBh/RZm+Dw7oTHEJaFrTm+EVlXOOz2IY3jDtsx2XM66sxtGmoYlkcxu
Bzc59CVPdZWa+kmsjb3t4OOhKXZjOhrynzjPMxZ+udFp3YF4Qdjk3P5oR9YCh/JDp5kTfUwa6Kel
1+1mS12VeQwQ0vEom8LtGEIHZHWYAwvVmUXHhdcJCfQaqgrVQePYjyZXxxXSsyUkQHp5LpxeJ35e
s5o4nJn5fc+VRQiJPViHJLWKPlw1NkCkl0/TSjADsjbuPcYQZWXtKH0n5FAWOrCRRaixmTUD3xbu
5POSTslbOZTNVdcaLDCCqduXc9ldTrVWXBmFJq/9OK720mzaiPq72TVBobOpEVVYFfoSFlo+bv2J
YQdj1J4lXkEwqfbpdIy+0TLZkda7pFpBJ3jQEovmXZrysslSbbcwz79ktducidJdnj076c6a7hQX
MieJZFNTVuWKna5oUaL8LPRkuNDsZm0fTHjnh6Jt8v2QTx7QJRd1NQ8df37bXI6+3oh3Udf2gWWZ
jGxEw/dFMVe/IFPHx7F2s2t4LvaHTAdwxPCjb/CyGHTmlbsrJqJVQ4e2+Xa2JhF12CDb63lMbFIy
RwMvLLPSIZxLh/rF1kvE2iUr+6tqcWfjpFckc238JXU2RjdhRLV1/V441nBu6RRo634YRA3NzZHs
L/sXldjMJDEoho6FEhk4aCTz4MMBS8Tfdhq85egRsjRE01i62V56RW9upLlYaCEzaoD3fpqH4TIf
DPTvWFubV61crT7q5sW6iQFrFlfDECeERQH8KXaNlbPvqzIi0Nkim4DAuxUme61Z5sTKzSvPgZFB
CJDjSnB9H0R6aZPu6aGgTEAfhRbjjuvRthm3wL+2ntuOJExSd9Jrp8/mJyZm5i1MTn8H2TE4gSDo
bsxgkXBUE2Jx2sYah41h8scMC6I/WWD1FqVVLFi8hZoZsLG1MieqXQ+DwJQMy5035MZX6/fml0cA
7Wc9mOQegbZCFWkP5MGPxYIEOMtOBiGi+NT0Ktil3TiTVaibg6KxKA5TSvSjPSHbZuCtsKha9mC4
ayN2yZA5l0XaLEe8TD3Kyzw7MvoKDpU9LCkeeqcLfSemzZX4n895sHpfhqYDZCR4oP6iVf78Ocj/
kqTmf9umxnFUpOC/rrjC9/Lzvf9jtfWfX/F7pWX/5jIuwIn7E0zys4T5He/jsIUxVZgHEo+/rW7+
bvDxfNhSgU+uoc7z4FOa/F0i4+umowceqhv2KX8Rv8dX/dPVqnwwLroHKiC0Moh4dFUk/eFqzVhF
mzbZ7VFZkL899Kgz4Sp8zn3wJgz6iT51yy0KEG9Xkg8RFr1bXphw1LZwDfTTClBmFwdlHbpLkpIi
PkGHMzP+55g/chNMjxg46iufYMJDOWhnYnk8DiH9vRly65p/Yb5fq1WE3Upsbe3fUaUhXdb0LuS8
bg/ljNa3SLPxGr/3U5tNYHzNNmbNACDBCcoUEG95l/nFnVNrmA/X8tfSdoh+h6x6gDbbHSuNHUji
YkqcS/5LjDCiry6zxemPMEMOXbu8dhNRQUapJpZtc7Ya/6jrXQ2FGcC163TfMBHQmfjVYyEIqrfI
Jhp8bvx8Lt5o/8mQSoLHWQ7vjkQ7LlNNbIQFLcBg/Aow+dAig2ZiVhML1zo7R2cwz04UDtjMRmnw
mMcHcf3tDtUNQ5InP2PwNybtDroNp1QZo35NhkMlndMi5XlMpveKU9kOtAtLaB+O2+/Qy+9ZUg/b
cQW0wA428pl6byTpHuClmT1YiHbB9GRMoi0kpWAEGLLCgRsD5rD9pV0GiOR7uc8TiIS1j3gwrn03
7MGoEUTHNERKjwGX22x0h2/hFTE5gtykkR/Iw0wGVw6pjZmf+audJbWBv4vt8jlvWxEljcdW2rDn
bcsQKNSq8VhkYjmhOX6IST1sujo9xLJ7nOJVRLJEhMON/QIcjtSzwjni4XnWZXzpZsVZAFSNjWw8
aL572xr21xzHRzH1j5MZny1PeTuCIELD9Vy0A4kVhX41l6nYdItTh+tU2tea3tdns47bKwYX+qEX
EtWFdco98kQIP76ecihp48BvmwZxwF9QGlvPz1mO69mznqxiS/L1O3kQDdHARnXXT+mDTgMe2gQX
kFLlPnc5PGe1lRSLY0bONOrvY52uOMBc9ivF6r3WGbuNdmRDljAOuwD0bEbx2PeUZjrm2Wk2NpYM
CI7EeXbZs8OPLIsInFl30DF4bJjyoLUPjtA6/n8IqYQPEgYMs4thR/0VGBxHGTOUbWdUNn4r+MYa
GnbswCheCL2It2TSMXF1S7ktA6Ja0rx+6xv7HazTOWlSJuWElIR+3gMnJ1JyU1s5uA8V7lMzzAmr
prknTsXdZC0xHs44fNh1/K0l3pfZ6Tgh3P55tNSKx3P8aEIbiBwZKFQO4DlcULKo/QWihYLtGmN6
Ev4SEtRgJ2EqM4qLAo4JQo/gPnPr4nIyYC1NIAc3ABU+a1eS1KwvMKDJ097YTlc+MdpHkFG4D2vC
J1UjLOLlGhjtJJkWWdCXiUDUWaoVJVHpPT9wq6VNyBW7MoYztEiXWhMNeglraFKjOJNvP8oFrngq
rS1yoxvSKIju68ZHh6ounJim65MuD3YCpKgQ6SHIQYXEa3XlJMWpGqW50QZyJEkt+fAWcZHI9Rin
WlQl+tkV9gObWp7senmadNiVruCRSdmaUb0yDfOyExjNuz4L7uOJfD45MOK1C6wMXDHzlrUYGIkq
7nZ4LJCODUEoQApcFP38Pnost/RyiKxqICCNqdOpWpt7wCfklhi5vAuYvnAwpcNVSmb3ppiChijX
2QpT9GqMzu9GnG6PWV9SfxOwHXU6zPSlbdmYBhIyppAk/bgpWJ8FLQnmJrGpGDtthrbvN9VQXGmZ
me80r7uM1ePPG+8a/RaMt7EVOisBnA6fAe0Aq9/+ObaUDrC0vksPg485PVvJDPBgfU4zZvbkSd6i
7hGRGUA6F2W/ROyH1hAwFwuKHkTzQpyPJlLS/MRrAG9+dsyzPdqEcLrWzTAJDCC+dsiG6Wl06mNR
94+im+EpiIHoHOl+s7jtN4SS78W0IkwwMC3lehvNMb69Qpeoe0S93Or6rEEQH4yQTL1zjt+MFWbK
SpVrQmcvE3plz6ebFyMKPOeRNJodagIqtMSKAs3Uosbo9NBNm2fmwESR9ugIOKtI4BuAk2LnY+rQ
ObceWR+zYFvE0futNfbe9sRlGrQfi1vd6ZVxCbToFi1SFa1G9zUWxTfBtQnWxDkLHW99hgCC1Mwm
IpOkRnSeOLZkX8vDwMi+8kpnx03VHh3fEJsgs9tjyq0VVat5HnTpHGTOmzIa2Ztu5LcavpldUvK7
xIxESHBxN7EnkXlr7bMhTHM3CADkscP82XTzIaqILtaq5dlCgRZmGmGkrJuJxW59bT+hPNrxET5w
6t6lGoZJL00fVm7eZ0IF2p2vyPJLkW0h3XGPY/VBX7bciqkl9g96937NJm27ptZ9Vmj6ztLRdQRi
3M0w+A5mWRxKksjDxp/XkBx7fLfARncFEWohwe55ZCA/jSY7+3Jci27P3U/MDvh+aRFmTLciO7fM
beCs7i6u1jYCFN/x8pE6D1g9B1w/WTuyV16AgENMEu3L3PWEA+TyFQOTvFpsTV5Bu2Gju6wfXc+e
cGAooXfbtnQvuWKB5Cfjkz/UJ01y/WRBcHa14ug7KW+LU/zy1hgfnLe+NnEZhKXDhtIMGjNM0Tuw
RoLw5RVesnEIkA0HicW2sZJvjlT7wBc9M4xGDc9+f+8Z+QOdEsa/fP5a6hkU2dy+w50iSt2Xn9rQ
EaW4qss8w8CkNV9qU78npQcTToYqdfabS9jGt5qffolazHs9ac5do30UE5pRAjQpZBKTcABgbgcz
Hp5TQPMbZosTa9YRKS6AqqgJzAaMenJj6XjwXLVCBDvWb6ZWxZ5q4loOK+BkWbUf7syWyuURrT3B
RHrprmAaK2dInrDByOstnddzMglJiG4SsK7jAfGF/JS6MR68QZ6ttidgO2mzbSs5iIyaIAoGOG+l
M9pbHW0QgVgMCnoXoAksZQ4MsGS8qW67A8DJ0p5ZzmRxJZuj3e9ZP7Z46BbWLG2+7WvUe5DytsvC
G+j1T61cDklXH81peUkh3+bBpAFcplDG3aREwe0tjqgMiyEMamB1yTYeWQobMr22mT4wHj/lEiBO
XVj3ZVzHh9ZxtFMwVy8ZK97I8FslwZ1+lSOfiGlzf85D3uxH4vu2AlLVRk94a8eMXWgrL6c1A4mm
+ayARjUhMDitEGEzPCI1I2zWOAk90b2YlQaLjZhunp74uu6KgyWYALo253m8drglk4Emfti7CzeW
1r9mHNpI/E6xS4kU85dqW2zpMKueLCDTnaguUTF+c0s+NunyzVynvfKy5LNUJzEujfs4Nlvq/yaL
CqN4nOt0ZBGjGRvKEy105gBctjAI9+jQe0CBXCNpsU033CAJ03X9Ngw2wE7n/EpL+0oNpFn6mUD6
xu6Uke7s2Knk6VbLPyf+7h2v3o1d0G1j3mJGUO18RdD1zgJBbVf9i9eIN4K0uMqt8mlstEPlxSgj
VgQrbbTk631i9y/pHFwa7XLfpxj6nHY8yDQI+BTjd5EVdzJFUl0VNbrHmajiVpt2k21Ob25aeltn
It99QWYbWlrwyN39EItyVxvpZd5kt7k2XzlpjrzS/7XCYqapcqPaEOepmjgu1lfD8y8yxMHh7Npe
WM8zUYuxed0xLUjsFsknT3HkmvM3DVG+gXDkRtOE7XLBQMtGut9Py5xvMRfo0Sz5EJeS2lBFtdK7
lPpGs4S+dxCaYBibg+sEuT/r3upklgi322FgPms3DQHImX208QJfL0X16LTuF2HY382A2AtLI/t8
DYwdPB3tAlLftz7neDltP4v+358GsJdw/q1o8z7r34UaCfxxIvC3r/p9JOD8ZrF2wRiDcpOtsUoy
/X0k4P4G7tqxQUHw8UL3/YdrxvkNSIiuVhWM9ZmrWfyjv48EKD1c9W8LGBlwB/yl3ct/Nc0wEWDz
ov4T2A4/zD9PBGgvWJrknh6hMH81ssm7tmE57IjjBn0Oce0Yr/ZtaXskcgZuupOSWdKSxDc2GLlN
3xlWWOHoMIKEAGDdK3e9XnihX4zeHjWSf+xTVq99KyBNKkj1tNTPo5o6tGOFrH0FFlh3zHhJesqe
YY5XodsEIw8vDydilG8jC75W9dSqxzdGHse5STQidoVf/SQ6ppjOuVNPuqWe+ZGHH0cCd6BrHO05
fmoRjSOl4w0Bra2jgEp1QAKJDoWDN2lR75SDKiuS6j3T1BuXqndP8hJOoBKiRUfp6fGCWupNRS0t
8BJ4aEthYGqc34t6r/OfN1zGFzWvPKbxKxz1L6NjT1HBwUD4+mumDoskuWQdsVu8+Lya3uMCAQ/s
ojpf3NhlacOZU6nTJ1bnUM2BxNK62vQcUVObfszqzCrj/jD8nGJYQ3HbKrlj8qKNXeRm8nJYJ5UG
c6yqTOwnZ3hzOCFtTkqdE7NXR6ephGzxYHWgRIx6N2ned6aO2qAFCpur05dTuFHHcZd7H0Iu92M2
yo3aXVG0yG8Y1Fim1XE+w0iN0JeWwJ857MvG4tgv8e0UrW+g0/AgNw7Zo6euCU1dGGaT31fqCgG0
+StWl0rL7dJzy8CBQe1vFJcec300b0+duo8SjZtJ44rCtkHL3l1WsgM3W5z6rt9jxUJf2NhduHD8
2uq+Yxp9cLkAmZ+iT0yTd871jsEpXVyv7ks0NhlhVtyhmrpNVx8Q5xo36c5WVy1Xbo86fjOJAokD
hdWWgUezr5i0giHmtta4toHFg7jSaTpTrXnBMqGdCnXLV1z3mbr3M7+5pke5nrv8ejR9TPSqRugC
NI7FKtgb1OK2VJVEnGHZJwpDuzSSZida687wO3bxzondy3nJZhoA6hNMGTigLStaO/xFqnYxV0T2
UtUzmapsdGCT4M4A46mqZ1b1j67ZHQN2aiLfl9OGeS/ANwomVIkYIVQNZapqCnOGHhVesXWr7sB9
tgnmTu4hJ3+WqgazVDWmjdRlepO+MEqulUSIf7uq3syuvxImzRlnHUP3Ei890zseF9YmKjHepwRc
LUozkp37jYshnbEKUGgERDdeUQdhYyOD7JyiAjhdI2JRxSZv5hfJmGx7xqJk5FYzIaAu5fM596pQ
TYL0a6VyJbb10lClbK8BMzXtVafz8Z8HVfAKct5jVQJ3mf1WIyaA5Fu9kxvabAgg/Up7anqNIQ5G
CkrpoONXpLqeAtwgLfU2qgWQNaoEjy0mQ4mngxJQBbqlSnU0kArk3AUhX/RqEZxJbGjxSzQ9NA1u
35yaf7WDOgzoAtBcPQHw5CehP8jWFimZsxP0DUNlftSqkdAsjeWf0c9UyovrHXlRmAswAN1rOj+v
36bDRTVNhHWlxnHuMszO1TDtoDmA9vQKHqZsfK0oLo5aOsCvmc0Xbxm0HTas4QSygw3WLN+XCpFV
45fmxWLPZyi4xX5chiSkG1s286RP0TI1+YHlU/6AYadF/BYsrxJjd9zDjVl9nVGb7LZmYBk71nXV
PmPWEOZVg6QYJM+5J+x0x8dVhLoL+QfFzRY+rsL2eo8ITr7pN3H52NCS++mhsFUo0mx9QAWl7rHL
95QplTZZZ6810JZV8a9l8N6cufz2qNmmMruyU1/bOES0YESrfurXcT9MkJJWvakvWxx8+6JrbZjO
nbhru4FyMNOni1ys2W23Zu6Nkzs+8ppO8EwvI/b4Tnvi8xuvAU0kUZv4CMrWIqAtRYypTyM87oLt
Z+J9BB5Ww9y0pqOhxOFz5faMo3lt9IDMziAvurC31xr4g/ZktXpwXQlBXaeXTz6C2aPBCHYjWRIi
Jo/Pi4/Inmz0eQvpIoN8slQhnlN5WeDQYlqCEHjoeZvTkTzdIqbglKwhw7yUzTZum4NdCobJiJSr
IXDBrfjiGJhI9nW7zSJ6qmU/GmYWkS/M7HfUn1vaZqLMGF8EWr81NXHRDs4tqTw3rSijVSgFmWEf
Y2niCKW8znT5EHtMGd1kueKMomUwGbe21cI5Ur/JzmrYIxqndl5eNDu5sGVzGFqipmXRXZCAtUXf
lWBvaq60AGpCMNZGhF+y3unSVQEuXrmP/eZ1cuZPjrC3PDM/cmncz2R7hfw0yNXhQ20KRTFC13o3
M6XZE3InorzsnqesLUNpMGh2i9cUrXycDAi3M2TknCK7ZO14BVm41SSc+aM4466/wK4PRdrk10Ws
VwQRJ9R+IbWAgSLrewcRMwaGTT3X1/3kP/pmeZGwh+ShR121nmNNRi0eCqfpGRrOexl09xP0L04t
vhfa71NBGWQjQOfmg5BrQ97ycbqlYo/Z5tb2g6tRTw5y8P+DvfNKktzKtuxUegJIg7oQbW394Q53
D1eh9c+1SAUNXGgxq7YewptYLwSZrMyoV6TR+q+svkhaMtLDBRzn7rP32luOpoemrndO4RyagZtC
KwmxV02FalhXhwm349rqi4cp48/N5NSU4Jywrt3ggHQDp6OTHTjuK9WUXPMLj5pS2BVxSN5nnZcd
astq8IbAMJpTWmhG0KUc4tuu+mJnRkq/ig77H3J7abtBP1AgDYX+jEF/2R/YX32J6mB52Pfjbgyv
bACra0dT7XVTFiW+dyv9Dd/wb70TZARn9fYXa8EPvVx//Mw/TgH0fghdGMuej20fnpYfpwCXxSAL
QwdTkvB/a+z6fTFofbKAN4Gn0Q2Dfd17W8gfyS1gIYIFHr4sGkGWcpK/cw6w7cVl9Q/70LIZhMPH
WYBfgb0gJ9NfzwEIPbCVQqOhGLLon+OKvMJYRZgJjXq61U0VX5uVVSAs2sUDtl371Z2aMTAEd6wy
j6BBt504hdFA2Y9PXYarRhEGPOn6O4cHeTkVZO8naWZPtRH1l0p02UXI/Z5tXemsS9VZbAszdwvb
tDjWRbl06E32vTZ03ROjVr0pfTd5qCrVnfiS6F8AnNcJO/cx32osVO9xRNC0ZZTWM2mWOBhioqcb
2+qGe8OzB6hszBxHJ++NlwLDSYE+snx5UXy2GzDIrJJBgeyGRx3uYcG7Nykp95ClwYxsb4Lg/+zK
vrsZVUhkdp41oHiZb/VbI7YFWxAD/s+q1Sf8ZM48mQhdpEAWZJueoqHaIcwQxZQsNGoLvKlAmmG/
lrzigZ5KvnOM2SH50PtUDVLM9EqbOn9pxb3tkoWY+U0rSv0OgIJ5lh6V15lq2vMoNP0648b4xZ4q
72XSh+jU1qNfrWmXqSssnfMY0pfIcD+kCunYaj0GYBff023le+HnvlW1e+GRM77WZUFUN4kd7xkY
mtefbG5kqEfYwNirNQZtfl1ZVFu+dHyXrFFPp5kNLrlbh0keNgwTjm1vY5u2UnoMqKlyaVt8hlOo
PzKjR19b4r8X0hfdvtNyUrNpnjeIrNX0ZQBgVezqoSaIgfhjXST4zhgI9amh0AkZem0MxIZWOgz7
m6mhC5dpR8iryZg7bTUUuLo2NZpW9Viwu7DXPjyft7Kf0rucJf1zNsXzBS2P/vMYtuqt9hP2t+EU
y63eF/6Z1H+6jeG8XpZhuuAgvGrrDzYzYpQ5l6zF6IkHeXSKtIKyWjsd2HhKZnTfKXn/5TsgEb4R
sETtHZwYVgtE0Vl4isVCViwXxiICa38e4DjuBlwZ1zlsyiNuDn1XLnxGO2nhhy3MRh1jEgEDAub9
QnQsOyvZNtKKt5B+SeZJV20InGGp4XMBPGueacx05aFaMJE4ReiEMpX27NXLmdXzODuye8NG16zz
UVmrcSFPRjkYvm6hURbCbs8mYUJUJlRda6FWQseOd/nMhALDgZoDvo1WmCg5sBk5Zp+FfwleziFY
5fnXQL9IHni4leuFmJk43K6x4QN3XHiasVPnW7LI45nMO+e6kR2onXYQ1XqvqghElTED91IFvDCf
rCnULnU9ZCPPGz9NWMyj/ETjRAKqP5UdbfAL9aBRU5ISHZlcjZ2l8AhJyTLTKADszNcpNJ2cjRqD
bjjW4ykaE4NNMsyqxXx07YV2+E0sRKvYwMGvFsoVaun4Yrkdf8PCwCJ8ovEyw8UKF0JWZ3JS7hdq
1pSNHUIF+cIhryMS6b22k++MLeZnfeMZ+ONTi1exqKYRjw9HZaqIybaPU0JJ4ZLWq9nLPKL1sRBY
EF/6AvsadC8/W1I1l2ZZahuC4vGX0AQP5gLJu+ezPwXsVJudW4IRkwMOAmGBFsOP72+GBTfmvZPH
0rjyrnRNDSIoKz0W+xYx6atIjNjcmllhfJ0EWDHgbv1rImUEhsKUZzfXafKpYaxvWk2Ap680Fgg2
fjLO0X2nAuGFHIIam52XQ84AT1VZZWtdVvaWfsH8UtAMcu4GPiFuaen7QvO9yylMq201ePpmHMPs
1E2RCgjuENUy0nBtOhNqsB2JlwHmZqDMmtJVnYt9Yp2jqX0ecvDPBhsRJ41zkA1G5Vi7hhUNqmfe
8r8ZYD0ZbKg4urYAEz7nkVV9rXG8XmKoFFkgSmEZq9aekY9szvinEXYpTszIbZ+531UvetQIUlZd
Gnr0F7mae6DXOCpXQvh1Qc+jqT3KhJ7EWMTGbWi8mGKIr6C1WPtOIC5EqTN/Jxycf61Mpd93VZg9
kFnp4KUNeDQHSd5KIEM/c9WZZGGj0jljRcM/Yo0TWEEtbKmybRc/iRPpD4PwoFGmxhhd0+fQv7lJ
LAnKumDdVtSHzUTuq3brW3X5xMPRjhEV+R1k2OzWNAdMn36F4O+W8q0czfw+J2S2qke9prVo1B7M
ZBr9vejY/a/iZnYvZjU4W6evy6uY2fkhyhRRFdw7zb2mmv7ArVrLeZ3Z5QYhGzfkeCv30OH71DxV
szl+FSKft2E/9fduq6Z458vQyQOE/vy7rFFkrAnZbwV3pX2RVd7uPHarVAWLsF5NNvbIDmYqR8Y5
ie/YYaHzkAOnhyhr4rMizKARB9DnG519ES2TjtPvW0OjayRs6mTnaPRirhZL8lsdpiXfOwgDTWqx
E5GyPpemPm4mIhBIcyW7GirsowfStDpjiqxCjnwdVzD2THW0+xgKbDG10csw+/2un8uc3UEkk3Y9
gccrOGUm2n3FpgbDZF2dURsIlfb9cDPOs015oywgm8TzY4e/Yissbbj6+yr5vylD21qk6j+x1t2X
fI3/IqRbv/3IjxHa/sQEzfcpdXf8iW8xof4YoanO011GZ4rwSEC+t7X94a2jhZi5GgYH4rZDedwf
Qrr5idMPBZoe9ClaHcXfGqCBSP/TAM1wzyDPUI5Nz1moDT9b69j5R37FxYmCME8HFYeusSF/TRZX
NdFD39oDhZNk0x61ytZeTE6t5aqpQ50NdpqT3XWn5NKNivrCyHwNvTUdDdJGpX01x0N17HuGThab
1fCAo1gJ+kFTdRR8Zk92VGu7qk48OrlcWFJm75mHAffNXnenaEtELz/gHAmvEj0XxcoqYu16lG60
D7kwrjKnuoIrAyVTP6W90l7jFptFlw01VrJuSna1n2JZGaqCIs4yys8uNN511bXO2qrEe/+ocwNI
tjyZuJt3jYFvvzGK9JFdc2fv8YEXl9NkiIMuBKEyBqaY/PjUTutBuOZDi/fKhV+lVwfLILM3OqV+
xdfeWPNkAVrAl9SZqhQX7poW1QhZgZly2Lro/BsjVjlSTGGqu4r/91HDKn6EhEKLbEbT6feaK/1q
TEV0Umah0cCy3Dyrwt4TzIolwqNjj4EFcjMMCjWmFI0pT+Vkd3EqIrtgBt/mI2HFuC/LOxx01Z1v
F/tsjrUrNvsazCPmWF5fULi6+c1JuvBKRXpor8M4IblIa559zJ2enLbDgdumZxWNxKtjGFAxwl/a
5ABqCz29GMbeeTIL71bibNrFdjq/hrHvPGoGTpJIsDhfZ4XqdvrQFke3qYhtF3O8tXXRBg0D56Fr
M/noKowENejkL8ak9f6qaIbykQ7z+DnOmnJnNZIZy67C6KEoNO/KnE3tYNoOFkZzKrRHthusKrvM
K7b49BjUhlRozxwhzHPsDJCECyoGM1dUt0loxAA9LKbthj32V75As3OCI3qDBpa9kpibadjyivuk
d4rPpl7jQNGy9l4lU/wFRgnbf0Al8VHGbFBjaroOLI+RPSqM4eFKAzHwKkTR8n2baBwsJfYFp/db
+osYiS8aZpanKdXHK7amnOLitBdnt9X6i9Gd3WIl2ZVCNtVSyeuHgRA5SD1QROV/5s4bPqCL5m8C
XFEN8x1cUoAhtr4pmzQ+4slImFTHiOJmad5lHY5MRjM3/iJ81QQE+eU5a2z/WwOpaRt6k/Vq5za/
XZmb1XXvdt2EGTVBd89ZomAdKh3/XvJ5wb7h9NZtrY3g21jq5eeYH6GRbLHRDlRcXblWrB84fTSE
R+cJFmhYCL1cF0U73nVTKQ7F5Bu71K05CITG5H3XVUnbYje7D1rG+njfmaE/0EyHxx0VmsUMTkHP
XTXRgHu3HZz+aaGuoHKlcpvZRvWYkTHl4EvY/EnTzGFdAn8HhkGXH9pYGb45gIVvYiEMOm37akNZ
MiLcaLWH1svc6740mgfaeKUZeAr+hZ143rrwvfRxdor8djQq6yHsKNYzFjh74lncwrsQZHupVQXz
dY8Iuym4Uo9zCe2AJDCodybH8lsPSA0AleMdxgUJz6c/vbSYoMnngM6FBIAZ1UYqBP4FvzLiSFNk
+Zvksc+ziPRuzYoB/BYRx/ihWfj0MOMg1SdRtK8ljWaUi6HGtVFPNgcCQbQcAI0QfbUeGutEztbf
9l6re4i3HBr95fjIjQVD83KkLJbDZc0n9lmlAugxVxTFaCkL1BgstBs/yXgYMuxSRn2JP9nYKFMC
ginbYZGG7QnKQDs/W7XUbv8zOPwWZ1w88WLpif/XrvxLKA1L/cb/uHsr2rfi67f65338H3/Bj0HC
/ETBrWBghPzr/zYS/BgkiENaRMW5j1skEXnkP+KQ/icTT7Olm2hjbO35wz8GCYdBwlqEM1blOp85
mLX/+399Gf9n+K38PZjYfPjvn7HElrXk236W4lzfIDeNUOy69GKQivx1kij0ng2Ho6bAn0AVsSqv
KkBufGWt0Wsmfweybboe+9q5zy2v54u3lmzX2/KVfWy+KWF7nIy6Ci9NhxUHqRHzyU1AVq86gNAn
ss9q7bXSphndNuvPXjfJEPXAZwjZhfRHPyAFsv3Trd4S20mfxYs+t/kJbUwdPeCS08qEOkLtF5Ue
9M8TlHo00wnyemJrBLV90PFP4NzpKGir/qF3DRpI5ymJrVWrOnzWbu8q0Dttz7+L2cNvW4NbKXFq
ZukDTFzJWix3jN1oD/5bwhGZpE5kbdJmcm5svEqP+ViyqIqQ5s04AoOTKfPZJh5Apyxa+6QZssL9
C1SvxiO6hc8n98TJ2IgZ/cjdPTIcSCKtATl94hyptzaIobwChwSLh1EkHeluQy5HVg9lvNZCwfba
LKyd0hPnmSRZRI8G/pmiVYHWUa2hu6X5SOhb0f6GmbRNMrkVlU7ALqnFNipMc28Og+PtcraMIT65
0gd6E/fROicUtlK63QZK0OAI7QD2c+vjQK/04bGBdp98zkajq28TYAyoXFbVb3GLeRvBFxH6TtTw
+0pCCWbTrPU4G/fSqLNdSyF4MHpk9LrSHA9z4VCPaIx4NUSixJPMeuLaUxiroyaxkidtqBtB5hn6
veel1YvF6fDSEZK5qycyFnhzjw2iokhzCzRIBLaWhnhYqamsadoKei9xLwejbPCzu1iPe+FScV71
F/rsO8+aUtpLGnFPYt/B0DiYrYQQmrugkVJmCR8iRgFCYDmDCezhFCAAYr02VOsFYZpZO+FUBveH
qnEpKs+Hx4r9m4aPypJXg+zHy0416rFqhWoW7Kq7H4yhfECVE/amNirvLtWBN4UeWmYHapHG9ipq
H53Q5aQKaHRrWAb2p5Hf97lsjOHCombQ4XZUkW2ZKb866tbSPDd7iz9udm4oThYPMoux+Y5hBW49
xrjXGXI4VJ4wIHIZ0UVVyupukKTyaviQw4qCRfngEg48OiF3snWredYzARsfvrhHt0rrI2tHnj1u
HUYp6LOF+TjWHLBd+oZxp1llenYgUm6tcOiobRD6U6y8/OjGIvqSjr71LU0b7QkYDDGwxm/2Ov2Q
d25Up69G54efZdpPty2o9YNG+/OIMdAsbeakRO4KUCHbvhyYuzyBYsD1q8mvUHvKdqfxJUVzMoUI
Af2o+kZmuX7Ipgic6LCkNJx0NFeEtxNe+dqddsAAR3wtUYoiZcm3airzeG0jy2x1o/F5WGtKH4fI
sb4ntl2wfaeO5dQWafJi57G6UYJy8VXVONaLZ5X5cX5HVSkqF1YKeDD1LJ3vvM6Ubwzrpu7tU1c7
2jOoRpUSfwGBt3KbFvWWD/IXyqFxBUfCmt6KbEQr8TDwRJtqNPD8DmnHIQSapvNakPu9BNtifsli
lRwNaQ/DymwMdWBUkNGa+TD7LI2m2QtSLl90fy6e9dmxT+OQGHcJTH4wvnQ8B8onpUoRAW77YDRb
NMoktgfUYFGGhGl7C2eDBTetTOL2gtRzDyHTInDYo1/iLKr60ls7fVk9aT4pYS23qi1zPdbLzpc3
c+GnO9Oik4er0NcuyiGVV9ZYYB7PYFsZqepe4jnPz0qr1clHUNxpUZRC6G+rr7rftvsZKBDFOvhW
HRVbN5TITXubvehiPgBAZgvtmwVtKVl5bZhdK68Kz6mVdIdwkMh9NqGKXJuba4KL444KgeqcxHlx
kaSW2scZpqOV1tjmIzUZw6Y2s2FfF5ZStFhn3aoeJvI5sCrxU/5n5vnHzMNI8aczD+7U//o/5cdB
5/2nfgw6DCZsB7H3vUMaDO8nxcT/pKPg6x72wx8z0O+KifmJLkPul4wfSw0YRMgfzkP9E7KGcBfF
xDYBTXq28XcGHZSXX8ccrmd4DOg2bFdJ/H/gPiRGOGfYiMygBSyUqREs3l569z+9KL9PVz9PUx8f
5Pe1JpqQydIVnMWHWSqMs7BNIJexU9qEyTO64g5l488f5EOrJ8tTA3HLQ0XyTHAEoBF+fZSJHLrW
CJ5KtQFyux121rE/tnS/0uF0Lu/Cv2wI+HVb69lAFR22vstzEphvlu30z2ITbcwQC9A0yWR8T1JS
g3V5jNsS00Jz8ruXP396tv5XD7cQLn6KjSZ2lsS+MdJGMEycbhkYsMAAWproOel982hburYvGQkC
9DlzY01zfkdqEnMMlojbeYCFoywWTzr1TI8dZ6jbRdm99kNX4C9pw8veD5PbVLjevkO0exqbTARV
xSSjWWCtS+qwEMSG9Ma36I6OFrdfxKZADYO/biYvugy7EsRNjGKhIGWG+nEEafc5aSL5jeyc2jYD
8aVVwzx922LJvbW1wnmmz6mfdlpbq2tgxB4xxyoH4AcQGS9ZW5hXxsjhEBdf2tKTLfP2uKhb+0yI
6LoQuW9sfafLt0BzGiL5ZXwAWuB9LjGvRuA9CrR0vY/v+nfp2zFKjYh2Q0LRXbTxfGjbXbPo5Ym7
FGqbnKUPfUjMaWU3gxYH3rvOPsD9ujeScN5a4HVeAKGVN0QTSmiSETzG1XKOLQLwvuj39Zz0B4Ic
zb0x9Cn6/iL1x05YXumL/F91LHyd950A6J3Z39MEpXFCNqgTYXK/oztNvg0KaNk6ZPV7cHLbuvTS
vHu1a2Ypk1qne2nASVoVym2N1ULY+JItC4zxfZfBnKo/4CKJOrBULDtYXfvY3JcNSDaa6bkcXdEF
sTukdwsW8ACIQ9ulYtmg9MsypSKfeB8tCxb6UObvCXHT3VRZ84H1QHRpeG13l/MUCQf03bMfNew2
wnlZ4GiylO6hfl/sGO9LHtwW1YuJQnJnY7MGyrXsg7r31ZDzviaKCh+MLNG//qar8/qrvWyUumW3
JKpEZ80UwZRbzUXdgIFOhbjHP62YdSzc/aCN8S5IrZuNVZONNelWx71SZZWfomoY75B4spsksszb
Sln1GqubiC77FjV0bQEXhXwEgXLAM1gxcynao290bEYTW59WIKwOXXq0m6I8LxiU69SNvzHg9N+6
PmQ7p2owniGHQwKXrgm329ZK8lMQscINCCYejlBv8UCXVBtUDV1OEbjygNR2+mhaXn3KWG9chKL1
bprGc4o1IY1+leG4PJCghNdeTOI7rU7R4xx2dUDmssUoZRTmESfzeMGLUFwCDMAWOpqEOT1E2H2p
RWPA2s2+jlQ4rXMl3FNOxVLQjbwixiC6G49r783KoQ4W42A9IeIDLuhmXd5OqkjOOjlhDpJ2Comi
sPVvduh3h1Jz1SkbsnWewA4G+aKO0soIK+GrY9enJ2y2lGFQPeWEWHYdd/oiwY1dhU5kXsf9JAgk
Av4XY1wT5DI1bTe2ybyNpqreuxnXXhV6+aMLpHQX6oPaRoMbfm1UkR80WxrfhgU7ykc8qg+Z6vyr
zDAm5G+rOkdCqO1A/EbhFjahU5CYW2fR/CAHPJXCU8OdxotJCAobZKKbMI5DOV3RBJcHyI1043Rh
tJ8iwqZsCyHWQufw7UPk8/7ivbIbxTvZJDugsOWuYQ6/Gwd0/FWEKLcaemBhIg3z08Q+Cr5mo6gG
nEbaOmE7BpYb+e3K1yIS4DG2up1lsBIG5jfvMnCNF2xgfPYDVlm9iWbC8lm7iHjamFyQT2gPJWrf
BR67/kLBqtm3TYHWkLQAMXSHWNyY8JEYeoa7YQHHCMXtxglDhEZW56Rn+Aay/RSnSfVsG1wtoAOb
vSaccmcq0Pss1epXGaqQFsJqiijhBB3v6EqvsBx5aq3RM/XUMeKvyfExercYkS5xP2gBgmN8n8Zi
2TMs3+VeE5OCs9SuGiGt9WY7PnXuNMFBwdmOGz+9arFiP/gWkH4+mN66TP153QOt31mdJtd+JeM7
QYHw9wjOz2dA8xavfOjdtOmEqM8y4iTC0ljSed6pVj4u5mZhzmvQGncFPi+YolQtWRCX94Ym82As
6vTMCsTbyWShME+hwBCocqyc5I3YYAPgTrlMq+Ga1gEir9wLWQmTP350YQlczdhXr3EEFHfCrMhe
cCgJonTWoBHbPWufLvRa4sO+nMdTFcX6dVWU6ReGeIamKZnkpawcHAe1U+D1QFnVroYxzq9S2Chr
bpHRtmltFkMhJLrPfKOS++qRBIjO2ViljL4Y081gyvRi1ITnItZEznYizxKvnbETF25aOt/BFuFE
VDIFnFU2yn3FGRu/qTSbMO62Gg2ElIeE24KWxY3APkn9tnCTQM092r9pHHny+pOn1/NF1kXhkk1O
y6to5t0opZFd//nA8k/ALe89NwPuzAbwbYoP05FriwJtimjFLFroEY+qJiRtb+zirzrNP85F9vsD
2WTWWC8aznv3+k9zkcxju2pnHsg9hjc0fdy69l8Wfv86wTJq07XAAtNysENgBLQ/7BV1TcRkW3Ij
qFNJBA6j+xV2bY7riYyCP3/dGO1/msh/eyh0T7AlBt+OnJh/HfOKRgfPTd4xKCdO60yXJGTO/38P
8eGtQawhF6x4iKqZq3yN/9EgH/RXteEfXzOLNBWOSpc1MSEpcPAfnkgiekVgVA8091b132lrCDxQ
Yn/+VD6++R8f5MOr1RRwnyAxmkFSSYaRmWRQIOu6v1GMSaskwjQyVb895t/yz/57+gNQ6TlP8kb+
a5n//BZ+fcu+Fb+YBP74uR+HXuuTwLCLug9Sx4Aj99Oh1/4EsXBx83LwXeoJeMd+P/QaxieLixk6
Iik43Tf4od+Ntt4niIT8PVyG9m9/8kHL/zNt//0K+kXaXyqw3uk/HH6XlcGvH8xuptmyA0a28RO1
bnEAlNa+MAkepVpQzCymBZ4qdXBwbLZR9aCSBSCr7vM2OkJE31i9vu2Tbu/EFjDzS3xPq2km6G/Q
XqSzorN+s2v/spv4+fTMS/bhK8HyDD7nHJ4t7MkmVolff2FQBg1OJMMLNCd23gxs9o+9HNKF4Lps
2e1KnEOMeccxMvxNZVK/4lmSbEMRtXJfOt58I9gQb6gS6VH58L+OFpkPO8l88OOCUx7mvmiDr5VK
HL12XrFrmpwJEzOKA4eCq5eEhmxzRYlq+d2GRf8K4294BsVGojCOhuTKHKP0KRMLe2EQKNcXkeqe
YR+FE/i6zqU6jv3f0TTMYq9kDOhNTVAK8mHUwL05smTdH0UJJl6wSfkJhz7+XcfrcXORgJxeCnaE
w4bFLxmpOdT6Gyp8mn2hO9F3p6aTdtXRr7QPW9GpFc/M21KPm/cbhceRHEXKGNN4+tbuhnYr0rEJ
RJ83PpWgqj/ampeuZbUkg7BnnDXdWXMihX5rkw4abovBuqIiq77KCJDsjc6Ydkaby72AhRytBiOZ
7+rI8aOVcjT9uSpG8phjXiiYECOgXk6d9PpiyhuXNoME0gEqzAkeK6ThslLH0pqZmDoZXtaAny6w
2sXXVCwn19w3wQVjPr+oa9thbVklkqigHO9y3aZzVo+9Byhu5olmEbk2qDP/upwtWO/W5jRsaNtA
sK1+w6PFIRnNQmje41DN9UUUzc7tmCxMNa6Sa2fhrKXFZF7WdQXjOYSdgfCbc7Czi5kAuPYZTtB8
IeBwHONO4NKE512Su9LaWy9L6nHdmhz760qLXgdOYHoAIJ5BJw55jzI972kVoXXhbbSzHCZRFs7w
erwWR4culdJXU9dlNa3JoPyJffm7TsnsPq6IVGiRNW2bKcVDznrnNjNNcc7m1rsAIheDCfTiVe+2
AuIOGCsFBeqpDiefjk4xBA5T9R3kmfqaFb+PHiAhKhNbBesEbZjChoWABy1lBDH9SJZEnswpLt9F
DZhLQ6ffdHpXUzlV648tzt23kF6mQ4ZNe1oRyAGxNCQtlvHObaS5mhWh3dUiwhJj5QTU7CqYFj1i
clvDSohtt7/yZ9VzJDAbDk5rVKWuuOiH2UtWmP69HrRECzEItAY7JUkGF8uiqPovoy1wjSSEAGra
TnL/xQ+L+cZNpPdATBgoyJRIDA9zLWdYW6kocfG1YfzmD1Z5niJNele0qtChBzM0i+FeVcOVI0L9
TifwZwa9SrSKousy+UaqBgenG9G1R/SXhGeAc1k9Fp5V3AB752MwlpxAHLwVJ2M2ja+uarRxbSWC
rU4jxobZt8pdhcpPyonKXnYueSGLNX3c80NuJaTrU6qf95k7OVe1wu9jaAAHkUGmQ5Mk2UszSfs2
m+ZuNzqa/2jGfBhXfu0PgZ5qxpkyAvhcaU2yKhxw3ttT0+HWLOtwN5lmwwkgB2YPW3lmU2d11FNO
KflMMx4TrsRSJ/hfcnbLAzOsi3ZTwaPi6eAB3WSaP5Hcd9xbNBJWnxECzQVQ6WTfWIZ1Hw/Kfskl
tBrftCo8rZaxiYo+vVaNmT2bER033MeyIC5EszFYPx5y12lfHLex7usph9EBQJ/dHaXQJ+J7xTVb
QeBLRc+hIK6ET+EVpAhypW33EiVsTVYQN4ZX9t1hzpZ4ln+BwjV+3W0jXBIcZyA3mcEtUxfvf/7T
xFyYHV2qCu9HG1D7HOCtOsituzMDtRP7n4aD/0b6fefE/uNm+8+P9UH75TMUxzaW2s2w1tfmughI
oqWbrb0BBMYlTo77c7f1WMEFfDxg+ESrvzof0GD5YaK2LZMzCCcDcj+mq38Yd6l06BtXEKEgK5Jt
bfp5KI9FuVyL16pn9bsmorX586e9FD39OsUvj+likjQ8XYcs+GEuLWfeUtb06UaseqpjI3LHK3oB
Vu4uOrKxd//uy2x/eLwPz3HOWLNDGaJIIlsFfRjIG3M93zfrKNBo2tisoiCFTBfYW2w34Sr6z0T8
O8ebDBk4bN7dfz0Rr//r/9Zfy88fBuLff+zHQGx/AmOBl8XHv/JhIHY+ER7jcQwd/ywsb6a73wdi
/xMRMSzVi2d2QUcTL/sxEbufLJyZcKBxu2DTW37qb4zEy2rkHxcp9EzXRCjhHzDGXZOUya8D5uCO
dKrkfHo8FkB7am4Os7uKvpPL+OmF+W+/DZZR9Z8eCenX0rECOwDNf30kEOgmuXIlAwGd8Db0c7zl
MiRlTIXfPN4XhVOCSqDNAYxZdtaxzJwj7pIGBCwHN72pzw96q4b7Ypy7Mwhk48zQF91hGCDFRfm7
ftcmjranroqISp55+S39Dxo13ABoUxkR+RfSId8a0ceSZMAXba3tz5FRu1+gBmjPVhHFX7pG2TtJ
FVpEMk4DAJH4hgX+i6TVLtVT87OVlCZEpAmt1daU/TTFYfVNn13Qt9HELSLWKUkhg9E0DLMVmYxu
9uttJmrrm+2F3bRVbsiW3MqkRvtArQ/MSLVZxvtmonEadh6BEagTnrrxMRFpayJuMlwRFcdEgWAE
rNZtLhJbRg/RZFqvfuRPp1T2JicR0FGcRdow2VKrDmmhL/R1Jy1rZ3bT8BVLAmz3sGw26IWUDuBL
PHjKb6413BAU8UwUKWJdRJHeRO40Rhc6x4l1rRwKgxJoDKRz87JCdvMGcJXcIiEucN/qzybmRrnK
RC9ufKGidZdqzjXrOMoJGpW+UOpiHYgXyS3mxeI+htKJFUVnNIE6EYaSpl18uFRV1s1R9/XhRoUC
VXzpO7nAvJMeMAr4HpSTljC03/T5U9EO3avbdONtglGWZD4LQvqRnKEKio4sdKYrCGUUNI2XRKrd
+24crfvQqo2tqzlVta7Rts9sYhjKE9fP7+ZZ+UflWPa1NgzpVeQ6YCGxgyNL5mk/M6tV1cnSoVVA
kWySq65rjXuAoxXJdCIWRO8TOmyHBE2S0ps5X/GZto6SWgcCeJofdNSc7aGphqcmtPmcxFKGW51/
DxKvJ/SQlF1bMQYb8RYBaLiMRL7XEslab27oO7e06WYcPfMVaPl4Qf17a251wQEmla71ahZFthVo
2GsgjybTTuyndzZyNE+ujKGsgNXEKj1xtGQozfzkzA4C5IC0cwe3gYX/q/Rp1TvEbpZUx7ChVHit
J6E0t7OnHIXs6ROnp0PG8A5FlHcM/QR2po1b9Nm8rSjZe5pbIFCUH9kx45cG0ijPmvApshPzpFEV
+4UCsFAHjAqsYG2NPq4U2K/ZZpa+3+LgEfi8TWnml1I58f0IeNHcGkqZ1+NUNY+mpC80sOpI1YBs
NLxHCq/Fk94kIMIa7CiKz7dWP5rTWD4Mc91/bhCl3rT/R96Z7UZurNn6iWiQDI6XnXMqJWVqHm4I
SeXiPEZwirfpy/Mc+8XOR9lue290N+Bz16cBY8PYZVWVUmTEP6z1rYBUEXYgRJ9aImFX09JEXPuY
O4tVkFYYrUNl9tUVS7permd/Ikc3NT2gM9/n3t+aGP1PozAv1xHyy/92GPRvkDvq6kP+VQDx59f9
fvd5IUEVNDQUnISC20jL//SMOPzSMiNksrFMGW3+tN/vPpO4DMv/VkAgEcXpsYCZfh8HGc4vtrA8
xJnYsj2bvf/fyr5gJPlPt5InXP4Az0FlZmIo5Z9/Wa1LcBBZGaX5xuyIzUlL7J/+FevDtCjvKqPx
C704JpuuBKfi+uV6INiKprwStziY6vfEDdMfuW1AKZlE/Rpb1pByVjW6XFtg2+7LMPcWf0LQPNeB
At43N3W+K7WvdpEhu4tm23GKBmtCtJwWwZa9KmTcmlTZFQK25q7sefvzbNbXpmamAVIx8m8GKutT
YCbsfbDiTjvMWAr0mPLLB9CeAG4CXydbdk3Orc2UJ93DjGPw7xsmsbduvu/cqe+RUFnmbd10zm0g
SuejiaOAQCHDzh6YKXiPdoYmrO49ZqhdLfAqtwImJsK8dOu5s/0pqwhGcTxM+T3w5GA/OMpmFe5p
H71bFe9xu2YmYKk63EfhkGx7jKst11nkftEPMiWI2kpgWNXedRf67V2QTbJjbUY0YyY99rQB4MA1
UsjiwyiETDeFW/dPeC/IzY2L/uS0ur1Yve9OG/bx3hLqMKunzO6GC8bv+ScZB/BcfbMyrhw0wCdY
dosr1CjTE4wkxhGlFW0ntfwhApkrIZZL1uS6AbPCmr4PX+Dej89WF1cfVS/g4fAgudt+nJ15m2OX
m8lId4u9Odnsltyo9vdGThoBTrgevrUpf/JdQTOqxs56dBJnnPmsjPTNy/voS5dDvVdKW1fVoLu9
rOvgvs6qvl+Z1BeLO76bi8X+15urjrXETxiXwZrfudqyeO7vsq72doEVpK8FthmirUbdkLVuJjvt
2eHn0MTpzUw2pg2pqwzuhJicx8iI7QPX5Xyk8lqI2XnZvEMqwv3CcQ/VRo/pa5+L6SrQFW0zrOfe
R0cx4GRGKDvfRvTbd15L+Ahb246tstftC/DLLLijvqlWIAAMg26uFXiWMCEcShj+W3rA7sH0uuQ5
Ym11DfBl3HSl19KfNER7htrLdo3RmtN1Bo38JxyN7A0H2pJFzUWw8vkpHd2884sVLCBsGLaLhlgR
KnFBQh1dsw7O9ojrghsXncnRmFTy0ZLkxVo2ruNzWjEdzM1KXiKvKZlLlv294tO9Adeb/JAzeWZ2
ENfvXTM3TwQAEALRRzyaRvGpCJnbeWEfbIA3Iy0c4pEyztYbqqlF0BdW13HmKXsFTsm4TaeasDcG
kNYmSbW7byZ7fmU0kz3UZZACDZ6nQ8lncyZPYn7MtTc/wgnH7mp6tOyrwMKAs29wplrgDxOrpEiG
S71Yubvz2BGVszIrh4EXRJsQFAwVXwlUdUDI4GOJvmvDJRdUlLXp4/WsO++DlA4HNJA5FyDLyuht
ht4Ed5lxbbZy0IfO+9BswRXjl3dDUGxxmZEmPUZbMrkSvElIRdGvZSVommo+q24mIs3FA3yYjWK6
INIfrqi53TPnXRE+CSxJapWPyjbXiWPjKDKx6FyNacwuM3AMDbRWA/OSnopPdgRGHlyOc01IMX+F
MUxHwG4U/Heyb51gZTRiNNiTN8NHEJK6tmo8NaD2NrL4nZp8sFa1HhjyfuOwGrR0kKikVG+OLjD1
lngNCXqJYpO4+rLqfh0S1miZpDJfgJ9o8jnPYBExYi2evFFnaEz6fnxUTRU8pGOQym0We+LOJx7F
grPL3r9oLPGkmNge6yjXP+rAK36VeQMC2YaLfR44meFkM5W1OMAG/RxNqKFdsyHH+Fj7QXFftKl4
mxlWOtCiu/7TIisjX2v4F4zHXOu90OSPJGJqqnXeFMMTlirvMDlTd2hLw99UhYWggwnJh8x7uUGq
IY5m7cvLUPXFDd2diTI1JW2PCAwXu7mfGiD+Qi1B6SPKe54bx9zzhBRvGIcR1cdOR+I5ahYm4BpD
3AsSB44ROP5ttVF10MRbaqgIdrIXjs8Q4+W27k20GSLnTIkIdokp4Rz92rmZ8ZkabM6d0Mp+9a0A
bhDsjpuQufqbWVkkqBq1RwhsUVf2qsAZ/dO1RqIyS0PER1M0/mtqu9HBCYjSmeLR3kxg4ca1O+F+
hzdItuvoVy2E96ImSscA6FtXXHorBOblkw+FCl2Azvqb0dP2S49MCSCUKM7kUM37oSojhAdRi7on
sYIDkobwVKZeuUvLzH7GDKD3iUnYwaqNtXFdGCgIGm9MvsKMxzaBqwUv1lT9ishTesYOhfJgN4Tn
4vv8oEJ1aF7iMn4ZooI9hp2n5kG7oyo3hBLG5qqlMWD216beYwzw2Fspv0MwV4zlvKl7l3dU50QL
p2m77wtlHu1sKq/afOhOnsvsdcUYmnQBKY0TnZwBzdByTvCfJQ/3HBSXNDYqdyPnDuBiP9M9rs2g
GV6giVQrFjzdoUMffEB0EJxjBhPL/xlZrFtEZu2CBCtAMlfDcewG+H95bmfYW+aZJ4YzbTjUgqC5
DQ90hY+St/JJWl11Kfhzd1W8jNDnlt6IcEhl30m3BHpqkauH7625rYo4/hXjnH4FdNLu50Fa6PAZ
v7HQQRHlIjzMkIvcT13ni1UtRH3oERmhnAgn9ExB0L6bQvmfdl+jcOHxh7sblIjMO4NWZB9QVzy6
ySDukHLkCIeG6JIPosXBG/U3ZhE3QP7c8GR3oUxXSWhPLzSyy5tqVfcIz6srEqdSUB0qPDpo157x
53L6aDd3yQjtrS8z6Y0bkG+D3E9i8j99HPkfQCz1FVAXPiuSBfWNNCfzYjiTcyS2lld5mkzvJwZc
+yaUkXnORqM7m8SHH4OIh3aVggGw1xwW5rYdZcDLyUd7dKA4v1cEDqF5h8D+6mUo4lZFUbFqIa/V
vHIowQn3KXmBUmqwrykbu6Pri2mbcVZcyJQM9+AV/Y2BlJMCg97rRhR6PISpBP4+lpgNYEEymY8z
qHKk9YQxWjq7Z/QOpiMc2UYFcbA0R+ly2ZJeQ9s4j+oamwDMNTcNryIBkrnvBDE4SZt9xrNObuVM
ClXXsYfEBjyxL2RoTdCXqi8zKz6EdlKUAqN/WJrEPwegkmuXgKs0rPRezeW8NSKTRpIVTryv+Atf
pdNsvZdV2dhQ01qCkaTvQw1Kat959ClXkD9qwJJoIPuPwMrzeZUhNFvAX9iMrLJn6aLHZhUlQ7rH
GYkOLU4SclEinwSNKXGKrSWdcBcWYNJXkh0aCa5+8mDnjtz5JIKSJWzyPBBMXLDFSH3OYeTcgpAM
F7RKF6rmEAQyDrZj35Q71I+EGIWqvEXf2AlIx6a7Z2fgE5Jd4pEIy1C6m0mJ8eANJsmShrb9iyZ7
+UCuGolPtR1pTBu+2RxZh5mYwKrsPJdheV8kQ3djmoM6u+TFckwCTr/NuU9+Yjq1SQYIR31W/mBP
3NZEmhBf3T7h3XFPQWwkIaLTSAB/8mB+tJ3v/RqRIso7X1bxV2eXxLz3YGOGdTyUyaGuPS4dv7fv
pzicHvGZd6+53YS7tBfGZwgbmx0Zb9EWmtLw7KVu9EhKSe2tpqJ0Xkzlx6fImeO32afFqViI3o42
1gWGNH32adZqPmcZtva1pNXb95av3yt7oHlykVqRPFLbVsr2yhSXrBFDnewlat+xX3syofA9tv00
P4V2a83Qy0X5hWyZAKvGAbLJVtW9jth2nhvmh3imTc/46kgGdTY6bTsqo76o45W2l+SXwCli9MRx
x/gmAlb02rcIqDaW77TZ3sFN1OOyYwKyJUolHLb4QyxStNq2VTdAPusve+jb39b6f2sm8P+rimTR
xNND/9cz839TxT/+nbDMr3/xTvz+hX+ZmuP2FDggkKMCRmQO/4dJ1P3F9pg6md6y2FmkIf8xOUBG
wuQCawTqEpwH/rLe+n1wYJm/2PT3qJFcilPcnX8LN/Ebj+2fptko29ikYeIgvhNtxr8oSfwUmg0W
vGzrTChZV37rSTJeiZ/quUwHdZDdRFHbG7At7YiZqmRa/FDQ3u/GUZJUu6BZkEXjMWcu1p05RxpY
WR3DWjNruevz8R1yWLpLXbarVkj2B3R6jdrebFnjhD9YiD4bwiVWJKw/8iL6JKDZ39BcJIcQmTu6
FAmfEJR8cgLzRPx1adlX0RgDLZ4Y+RPlwJK6nSJxllGHAZIC+5ooDHE9DQ3YCAJ+11lXebcN9i1K
z9A8kiTUXGVslDt0sE1Ff2pEaj9mdrwVFB5ApKHQF0EnstXEiY24Yzu4w3aQRJ4hC/e2i7qNCLS+
uiunLj8VY8W33Djv6QStzSN1Nm5zqMZjYyzULW/N2F+DRhAKX5dTbkYWuXQJmXWV99Nj4TvJPd9J
e6niWZzSeKY5EuVEBjpi7m4wj1Ssr5XlwW5v0TunGXVT7Yhn1bnvMg2jgxTQtWwEvmUdWO+J3SAl
L037VLK437huS2g5kXlzlt2F7eSdtUU3EqujSk0ca3Lakhw9X2UphGNSEcpNa3n91iW2l2jugTyN
Cn1OqIZpD47qM1jStj1JBwKxGK7ljMikNNxqG6HsXrdi4Mgxu4s1pskeJgFRccKf1I3FRUAuRNMm
92hok2OSIfCJwUpQjpV0HEn6g0JAr61q2vvJfIBdDdYi0z/9uXhn9Nls8Sd8BNpKAG/KauOzDcU9
QsEoY5JXISy1V4Yq3vpSFXtQBy8B4X97dBbJJTNzXMnj8INC+o3ZOOwvOAyVdDPmv9gShwCqZ9EN
R8M33sBi3Urwryu3KgDm8yO+LPv/1WDP7xR9QIYHq3cY5tjetvUNjabGivYpxeXZJvfpQVtV+sM3
3HGnWhVuUb+whRetk/0/HLz/Q4ex/+2ZeulVX37M/3Si/j6M5ev+OFLFLyj8GKf+AeNhqvrHker/
wtISMiYoS59B6F+GsdYvHG8+81Y0ex7DyCUt9o9ZrPkLcC7BIDbw2Ej+dkr/jVUkDP1/Hcaa7AcD
bpDA9TjXF1jQX31OPYPfaaS62EyoJLahpAFGB68HMqZazibnPm+CiSLIitQXhzJ21dpJ82wX2ibp
Zq4fvbeFQQ+hPBK5srZ+yafWuzUmJG64TcNbW2fjISmSgmgg1wmuLaPAJFVUcjrJIum/irIckCoM
gXPHBI8tkCJZL9sEeHdIb5+s4BQA13yRPtTlFG7Wa1a3WbECP2PdEnzp3M695b7JEhC7DnS5gyo5
wT+x4t0oS7KFygykycofO0hoo51QL2qnSrZj6eS8LBwWuzQncRz7D11+lXVwV/BIXYdzqm5BkLYP
hfSaK8Ah5nPPFvEW3bK3NqoiuPLweu6gm6lznLaxvwpDevuN1w9MN8CqGdZOZfB8d0QBuFRguc4u
lR8XhBFVVr7uZQfuPSfDF9zLGHyRmARWb3Jmxm45hfEekMoylqT0ZvZdjDEjSzY4q6wzuPssXTq3
ptLFXdJ1HlQg5EtrRzNrp9c1DZCPY3+lB8PdRVnEdohOffZW8H/NC5G0aPJCZSMMcxLmyX5cjjvd
LikHph/nEBEdh1QufFs3kBKI8xj98TVn9PyDJWF51kEPlS734L1scuF1PzztWM/BDCS78UGXZkFN
ynlrx69yKnq98ZXjP0BABhdS9H3jrdw04khENMPgoA6rrFm1vuabFESlb+j5cA9MZpke0zh1HnF5
GTdOQYIoPgb71zmEA+hUhT6qsDrZYo4guSn1iQmh3gRlSPPNSEHsU5lw6uZR84MIswklmcHVoOaB
6bya22M/yeYQW/je0LQ5GblYUFrn3idqdyG3MtfsfhJfb7g0mW1xqImL2CjcH+uga3k7vCHAUWlm
uyEl+a1rh/ELw2f1NLR5DGENJaPyjOl+Rkd2nO2u/3V23P7VW9hpbAX6nVp4agt87dvTsicWaLzD
XAfAoKmTe1JpXVwQ82Su4zgV5+ob1jZ+g9tqTA/7rPeTN6cH8LRljGye+t9wb0a4uK/lFB/HNDCf
1AKFCxWALma3sbqHJiuZbxERBOR2+uETAP0Cr9z8Wdf13K28KpkGNh7SZdxYpySvWbW+U6Jl48HA
F3BfwHNF+TE9WYljbGb4Fh574MUT6JDbdqU6gUzfC+WpsiapGCCizVjlVuxcUk8xuPDQVu1k4ZEM
mElGBkzh8CKKxZYoF4OixI12X8Y9U9XBalJmanGf/mhwoZ3SanbYl7cOCH7Zzclt9u2DHMeRPqPR
ZEiOZA0OX0Zgy89Z2TygZeCPoIDUVWv5xg5FrfmSdzrApm2l9/5iwGyQnpIoxmxELfZMU2fVM1PK
8Dgv5s1C+tPZUqK5ap2aMTRVJcdFX6w7WCXP6ZDXM59Gbl1RsMrLyAN1Ew9OvMVzlz6aDjj+TBu2
BPA5sSgh3m04lMM8ruMiq3fKaRmUpEFUfgG0nwFST2bTbsK8IuNPltlzFqQ8dqUt1qGgbWTXQhBb
YPX2Z+Mk+ZVyLPuB6U+N2UcIhgqN85pEMZhsHUT1vbRdEJbNMLHwH3xQ6/z7WJy4j+BbdElJww7T
YJPyw9tmDCuOoNTSI3YrU1wPJsmoqyzS9sdkJuVBkzmIrCEWhzZ3gs/SDLPbLrObT5ON0VPsusU1
8dmCIjObd2NbB3cLIePcIK28r+zI2XCGZO81LEkAv3aeiDULIGdvNY48Z9pJDpkyUgrHAZ2HZ01Q
CsuZaVId7EQQddfNjL8wTkIZc7y1/m0MsPkAzHu+wPt1EcYOprxnIW3eV/jnrmwPvaRtVsOTipmL
qnqoH3s5y2A1dyyFAjn7JzIDEkIgs94gozkPms+htYNrXDuCCKwa0oXivmNTw3Qmm+3yHtJotuOF
Bl/gyeBiqtokSaCPK4IVtSBZyzd9zn0fMAEbHpNTTY2E26HX14+lHUD2LIah+vJT2wNgmahKrnqn
H04BcXlvfhIvk5DGaqZ1J0Q4XkVzq+m/E/ZhsD8j/zGrdPeCmrV882GXOGuElOxjTFoDugJHGWiH
raC4s2VH1oDRxlmwj1VH7oiyXf0U6hEd6Sxi9dW4QtyzI/RuWm9gTOoXSfLscZA/WYrp3YhHEZwW
zx8zFX7E+7qdxSXWib7B8Riu1SiHu8m1MgSXQxKskPpmEspB42ysuPHvleGIq/81m3ya0/+6IX/+
6Jt//J//bJHPl/25yOfU8wRKNdYRdONUZn/UjuCcCBb1ackXmsD3jv8/UAbUc8s/gtU/UEb7TxGb
Yf1i28vXoHCjgMT38bf6carNfy0dbZxGFr/d928buMuv/0XY6sWzcoZe+mvGecMbDwYC4gDFFKbW
ZUXOhoS7Q8Fq+dn3PTFvTA/0dTBV1qlN1fA6fq/cC9PKb+22C7bGsKzkDc9e3LwxkYltODTbnIgX
cn1HeW/V7vA88krTqvvNJkXAh1InJ+Yt4T+R4M43LP176pnhbDXEGhMOJHysUMzgNjF5VDvgavY1
+gjraGkn43/m9DRVNOVgtdHDNo63RmWOp6BrJjTH2YJrw7RC4ij7G0VZ10E53ON8AlfUK3GA6Rvh
5NZkYDY8+8TQApIbxnIN45v3g4ihcZNaAzrj3DNPOpZijeMlW09GusPTsJOLVq4wT3hc1GH0LNRS
BZTvjGCyu1SDtm1sIlyhDLZbMFD5uiprZ4eVlZrNVoiYOH23CZykTS09c+2Ubbym+hUry4PZXthj
egk8ri3p9TSunVft2bSznKktf9PM8ZIVQ1tadjbxPt4obuOYsCZSmeRGlnm/VS6iM0uNzg3+neRg
dH19GMklucS+YfwsUs8EMSfFm8lFzjTcjn96uPa2YIsqjqvR3hooVK6L2W7ZkqZdv45Kge8FiueJ
H2+4q8ggXZezwB9hFfZBW2bjrljXOb+6iLC20BERJ2RBnGIRYNq7jigd+Mjq9Ck2zfg1ZL28sbo6
vqkSaAG4asx2ejaLwIleZ6KH23OUWZP9wbZGHQfIQzehEuEm7Gz1yO6e7KRR9cfOMiR5sP20ye3h
+xfi5ykXrAfgvftrPmFWVeiZG2vDiLf8lQjq0OBRmXwCh33W31bR2kfZAXlYKsnXkGsIhcjg7yq/
Z3FQ5v4jrOiKFK/GJhUIj8BbpYb85LYRf/MIA04OG+maaOPyVy8s9UMxhdYFgA27iXbi0hmsTO6g
zljXET7tC9EtepvDGX6SOPHgn2HH3NUq/lmbBoYdwxvTnSj9ZgeTmManN/xyE1qluW/dSB2Z5fS3
4Ip8uEsRhPkM/OKZrenwg8RJ9g3sD9y9I9qs2kHechuw0al3t+xqn0Qqmx1ICO+mqjJ1D7id193C
dXg1JNq/s0mHvrfIV90kZhpuPcSN7NJJK2K4kib3vKK8rYyrIIXWZs7ik1K23YlF1GmFPd4Adt6C
amkct4Avx01Ms/Ng4qAjfcAjyyYnYQuFImv6PA8xfgzZmF9LaruPUSXRZz93REemPuiFJAkJNmDu
xp0Vm7bxPmlf7qZCufeiz9l7orV5SpzKR1+E9+PW4lq/znzwm6uoiOtojV8Ao1RaR8/tELm7POYn
iWghyibfgWLmTCc+6fk9IUjTW/twNBIYWBJLCk6PdKeJkiFUBno1Np2uqr6EmsTPcUSdTn8WEIud
lepWIjI9oOo0WMH2UbcO0NNcxa07wr5y8JPzzNm8tR5xlUvaicPoEhFFwbokNBaxC2iFdiyrdeNW
ZK21KFUa0PSyMzv06EsqQS2jh6DJ7FM9aCBmSqf7tjLbXWAE7r7WzXOSZsabFnazgiEar9Op/zlA
G9u3doP1onGXPtXclVburFFvN2u4ptHaNkYWCLXssO7BfKuoLbYeIpudu/i/6b9sPorEWLeMGjbC
rqO9TxTSrfAbfeDhZoVDBUhTMOpdXlFDdORorHXiNscqx/OWIurdzfyROKFYYNCHyL3Hco8MhHY+
eGZa7SNWvu9NngzspxLjvitytriBSj+KPigPSMtIES9CdweVgXaHOd5bKbzkYKmJSFzJWowTBD69
JTQwPFd8uUEY0ykC0ZxjQvOCjO32QpDfGYU9bMsqjdjwq+mAYtWnERLpMSt42Rr+8nUyNABARXFs
RRbs0sCr9wXZyVtckPrUKS9be7AIb2CHNFvaln5jDtrdmGIWH24PKj+kRduRqsS2SgLqJhle46MJ
lpgeDEXJnjUcK0ACPZ/HrAy/OsvONhihoFwNrYMZCtC+Q/27VGL1lusFQ2WS9Ndjq/wDO0Jvn5ck
js+AhxO3CnHo4F0qVP/c2LWxiUFGEB8YzVzfvffMGAqfu9fU3YGx5jyt0J+YvKa9dkgn15FxY8Ju
2De51Xb7uJmdZdlGLJ4FEgCXGiqXp0Hqnj4xG5t0XciuvPKcqHseMsgnk6EcPmaELgx8vVLtpJQo
mOGSpy/JaOfHuCnf+mC0HX6rpLoNEQnepnWHEDCSv7Z5mey6iscCvkGEfkaTlidgtCG9KJExu+Jq
zmV120sdXg0lwtiIGMRD3nfdqrJjlvleE70xWIhx9bXMKTIHg2OH7I34kOFGOEqDGFbphoj4aqch
UO5QZKBMKaU6Z72XYJ7k54gcyfvsnThYu8NIpzQCo185jd9tcKXJu1a64tTOfrm3J+WSxCIK5vlk
3nc+geEsA4JXpQZ1x7gVQZAec034KsQDc0V2RrJvObodUPyld216jXwTopW7uHUQl9RsPVA6eZ4A
nOZmY/jEIq85DoZn3CAvzndOW+h7JzJRCQkk1l4RubfVKIt7TDHdCbiyv8TCxlidwGNho3N0z2dU
BhQRtqH1U8vjsfWDpjp34RxduwEbZyhFtnUhmbk4sRY07vMo/pr5QHaT33t30RiZz0RxaJRvRfSF
jlI/GaGXv1CB2eeax+F+0plzKvyCVKrOtg6YO8enbIq8C/luPFNZ33QIPObqaMqOtNvJJfmNq3Ir
4FIgpMhcwucYRAoc7Sn6haCFsg32Bm233V5qBNFPdek4134EioFBRDZfMUTsYVxPDIlWRVu015NT
GbsiTMWXCnsy/oYu2c55TnI6UUNXE8C8tRQBwxwTfxYU5tQ/o+asNxA9axSJJKojUnCvW9JCXnHF
GS/gULsL+H9E3kZa9ncueh540xWX1pwAEPAm4yErhHgIvIxqzKkD5hqFNT8W30K03JsO1SJOM2Sb
P4R1rl/TRbrmfovYvvVsbGGiW4OJib0KiSVFYUC2xKO7iOIm9C87LZpyrRbZXJUYzVNkzdV7t4jq
0DMlP1wnlTeYLPt7EVbJY8BE8hH6wXzUizSv+VbpRYtgz1mke9gCghtKHGpaY4qu+0Xix1BhIYYu
wj/nWwPoqGzYTp1LQgp5SskGsGH2NpCF+hOuMRpCyoAc7bhKjlU4d2gMF7mhsQgPA9dJnqEpdQ/F
IktsvxWKkJ/EPof3bqyc3zSM33rGcckkjeYA4VScJdtwET6SgTDf+vxrv03dqm62PSa/nza07kM7
0MHuACnlB/BJzfuCTyFiLUkfUMjah64onEex6DDTrk1JJ1rUmW22FEhDiTcVMS/aHUPOzQ8yp/VX
PQbtTd4NnGeII6c3KndC2lPeW2+Fygk5UrfoRbVGf9l/a0g5Qvce6/v3GkvnQ+qkfIMLhJlE60WI
OmMR28SU4NfhBG8n49TsV9NUuCcpfFRZ6lvTOsIa2XZgs6AiAZP56Bb562AZ+Q3OpejGywbq87wo
bO4aqyOQIwZfGQpzPLRLMFBJAMU+kw2YSkszRNf8hdamstRL9i3EzRdNbmqjzsV8yehYWIn1YBFN
ZGwMyzSuvRhNb9Tn6bNlGeULC3y33SgzLj/8RaLLRIMwGNZh0S6HidMRwtjPN7Qz+W2adi4o+Cyh
eGDy/0WQEEJjZn/oHmavPSIBzZHB5EPEmjYiFG8jF72y0aNcDqBUUDvbifg0FiHcNlcBq7xF71xh
fxi2xcSWith5w3v0Fmk0MCE0fLm0nI9qkU6Pi4i6/dZTh+bMvHoRWZcFrpGSCQS+5iFlhlmMw+v/
mmEEQ4D/ehix/iAJVP3j3/8TWwFf98cmC1qEzSAC4b73mzrgz2mE9wsybB/HHe8/2/6/ZDrbv5Bb
YbH4xz2AFdRkQvDnIssHck0Vx9rJFyzp2Uz9jUWW9+2a+1MdwFIGVwMWBuQBlokKwVwWXX+ZRjBp
y32rNkGrgT/sX3L0eSFrYqyuBLu0Z12m0TkTY3PxGyR3RChaebmVIgVTXtGo3+hvPW7rgElbNUQo
odOtK1PvisHjP5knmZE3iyX9ra+84pBGpjvs1LfuV0cobXZ0gwWGNAYIN6E9fLrZohQusEixRi+G
iDfJ4FClPNYQi+J+oLUzstbrVlotXU3iO6VPb+6ANCQaOrlm0uk+SkOGgvYZazJjx/DCdMJ4IBCV
OfL3pbNcPzqdpuehEcmPOXYQqgvZPIa1Su6gbNivbl0E74QX+GejJ69sZTZWsFd5nq3beAquzNI2
LnMCdb5JZ/E1LxdmuVydhtVwi5IdRLAv4r1DF9vNSz2b2f3QRSZG3uUCJv06f648piVMEmAjByK9
uN93Nhbz5f5ernKzQpAhRjc6tZMyr52mQ4WqMkoAK07tF922yXlEBXjwgrhkFs/sovTrfq+HrL4H
manOEmH8K4+ldZ2FM5lVqU0xvNQepd1Zz+ABvDs7sYY1QRd8hEuxEtttcQJdaV18Tj3k17o1jqkc
252u6vm5a0zxbnzXP73OB6DPA57BTQWVgrHKUi4lS+FULyWUjpR46kGWPY7lpHGXUG+NS+U1Tqo5
Mv0s7xWovPt0EpKteg6cLs+sa+HVA+kKxoBZT8Z70TncZVmLYo7oqvCdrmP6maXwT0piMNdjOgyf
DgixFwKFvG3thPG9CmT7FcA3M9dRVHZ3cWF6l64hApqtKAWwWYYvvj3pl8o2wj0RgPMZw5767Ea/
fUrL0UcNqC0U5Il7p5CTrWU19ida8PimwLefgTwQ0bEXyOxX8MB8frAa6gYyxhhzhSiPKMuTcOW4
UfFg+1FyGedG34zSRPtNJ6/yXa2lv4nbKWbuRIN5ZRsWW5FaBxPCA8ukIYW7hxYPTCYQtyDy5qPn
j+DvFFnp6ZQbF+SHzl4B6XqfmyDctfMsNgGJMYdaAf9gKZk9Sb8ov/KChR2qyuxsVsrdpwjPtsox
ylt79PUHm6rqKPrSOPhUiavWCDWRY+3wwjhBvVYxtrQqJGFJSrhbDAH1fdjK4qSn0cZcVBdrCGeo
JLntaV/czrytyIzbUsWjmB1wNzaccWezztN7DjQbM6c1ncMUoWdjlcZqEC68Re3yfU26uzH80brk
HJRHYWjxa4/q9cpNbFaLdZQcZDkaO6vQzPbAGz5kTQADvJjbbTVIXON+Pn0gxLXPXl0Px9hsqpci
ZqbZgzPIVlUxIredTFgndhTHx6xq2Rm36A0fBjZM23bU7VFV5fRaq57ojCjvrsygDZHMVPY2+L/s
ncdy49qapV+lo+c4AbPhBj0hCBpRpER5aYJIpVIANrzbMO9UT1Ev1h+y6ty693ZVR5xhm3kqJZLg
Nv9a61tOTGdGncErLuGk52jy9w4v41oOxvKJpZnDTM2RetPx5kABad3M29IPhwgaeREni1G0n4Vf
xcuel0jcr1EQMQCQV4fcMvrbbplMFte8eCNiwJNKcpUqE6Nvf/idi3BGLzJxUtGT9UTQdqi7Z5YF
ziOppuTkaR2SlZYNtRb0jq491FhTOOL205OMVHZrxmb1k1W5uoih6T+x+hTvBBCGWxqS4EhH5bi8
ly2yMeflSVNc4avyTKdb+0y6F+RaVEQ47PuoXtUsmEAOnt+xuk/0YbjYXdE226rHjLmWZq70TuEZ
THEVkG7szBOcP54wbwekfAi9UgB/NnUlHtzFMYYwqrrxuMxL9DsOugMNwvhp5K5OMQrDbS5s9tAc
WfVpExd9V5hoN5p6tZE0K86IGWI7cwVkI27WvX6CnYIKhpu13wy6ldmBRpPNpawzPwISk6p7H0kJ
zYcF5YXM6PzkpXW5dvjq9kMUZSikKutG8BzJRP+ymTL2zbKG8Yk2p6ohAjTV0a5nvkLGQi3UHkPn
6R8GamaOdeFrj6Uez9QwExMEvFd0P+gFrc1D6hYdawyUjM1iud2Xp7BsoJ7ik6Vo3mVI4sekZLTE
sO+pW+c2hWzgyYAduYjDNBstNDO9SuEUDtYpZ9aCJOcRQD4anForfp/XXNxFeEiwA7kIKolJri4m
q+iey/cw7Jg6F59mX4kXt214K6eePPvGViskaoi4mAYJ0i7m/7yMGMiX1tJubcxTRShGbI+Byazw
keYAvvMNmuhnO5vrADOlpxKpGHdCvfi4jRO9da/22orKe4+IFs2cvpeljPadGzFXm+wILBJ/+Ddo
H+osHc4ZYFHS8anyKIUI4zZNt8KorLda041gwID90nZ0tnr4j0ds2ypJN1nj9Puya9MXL+vjMBrx
Teh0ET5BOYyPQ6nwBDLZpaJpsB41m7rYcfYWurEjPkyefxCHcz0wrtRrJlsYGmrUkEv22+Wgp810
k63WBxoeJk5Auj/vkZPFwV9NEq5c2o84tspbhNZjLb9msPSVl1XHoi/HR3N1WeBZAjILOcC9ZRJs
v1eLq+4ZpZYP5MUiyhHqVN/o1DQyPiDtxAAKyAyi4TKIiIDz2shtamJ4jGa15FuOf/qbOzRELrAH
vNDUPh+A35gvcnWPyN9GEsJ+jIBRbOL7PtGbT9ikIz+D+4T1x7njShnfUbdAP/vqULEIhHI/WX0r
8reFhUsHFhs+f/vMIHW5T6lM3U6SgAwfe6JOyhD2TjDnuslWd4z12ygzTcqhPHaanHD57aTJPOuC
R4OnSl8EJNUcBSK+IZROFq37bc9JVqeOzPDsmJk91xs41c3ZF13x0lUSSDOt4wOhfbnafny5WoB0
d4FFUg9xE4eg+ufvZvIjpH8KrqndxEVUJHh2+tVZtOCweMlWtxGBk+YRMGx3Afenbvte+PsSLiP0
09WrNKyupWosWAU4ryWhYPN2N85vi9MgPEQ09dv65KZIz61jh+S3pgP4MipKiwpSgo76McUy+9mv
LiqlXAxVKRPJt4wi5J27+q3c1XnVDWZTolY1GRaZJgEvZqw+LdpsuW1m1Tj8zFYf19QZ2lvm9vm1
LFtl7UxiCgfNzKKLW1bYwFZDWL1aw8rVJFavdrGxaLQPO5f5j/K3m6xJWkAp2WoyY0tEf2eqZomH
7rcPTVtcmF+GURaMTEWacHA05+XOLCVkLKGV3a1o9OWrW8NiSV9Zz8kaILPkXJMli4mVJb8TZva8
eI955IxP9u8EmljDaCUO32E7/s6oaSkQNSIvdnP21hAbeyyyU/4729aBbecIgzpJDiqCZrQxogw5
gGuEWlsiCMgVVZbcCQmZgd2mtI+yUt2V1yGvBhnlZGUlORBahaI8A5M+o4jfITwDVZ6ec2qfz2Yj
8qsHP/rUEkhRG3dN8Q2M1WasWybD0GVN+AGYJuwnxzX49//KDXfVpv/rG+51SMuvf/2X/8Sruf7c
nzdc+w9inw6z+b/5Mf+U2+0/vNXD7v5DZB7GjAlplTalFVbq4df82+VW/MGahjKONG9grsQe/1eu
tr/N/Khbc0zS6Ot//HdQGgj6jnDxkeguvMZ/Zq4OwugaRJZly2qX3RrrzruM5v1SoL2PZMNYRGgq
a0x5U07JTwU/jBUspdw7n6IA17HaxFGOIjy3r5MxftYRIS4nNvMjX1r/VcF93tsSczMGG6DH3A15
8hisDtoXeBU6TgwQ5DhWtnpc0uyCR5j7FAmrfqw4FU70s2opK3PlfrXFPIeFWr5YAaF+a1SV9WlC
u444C+xuRMPVU4ODfJOYrsLDWT1TQwZY2cEWzhmSQL5fni0fkdp2KGmNXeb0uaW/t07SEzKFuMJc
lUpg0XzXwuekOMXkwOrVG+blT1pjw1ijlzAArvbcZEPGHpbLwO4oeYnG5KOPo/JoLvVtKsC6xHKx
z+MAo6OJ7Z8YL1mtR9vcjV5RoGe5zaF02hJ8uwPMHLLWjhXYP1oguDedp96MuIsPhllY+3jCwiPp
UObalI2HXjezr1gY6PtR3r+wyo9vRZf9AkfN3qBZv6gEsAJV22+aKsp9OpMhLwQdOYNu3vsu/SK6
wWZo5yW1bKVZ33O0vwfRQbF6VVY3rlb393YOTUOCnr9bZ4TcD10IZwAp98zWbu2lOAPVN73E2Qhq
nVBq2i2lVbejGLIdiuFPlSW03Ni2sTWN7pZOoa2ngwD0cQCXjF83c4pKZ03OkVg/bIUy/2D/5k2u
epcMr7hyZ5LYi+TtkjtE/dOXiAhkADznpjL7t57ZO7JmhkPfJsZP6Y1zdGQ7huS7xBk19kOU5g8j
ogvIw8tQRN2TLIYnH+Ievir7c9Q0pExj4mhiQTJP4ytnulPOyXErCyCSyjOuyYLUSo70J9v1SWLd
26SN3LVJBoQBqNtmsGm1GSCybfWpOODTu1i4JndjLtc6JCo+vYnGb/wTQyROClxQPY24bZPkFyas
UBvIVrDXPnULroayP0Wmdp375lJO4iewO3iZ43SjescPNK5gG8uZTtxi8zcM3adZERobknrfm92K
sI5hpPv+QVPLm6iWj8haANovzRPNpPa5NuLbLCHqpjGbMXrCGh3fDIbhNHA7yEmJdsgLc6+3/g5I
/IOv0OTYXU52NYULbej5KB8mduag6AjD+Mp/i6X4GTMYDwkRirCL+oMc+KCgKOJOW0vHpoR2Mqd4
HcGGHymBusaivm980iUpmfZAWOK9nexTkprnlrw6jjATaGfnHXkigTGXnJHpLwxJTKL7IXfucF4+
+Fr9mrre05za7xSRUgQCmolbkETU1dtDV3niksBo2M/+IENZjt+UYimeHdijbZPZR/Ld5blvYm1r
5xatqUh5WzdOu6ueyAGnDe3g+dLdRhNHeU6INFxXMVf9vqE/TNQdt9v57q/vhv93RsbYlHQwa//b
sp3DkOb/AFn7jx/6c8OkndgwHCYeAEHNNYrw9yNhB7AZj7VYewIZGf8tL7YmIgTkIyB9PjlM9tW/
bZsG2Qbga2Qb2DlJmoEW/AsTYUp6/sGfxrYJxxfTuGXSJ7hOn/9pIqyRU0xzzSI4nS4LtpM2Pxjc
OU4JYYbAiJ3vtjcfE/yQgUrM9zEV7z3z2ktTpu29HKvkjaGRfBszTZypOCMcMXnjqbGXeN/ifjjM
CHB64DpgU8n9dLdWV357nantocn3AdaP4qWWOENdL9XvXOwWYcMt/pqnZHQ3U+ZV4VDo8SVaDPFS
LUP52XujvSsHQtEIwIlAjOc7oHlIa2zKOBkCDpDpRWsS9XPMu25LC87yzCreXJaFA7LF6ftCRg82
iiE1b9f7fbQdjNoSoSuZDgEv4+AgiAUHSxyPR97AYV8vifXUN6yR3DyBVSx5TXmXDyoqmjMMMhCS
3/UmFWFB4US2bgxZSDFAtzPL1DjOs5swIM2127aDf9/FkfFDp38oJGGr4TLVFJK6bMCQ1XkguM1i
wSBMJw2bIHYNmcOtqkNlsoOVXv+Y9csltaafQ9s/JLXMH5E0taOyreRXg9/x4ANJo19CDaeaozVv
oTbhmhNa4C2NOFtlVz5Gbn3XzdZy0Rx2KBUzmLC1Aq9CO8Q7dgP/RQc2tJ/AGFcbqm7HKnCZPH6O
bee+LQ3dyZ0DWmGXlnUFsR8mKEOewXjVme8hTBXOddBG/ezbZXMeBo4ljOW1btf5dnRLDQzvWh/1
Oy11rVC3ypZPuBJB5WN4MN20w/zNHMZurO7OFN28x2NMg2wN3TrHT3bQqswLe9OUByLIVEvkdnpn
pKm+g8JMBw5I6jfldADxk+GtADcRLhJAg6UvgXAncTfXYHtipQLcXfm1gziy5VTUTps04XcNkWmE
tP3qO6I11VZnKwryqm2P9B8yesqdaAs2tTmA5YXkFuE3PFdZlnOBpUqulrKTAaAQCqVy37qDYyRC
r23rqyIiffn9HrRG2d5OxDyOwhTjzVzxyqfGr7fko8nzzZ5D06wFZc5pb9OMaqBRTZ9Z1LyI2rO2
UvlHzrjdxjXo1ZyNVmKEp4CvLoS181X0ugiHsmrRVjcc0sQmsfh8CN90QRPpUN36uLoqTXN+UjhC
LmWUVA6ayWu5YGbvMXEeTcNcQvC9J+H1gve2HSj7w0o1zhJrhdE/gmj7oZr+pkuyC4Yv/VO3B4gi
00o8ph5T6l/MqrP92DDEjeGp+XXzVDX4PPXIXk6GgQvGLnTcTF66iznSSdFduee9LwlTz4a3MajS
4XGugLO6JFMDWFQlGB3lbEnhuYEgLciAOjp1s7LCiCA5XODitqTRguCD/W107sVvGUhTIrN+q3GN
NP4tD9q0pQHv6mS9DGZCTsHA93zDNWcI48Ecd8zOHnHBn+KsI7VgQJwQrETCoWWb4d2n8oCeQEJB
haLm0jDAXReL9Tb15XyqSxxoiG03sjdvkrR8rxJxko35wPH0zdMzPI1uW+O0EDn6dREFDOr2Xcki
YygjdIdi7yO755lj7YuGBaAx25eyB3o5VXIJoTSZfMYWIlMm/B9Upp0sf5rh4vR0SdUW0RyVnOOm
DN0+gTxk8opxKkylea7z+teo5zezkge4cnXQjuPtOHrHItaOjp1ml4gDPuld3qWiF84OOQguY2bF
gTIZzjLEKjYDLaWBocU5HHSoCmNOHCsvRzxuJs3smAwE82Onf1JujOfeyA5wwTi5wImQ+bSuZsa9
1lhcPxzyroulf9ICCOZ2oSWo8ieI1WDEqLTGR9AUdL3gUilOkzl9CbhaRWV/5HEnAmNtiE+siYls
ZFUBqZD2gPFbbEr2tgOUchyx7UKfItvM0cigVQkG3jvDTp4SMiAYUREZZ8wQWypbaKUy8KAoPwo5
CFc4aj13Y5rcvSoP+yCZZDgM8ocpxIfeDVR5FSOMo5T+cLdLLhkEP3AlO9gad3nkLoTcJpy3blNt
k9zqA4y1NwPznkAVS8RQD1p9vLKelzx+dlkEyfC5OyAh98Rzz2Cp9I2zSoDj4P6QIOmYyObtAxLI
fdbFn3ge73kqj+0ssIoaD7o730rd/QXV86tlDFljvLIXDqqVbueBSaVPK42tFpln2y9eGBE+JVlt
o23VFwxKt0vlnxpOIlvXzp6brrlORX6xoomaWKPJt+AbT3T+3plj3Z4URU57qJOPvbMwOqM5x49u
oCHUfNc5/ZrOfYoMGOgdHzJdP4xpCBEZ7pwQlF36jWXmZpDw6jcDE3HTNi/08JL3xmoG6//R4565
4Yu+ir5ZvpVm4wTOFLmBnbQUMtWYDbuICJjhwXZisrjRR0CJNQCpva4nz54lceZq0ZGiee9+sPtz
7SOm2U4OvK7EfSOLIqRNBP4Yzx7wDZtIe+ThNO34EjYZF6ecUMrGmTC0x6N1LTHXhdbEE9SbHuy4
9mmK8J3NC0FOCG9uSP8afTR8PcxSeNum0x8GyKebyYMYXsjUDl1ntSby7Od714lLVneihkPU036j
rXFE/jxIQd+JX0OF83prl43p1dVhRMiM8QN+f3PbTVEB0q4usbolZPcmWCajblBtxa/qzLmluhee
UsYBiYO8ThUcVmtDVWdfr5vNHC33Fu12QSustTfCGXZkmABPJFCLfIlHMpE+wnHMkQjaz7hJoqHa
U18/HuISbBL7Zb0dU4nTeOlZfY3lEZeDGaau/W2CswtUmWb7zMRFW8Sph2tL6ofBBl1X2gP0leqD
D5TpSGS38JHqL2+Ghd8gH23M3k42UzR82oQgNziSKVVIVHJw65Gao7Uvq5k+9XGhyzmOmzsxjQpd
DYkNoCu7zmKbhBxcG4+P4GgEeykoiqXAx2agY/VFwzbNkoEQlXwRjGxCSOfxWZFWsMI5kpVPbTR+
3CGS+r6dGwlrznZ3EWVRm8zjoJaUFg1YbRqdGP/ku6bOnADierQzRTZua4EFlSxhGnjNvGzaqVo2
dTOwH8nSO2l61oQ4mTuivWK5kWBdn+J1RyySFtW06cejQ0vvfpiW74I7QGhDF9tGfR3vGxIWB+lX
xdnRI6wSov2BY8B46hJAY2U9paFI5tuqS5ugGzsa/TpGm4PQrmBj2L+8gdmDRAPgXrrlrBTdJImm
hWRn/Ru4M0OgVKvvDDJ2APQETiCuxGKUNN9MuQqkVmFydbqZc6XEl0z9Q+jqmKidGIfCqNIomJuo
v84YQT/iOmO+XXPQtWM2gqEaj1FSjtu+qD4z5rCPBQdBsmDjl0V1IH11MPRiBzylyq3yIOrIg6aI
oT8ipbMfh6psdmJRWZjOtiLvUfPNdi269RyXgbEb1XIPiae7LUdYx904P9ROdakjJ7/knRpvBcbZ
Zx/TTABg6VejtfcDOgk3Cbhhfu8eU/JzG1VDBksHEyVNl/WqEKFR1fj/Zs1sA8A+zAUyGZ9xOGTr
O5If2zq3ry0ZE445Cu6Asi5Too7Nkvxiq5chBnG0icz4nFin79g9wD41rgBNhZ914NnAUqFmALXd
j9pqfuDpTwLqecvHpHb6cNbcMqwjLGzaBJIHgnL9uIw1M8HOjBj45WZoFoqOtLnx3qk6pzHBZlKh
Ax9DBTZ0oD8LpnPu/EFNLOgMZIPJoV/QchCzsbKuEprx0/gmW0/kFIkXN8QbQDkq3zuSdXsAq3D1
48LHXlcOb8zfMRO72JNxHnFwTeaIyu7qRDyhCbARD/e5MbZhB0EwlALYf1Hr8ttWVJm7DqBm+v6G
pwYF9SCpOtpjv4/vzT6zd9qKJjPweHPK0d5GUaPaUJtHgjQrXrSmSgJ3oe1A00ySxpZw+ke/y92g
dCbE+slpyRfF2OZHY/J+1b3NMqnKnsPaksM2yvKTZ+rkeCpDfma+pXatUywHqc0K8qjLMK2aH/RJ
dmHt6O5F1Prey7J4ayeEGGTLiVo56TVLktfcU/m75Pj6krf+vzUZ/CWGzv+ZKIe1J+G/lgf2w4+0
/Nd/+c+mHfzcn3E8moXpbmCowEkTR9vfc3V1SpYMInXC8oT7b+Ccf4/joQQIlxod/j0YCM9ewTl/
0nH+IGmmA2RASQeE9lf9b797Ff5OJIAVwZTDxgbnWT4mtd/U3b/zv6meMidbZzqW6r1iburOlZ2E
JiaiU8bBiQE77trTRL/NY2yNPsdu308vqXTKD24c3oR9U9fWR5ypSDC2g3bV+jjeyd6yPpSdxfl2
TNql5wKikN1woixnWdScdoUmPbJwXTtfZApKdWtUrm6y4QrvBgVV3wpsVC9uz9izJyqMwdPDPTpY
CzdYxY3ldbS16AJaKnoG+5Z9ZIKTcQgZ1AQYXUGz5lyTVvluaP3sbXI897U0iGppmRW9+GsghSAc
xibZNhaU16XdWSqRJEhYXM+2lfuPqvH4iyPl5tsm8uSDR4nIsDE8icmdF1284oefiUEI/35uc/J3
3pr2Ivmy0xnLrjgaXBipqUmQ3OhvadX7MjCzIn30MPN+tryP4ewTqkt80RBdWIqTNq2z36InP2Qf
u0g0yQ2hKRKEI4hyuhVxfZRhWgjjl+U29b0N+uXCuuhwhMr0tg2Rz2lOwrqrq9AvjeVmGjLzIdIL
48PC2H/JnZzgkmGnL0SCaQ/KCSm9L5MfX02rXH7Z8USbgFXMlcGoWSnMfnYsaBTy9VgLHGwjMlCu
PR/6Ka2zvR7RHomRa2AVo/4cwVqPFKarps3TbVa68NUl0JgHOiWHD9LHXNdTXHCyG/pjPMbNba9x
TdgtEz5Gx4w4ycFazG8o/aowfMnka5qH/oAY7IaNRy9vq6b4mUigwx/Uu+GoLUhUbmI5P2Kpd3fI
2ZKIVcneXAwuBCLomIShhQQ1vsEzh4pFJ+8Wt+fwPXeyxUg5JvnrhJJywpHeUWxCbGen+PB2JRcR
jWNSJ/ajkY1Hw/CzXzgQnN2Umu6jihOFPAL/M9CdyLsOkIVDHzv+HiTm9A53EITfHOlLaJW92M0S
U9jGtjre3AkZn1A2C7tc3Ow+opTgIkgKEO9b/1HSD8NHt2iCWlOPfgNzsL+XuKWPdWyB6nuqeBJe
wm2y7Cu81eD92tOItxqUfcog0SRAc9A7HTOSpxgUtG2/HL3WT5BZal68NpSesREtmTwiEtEeZh6j
esiOza3TwZwjUped4mjg6I5JEhJpuZacuit0WbSR9tykbfpZWUp0gbQ1SKiQ9pyTAkr04qkp2U/d
Yr7mVpE/KGfKyfKqpNwkGNIC+FocGYEjx1snoaUU+FveBVoVO2nAtctYRcVaQzXQnJesbsbo4M9k
qia41kcf9hSZKNv8QNTOd3Khbng7Cz269ZfF5DupT8YzHRHRJtVqkFJ6bB+1nIJOLFvaq5634PcI
U6od0KfiigNUfaDRzq8tYuxtnUiXkxJ0gWrDw00rApOEDwy5cPlbBi1bzJd6v5Ugq74h3JfwSNrJ
ZHYguXOPSnsSmePj20QRQylNr8Jp6RHioeEsUiFafgJVyvdDbUWfBvOEcBF2vSdsbJ5d6TLNZdiV
BSRix/dJN8y1I1EYN7VndKecQ58WZIlnPsxz6p5JjyGLJcMi3yJdi6H7+e10SbxE++J7E4dkYo0j
awdmSLuzkxvcw/0Bysrw5tRD9u6qGWaJEBikzNlbl53OC7HsyC8xZTHp1MQYntFrWZZoaVtuXH2c
vqe0n9bUmXPuI2e5TjKnWDpqJ+ti9/50sKiQuh1d3X4HsVKe+EKar95CdcEMtPtXDzvkmEYeiUsv
Mo627yX7IddRk7zBMbbG4kTnyCXNXFhcdT2jVi+1yhOWnaqSd96QLnvorBiC4si5qSYHG65o7CdG
XUwgqhqh0Uh78zvSXPtNQjU0QjWlKdga2QG7afBWgjjUwBYWQvaCjUi3rLCaopfIMc4N+TkLp842
08xxn2fSM5sDrH0JX1xD+irHFdbjYRTFVQYmCxyYeKgq339KWhhbQh/Yw7Ai0gklTfja+jC94uuJ
wsjqiwfcPdFPlpfoBktc+8ZYpmfUUFov1tRVTZg4/fDTYh5DO2Ge93sr6pK3WqbYxEHuhJRo9dsc
018wDLG7XWqj+gABZhDp6sd7jY9vqxEmu2Boc14tbFV7FtboUMGiCSmEzynL0nIserHD8wUWiNOy
yRgmFvkT/W7z0+I3ycfC/xVOMzsHAXXOvHGrfnlFU/wwRipsGdBILF5qLuydByXumAlvxqziMJ4z
yzgkMuXeojqke90foas1XnXDmJWbUJPPT1J64oB5Or53yrm6W2KDG2DnyZ3Zc7d0Zt8Py75IvnO0
8r3iKs8duzL2TKn8lYTusPsZo3njGXNyT5OF2o2+Vh5iYmAUzsXLSfPs5tMZomjfunGyRY5fHpJq
KIMGX9/DxCFm5wyWf0OW1Dh3hRfvpV6hqJYNifeiZzIbJwC4bU1XN0vqDQ+IIhXDdq8OLeGXsDgq
pTfsIFJjUlKv+Vp/jdrm0mHuYcTkbxdSrPs4LjvSciyoGycVVExTSzLsCkebPvo0Ql2Zf8d6Dbcn
oGoXiMupuaQxAeM1BKx5rfwwjGHYktWR+0XXrW05KvegFflMRDKJ9/lsJGHCOPqlk2SMY8WsIKnx
AlFr7d9m0yR2hPhUoKlY27uMm6uNT8rrLLrOoaJgprSPL9he6FZ8M01Nw3CQsrtxHqcj6WBz7w44
IDFDkUutC5z75mKXASYxPyw0x71nAZPXKHbHbdMujOhzjYhxnvLq2c737cjoEmq1eQVwRGwNms3J
6Y3q1KM3ICxl+lYfjXHfND30IqgkWzfnRGYCQdyQNWz3oIwN6Kdds6NUXHpdCJYGe8hJZm51rHnV
56Krup21VgFgzRdHh3vmJY70OMzpqbwTasx4UpA+4myxDsxpXHQSG8tVbiT0Ug6L/gvDQLWVNidV
ZWA8noThH5ehSbZOVAAh1FwIOGTKljU8jh5jc50vV1ksYe/aNI1wvpo26l8KAqhIybjUUWzIv2/g
Ok00eS2TbQNA15z3rlyq1wlyUb7NRRnDpZ0WarUx6j/njqN9qVqD5BDTwIKZP66QwTR0vXGI6vSA
uZmhQE5H9K9hHir2oyIaMRv7df0cL/iFEMad9qFk3HHPiZTHMeVL+S2S2DsuVuw+dE2kPkdqj6h4
ibo9g5Zup3JJfsTwcrXzK3oyNl1nEb5AE3t2XQ0qg5Uaj77uL/ahdWBNh9L0SJMxVteZQOnq2uVI
NJsYa8F3Tna4CIgDNA8l/eY/qqS2hs1YkV3b9EonlZI6i29w/qJbdEP1Ybfx9W55mGazRzzACftR
4iF9HkYh521hc6fwhK0tm2HUm/f/r8D38+rp+ncxnWaU//pauk07OOh99d+CH3Xa/8j/13yWyc//
KcZbfyCb6wwL8VUbCOz/UPvCxQ8l3OMb7K29L38T48UfON4INHmEXBnKee5/iPEW9jaPWyn/wHbX
f2X8FTFeePySf/Kw+Y6FS4Dz2HpZtrlZ/308a4zdQltoztjCNOXAHkVHJVy1cxgGbW3YqwQJui+n
ZlWmB4agtzTO5IbUxhgteGCDFnpK0GzeLPczMYjN0M/vIvVPdpt9+P54Ur119QV5ZpLRhyzD5E0i
MGzd6FX6zMh12dzpLUEKguEv/dwjjvnQq3SyCi1DyUIsNswCnLOuNyoEOedkOmkdCpgFG7tjkxgB
sm/bSVq3siquSUSrIYz7E6IISBG/uLZjwj21zaicx7u8xeWfP+sEF48z9jQy/I0R5I2Ewq1Yksqi
6DZRZ92Srf8CirIEFWmHc7IiPwc13qNtNNt50adtVTcavvmFfaW9EYT7GfSDE+POde+wSuPY8trD
NDBEbVaHX2H3WHWS5Gr05csCugnYHiucVlT3fCy0jKXDoRD0ttegzxhLPzkAsImh+dXNqPshYR1n
k5Zc+nivi71bukylzf6lnHB3JVN7k63cCfQxfTuAV0fbx2vn+pJO59EXV7cnGCFJne1Mm79UB62y
KSxrDIDBPC49BqcOQoqZsItF8znJhus8TByFrAhVUXBQqfUns7bgpFUMDWLg7RPmfRMRYeacunEH
Hxw5oRSCA0S2IA6XgTC0F0q8Tn5NkaiXW69ZscjT0DY/FhMvU2Nwv8g5cgRF6r33scbANOV0ORvu
ELjKQSSOdY0Ln/xJGMDZplN7IVtYwkswwoHOWEq1yu8cbsEmmgq1T8U8hOBNZKDP5WNXZS9mUdcn
PI480mn8NuZFu3cZf2y72U8RO0pujxAcjz4n1ge7NJIgbeDZQNhDN6jVxVfGzyXGVQhzIDD6WGGf
h0UMK4xzDR+ftJ1r1tIapzO+dT1v3FSu5t7pXjIedRFNbC+4GbQlDW1s1Rvs1izM2Uvtp88MgYHo
gHy3VvNYCwVpC1In3jCiWYLCzoiRVctDCkIBJ6ebP9vsDjdA550tzIdTUps/V8yfAaVspydOHbYj
UmMVzds6QXGNEpoYiNHwgqL2wlHLCogOdNRGDx+WxhPBgMqERmPfYXNLgiSOPjU5vGKwQ69Q7c9F
ZD9pMiBtF+XnUXNf3bb4BoSpwhH4xB6oDmw3j0omY0pPVT0+60r70aK0FdyQNm6q+nBRVAEl+n70
jW2TVVgP82uBFy0oLC8PPFQouxo+WY92BbnmvHSjAMvL/VLLQ0+VdhJjYoHJqVSG7yy5WcgJzENy
2zDnqevycZb2SeaK5ziBo6zDVhtMax8Vw0fkm78MwpJTMz+5Hk+mqTHkpZ0PUEp5CwuEN3nsfoES
7Ig09HufGzi1d/MTjWuvfWdSdlNC4+tTLRSGfBCmRbKnKJDXWakqV31aCbK5TP3L1GfnDJRCLXu6
d/uS57WzSATF2Wdqek9j330LQSAwygEcu+mNranL7Fd3qVvdxIt3BgB6HZLcDxzBCSn2sHZ65Xzr
5ROo6cR4WxYX14DvUqFY8v3TqoesyU567320qfM/2TuT7NqNLMtOJScALZQGIJsPry5YF5/sYLGE
oa5hAKaVQ8iJ5QbdlS6Fe0QsRS9jZVfuEj/5+QCze/fZ552qhltt9Lt15DV3buO+TO7wUZvuLe0A
N5wEj6BLJApsHgHIRvGbXIVdee+AgWT6PO8xUVRHO14mj9yBp0Gny07wjFQwLx2FTHVzWVD3efKv
tSZmsUdyhrnCrmyKuy7sT5DVKbSiGR5D4nasC/TQAEJJwu8O7fNAC8wq1SpELxp/A1tt3dZMOgf0
F+4ipMod67WaeEhpTXYV14pQ+pzQGOL5J9ej2cmPSbf43OhXzQyxn3o5T+iWYrE4NAM+4SIYk+o2
Mfx4T5MMGeEqzjdVvVR+cI0ImMScXLOkpChl2mI4+e1QsEhPM/bB1nTjTrO2Nuf2rRaxvhYivA/N
7mCwaKU+QKgNi1u0TG7rBUy97jJEJccinwOX5r4um19Cz3/kIYiQn2VQGo9qhQoqBI82UsIhXbe1
ayCdKXSbnd25JydmCmDoyS4b0ne4SLW3qtC4ziGb6ODQ52spqVwvjfnRpGJ7ZfKbBPzEj61tINXi
Jk2vxoSobNqOAaLKNPCHjAEyvPKGvR/99ml+G7p6fGoTAzi1508iCtaWPcE9jRfPCtAv3Q5NGe+Q
ISneNxN7cqsIOpV9Z013jQOWfNXg2GdrToCF3U/CgDtpak9M0GqexOF8Zv5DcxXsilZy9m/5MDba
82gM29khT4RQc+s77N97AIDHiJ3Haz1RR+pb8pqfFstu+ti2AEsvasD/Arf4mvpIZXuF07CKHTAD
ojPrSgu3vEw2//+c+qdzKsfCf/+cGvTFZ1y8caH4+FcrFP7df5xRdUenMkM3hbUcN9EL/B6x4CQK
Dmp4CwL+5xUK4QtrkRb6whQGcmWshb+vUJYz6lJrqxvsV9H9+X8JGLWXtsV/fUa1mfU7wuMM/ccz
6sgUsIp45q8pqpgCy2na23kshodOjjiDTW96GkAluZPmNGPSckGOaC0Lh7dNxjn2OTYjneoYp3+b
x1B9AMC2e9G4WrLWQ325XC4fSmm3Dg6kOEIXa3T1dqgnb0d/E2UYAPOXiLfoXSKjcWOHJUdLuTQn
eaq+l+EsLwbG43YdVzYoR5PHODwtSLx2PQonOVgLeaWV5G8pB5wv3cigGa9YrZ9pk8KuXNsvMaK7
iy/oEmJ/JXdxpY2LP9un9IynaouXbhWaZnVXstHfAUp6kBvYCqzJ1eFObcYkvjTv86FTW8sxwjd8
Otp9h2YPA148bcbEZMYVTtOuSrAzhT6nBRpTyt0sImcj9KHhbJHix1qqDqouy48+cpWTXlXWlTFL
4xipRK5NciMf8ay6XVXp0U3MMpfEZds7v/rW6V3iBKW8HSfHDhTapUM5doI+WQ8/jlKU3zmz/mzE
vnmK2IdlQdzLCD9eLR9MsPRAJsN4oJ45FcRTSIuDBRj1ppWVuuAEGrZVPMTVLeo4mlPIap9nq8g4
i0bFxmgIsmrTxEGz1o38HXltcsFFlNOVNs7TZxRj5V0zzoIENbtsUwK/X7usbIAtQyO7duypwdzf
2GeuHNE1PzUoEiL46hxNGXZM13YRcMXc/7kgFDZ/dxb3E2KYbTfdzHVyJUI2+qOOGNnGowKt0BJo
oMygeagjvYGQkWQWIfjmbm03c9JQk9EbX9VsUhGUhTpECd+aDxwTpxfm383GS2pmpLYFdwS82bMR
nGyDy1CxXFnqMPEfRcnKnN3PYNwgl2rvhqJmr8Qccu5XxKWriAixPoIROEQ3SEPF9VqTYQ5oWYyW
z8t8HppV7dD7e8XeTo174op7g5RR4ErnYpUmgmJBeJQTrbTN6kXL9a5+rqTuHPWxtm6kAea3IbWf
X6PaGH5lnUFmRfaj2FFDa13lWsocK9Vrho2QLOKjsfrqtjKb6qzFzEiTHFNiMEauuGHXYtBFGU/a
a1cz0qNyiIFcrQZ1QuGj3KCsQ39LTjbfd7C6z0UZNvdNUiR73ndxh7hzjtClVUshaOyZAgqQpVLA
2D1kuNoLLXAqLrVq6qMrf47Trc+B83ooQrQ0XuSfu5okTStEFwXOMBq/wig2WMx22BqLofhMIxMN
FK1TOQH2pr9zJr1Yq1na/BmNuHwLI88/qNrAuTfYAwO70UdMqPQj6cTiIevG/CqhefA8AUy8mhIJ
yMrSmpJYiwuQLtvu1RaleJVe6CfrHrfO1WQWaUAraF8ygkPsMHSRCX4d6oiru+ZKxJO4mLlevBrK
I5NDS8BpDNmSKCGSRwpG2KqQNIsUrvnU3uEi6/VVL9Lkl0SouNVmLkZbuCpn7+Zp9KC4sQRD7w3n
qmBQFDBucu9m/v8Vf3F++q449v/CMV89iMjj4jOn8JWAkUSmbZguDBV43e0VuxjtarZRZHQts/8V
MB84JTfh4Ra6k5I31PAloqwwP4LbxFzDjPp6Sk1z29hI53sslHtrOU8hb0xvTKtDS4pdDB0nJ6pt
NZQFB8sievVqrQ/IsKFnGlFzQnvp7RWB0/xJuVZ3mxdefAzbvEUz03CiYlhmvEzM1+4k1Q6vSzy8
Ws29S8+RzNwXUtMRKRWfI2bTWz0SOi+/8zKD36hEuZKc7ZQ8TrhfNoCq/dkytJ6Ccc6IK1H3/Wef
2jZgE9wbuQESFzuhR/o1iyc0eG0VN6clsvq85OGtPTY+KDhIHogqxws3wim63Vya7mvVZ0Rs7TIH
jJcTCdIcjQXuOz8+uVbJnYUEc/wRaRolJJbZFO+9UsVDNPnTJc/89DUmmL9hcUxPPM/lT6DZ6a3A
Rk7FSWxa1xXB+G0na/9UiipZSm61XxV1mzX7R6PYik5nsFxX5vArVFPWrELfK89upXvXNj+Hx0TW
YmZawK8sX7J9zWlceUI9UNsrOy9plkJpy9ujy8InTwvlEd87DTolkhOrrxX7qq44kc7ud7x+p5pP
q3PNH6v+Gh0p3rSFdm27btOJ+tZCbf5LamytaVeNbzl/Mh6QgtAyH8+s22SCCUyfpfMhc8P51OWZ
dlNKHQjYcWJivU2zTD7op7+2JS3fTdqX11aD/qIveUsPZXkPzN8CfXIfJcNV2SMdao64gea39uPY
jHBTtnqKF2Kd9vDsQgUpL24519k9kWLnv9C/8t86xfQfi7bjD/n2+a+OpX8Qbbu/2cw5mXaClnJs
+WOOySDJi9kKp5oQtv7j4P472YP0ioQTGV+do6xNP/Y/yB7zN3f5Z/RhuXzaeX+6f2l0unz9Px9L
+UOBClGq6gpywD/kzx/IHgnIXHQRTRM2rPaaJuelf80cSHzQlL3PWapeZ5VJTkDwHsI5FOaXIk7m
txqyAG9arF8004C7E3526YcpvjRcAA8R3Xha0LZaus/o0e54zgquSkXMhp6ADk45Gnzz8HqejbVi
62hteifGP4nX1r5pflayyLJYz7LUYFVLsapgxWBp2RzoyzK35Oh+oHKDDa9GA98DW94aNjV3jwy8
GlpGOu1sp47/y7NgxInhaN7FS6d6H8o6eoa8AV3R7WpXt958rMp22uZJNLHnCtPnhqak7Vinxo1N
/Oko6OH7qrvUPLCxhXpcEFyzbPQbxAb6nkesOEdtziinX1bfYlmC+7o7vollMW5nsX50frbl2bI4
LyOXHbpjF/ODxeviWJtmfw5lRykNMaruue0qFMkhx9N+NKcTx3l51BMLY3Kstd3ehz+ZyDGnOCyH
cCyDOMYzw8Nc7dwqth4gzs1jGhbWXf5DBWSR1p7iBRUAiIYaaBeAoBskE6wfqoA2GROnUFTv9AU6
COsyfGfUlO3sOmrf6XMuUlJaC6nASTC+bTCGnZ0fkGFBGqysafbpgjlwDod4QJOof3kVmP66YBu7
jn7oCPRl8hWMSQZlt9AT+NEMDJ8a12prwStKX6pXsSAXjmKFy+sNDoO2yuzNKsr5vQzHcGXqoBtg
3iyTxgXoiH/YDq3L5wP5LvXgLeiHWiAQhyNKEPX+GK+1dIB05iDuX+qlmjlAMpaefJyR5wHf8idT
S9gSZ8FMqgU46X7Yk47ANwQyiRQOHMApVeSmd74bWc8zwdddkkfZE4twcdKqgnlSYS2US83T+91a
0Jehi81Vu5Qa73tt0neav1Ay1eCnJzTJaBwXiMbgMcBIKmQxXaKbvihl5t+oXzMuTQk+w1C3hjMu
Bx26NWHcqWgEWjeeW3yrECJ0Rbt0S63ZgvYwWAbz8RbiBxcJKoeFAsoNiy3GMHjFbkgY3xd11RLp
mPiiuPb6T4jX+mqY8+ym/2GMmIID4SdD1q+sJjJuuZyRXjDG8WK7udMC/QlAkFwUbBjofRkaQiD8
0jDjme2ZLWNmOWLL4yz9Qi3E7HgBopaQBu3h4LTbMUUK1PywU9OCUSVuD1D1w1YNo91/d4xo1umC
XimHPC+j2YXIMr2BhE34Q2pNVorXfcG3BCOtNzUUIwvuBe/KFtBroB7zsVrgL7FgYDyvuv0EgPfZ
0I12KBjqHmFbIMfoUIeijVrpAK/4/UnQWHbk2tqclk312svi4TVeYLTkb1zaD6PWajSpDHpvV7d9
qpvGwdUlCjB0OfVekQvUggRTA4dI4Vh3bETDK790yAAJfURq4lradBVXyKH5C3e0fdp13UfrUgq3
MgfB5KqMcjLRKKVuh1zPQ+7IRGiMaMQOShoQfRrDUYzxaLF9a+PPLOI2GXU7ArEBg/EVJv9OBX1t
1ESkGpO7BbOqL79wikPSclVxmmHoNwBcbG6xEpXP/Ny1J/xZlOQaRTS8GMSije2smy2FymrBp+vR
0R+zkbZnXH6u+K4ZucBLMZn/IhDJisltS+PZ7fCQbdEV6pLSZb8PA9dU/MlR8JhYzj3mrTBJxefU
lsNjVeA4XQsnlQcUpvxPegn8DYilFZ+aFRbxWihd3CoxmWHQE7s9tq0COZ8U/GNQsaG4hKD7H+Vc
kkJD+4Z4Ssf7rLBbldTaFxo3Ntwp2L6vh2RIOzIfNCU2fk17FEw1pRAy+mLWkVcrEvYVhbS2tLyd
I/KRY3VNt53pFlw26ZKgLtzt+d1lRtJccdFDnRbmY3qjMZV8Ddt4nCmiaJIDf/81M4zYIzCjq7j/
zvweaKk0eILyxqraz3a0vIe0tmfSJSqPXvvR19BoFfTNoG2Xr1FOJJBBb3NDjCPfcVUx6hXpWnmB
eICyrQtL6UAmRn0flouahoycKzedaUxiXXh91zHdFNVBLGnRlaO36uwIFLWcfx3zpUyKKDx4DF/F
uqVHk3JGp0RpWrW2MwQhs+4v3lbel5oWmF4vZTyeimmimHlm03uqLNhUfljZ2K8m3bMeZO/n901s
m1+kBCbzqE++ZL8kea+4kwcP32p68agVdINwzS/de5Nb7VJ5P036sa5Lh8opb0Ln5yatc65aEEpI
Fat/XeDM16Vh6KVyqmaDjKq6TNYCqcxVGfrBSBkByvABn9tzaPmhvjEwoSfHCIFEvUkLPdm3vKWv
RQQRFZhejyJ8ssmPLdFphved3sjqiIK/dKgFyvwm9tddVHkIyI3Ef7HJzDx0olmizV4pOuDmJLsF
VnD3Sar8R9/gz9PqIt6RbOFiSleYtXfj/AufR/Pk1zq7gs5m5CFSQ+f7AlDxMHPviqZLd5lf9G+G
4eF6M+M5qKpB2zOvNm8L1tWvRlKAPXSe1wQYSqwkYEdIia2teZ9cYcf/wmn9/03E3voPDTyBLD/+
9//6Z4Jh+bd+nw6L3yBWfgSyPxzC75Nhl8mwxTHOYYngAiRwzv77Edz7TbiOzRPUNSzoBl/n4Px3
uB4agggXSgCH8zdjY9f8K0dw3gJ/OoJ7tsXxWxjw/aaO4hs/wZ8nw43SHTaXtUntWUuptadpNIOX
tvNh5vx2QXVn7Pqi0nJu86Qo99YY1yc3jvwb7uQp69Z4ZPvellbxi6Q5fnQXMJuprOcHJslqDgJ5
Fz2WLOGIkeRxz4q71epg5i1I4iwlRyJANQGRkrh5DQtaNECc++jgoe1zCFg38tlO4/p98rVyZ2qD
/AaWJP2fOhwjmBGX4SlFzo+11U3DjU5PQ7VSiT0sOUkLM2Qat83GzesSAVql0WVIe9bM83Y0qSLI
oamzDVvcsSKnnk1XkprszyJFqrViD9t/OLnjf3WchjtaK8p2vUQW1/NoupsyTiwmmL2amUFlJYnR
VPFCKMG7DjziOntvlQN+PXruskurId/PXdGiuBn4U3adulOG6OXFZHoOBEnl6RsHSP9aocA+2eC8
N7qmOw+OrSwWlpafAE5q7FCpmTVv3dTWWfTr+Rm02DyY5JUpFZGIAlqT65PKt8pKc96cwBF17ffP
eQcdv2uhwXe2LynLkSjdubvEFUe0Mtm05tzjjbGIzNPgshOWx4OwEsPWHJx2F07dAFrvmGDanaqe
IILnLCiL1LsqjJZMVNM3UaBnBrT+NOR0dDUe5+8ZmwPRWBcXW23FR37Rkm/I1e5MFivb+KjmvjLD
9d/NWc93lVmE9xrHx3xFq47Pmy6LdiO/sWd7Cfa3fl4f06hu7jkx50dTb5O93qnmQdOsYd3YJHYb
T5AlIJq+y+bOBNbn/4dbFQQiFZgC+JWND9yUs+1Ml0IWOE1pfWuOV76XCwKXU+iQrCZh1FdMTL1H
OgnjB5lH9UH2bCtbOkbPGXaIQOe+diT963z5NJcQdHC7m5wP8LpiHbLxuLc+9GhlkEh00Ysh++IC
zGCxMIDz9SoKqslkt+wntNBlZFzW1wkZARk4peXvaSxWO6oiinc7Jk3ALt1RN0bYtl9p6FQ3looh
DmlTv4MqoINYmypwbtDMFRNp8ypnWXEqs4iPa+imPmrhRhynxmvvWn4RiaqomijLPAZkX2MyYOxX
HrtakUvnACXeuhqNfhshw6mgIBmcjtrRyagWGBi0FqtRt4yPQQ3ek0czY7gL41k7V9gcNlpcwwg0
Q0/nBLAxI0s7PVkZQ+g1+rdcXyUQkM8w0jldVcqrGRziMdqbMxvj2YJiwaCDhj6umlg9Y69gBaxK
kbHk6OeWQqxMwWRAezxnMXz1XpSeHkG2NpG/AeRLv0dDb99nhL8vDV7Bm75jnMgholkiaghLrzKN
BbCTCVRffFyqz9g3pl9hVhNwg/xkZlwhWWJ03SRcbmyn1wxQd1sx1sSkjw8irCukQoKPZaloemXT
FVMRw64nV0P6RgNDz6Gh9x8jxmdXozXpBy4wg7cdi1YdHUoF36POnC7m3HGG8lKuaOsao/dtHXnm
hcVOy41JN49uQRywYzV+mZj6L8HA9MMeBiMYKDL55UWac3DmWkBcURZ5Flbh4jNt5ju7nOaLlVHx
KltBx6vNUfVei3vjoMtq5Bdbbz6o3iCRp2pulyCP4bANe31ECZNH+7rzupNPvuWlaUiztmT1PqXt
lMzh8xALitI4EUfiFPIB2kbYPC+s7Nx9O2riMvTx9K15bns3y6Qd4G8KeS4xI3DP5vx2zzciA0N3
qrNKSTr46I+ufcIU26TQ1WdfgH6vvUZFz7Pw5tuy9fstp+rpkfPiLNGNFtWj71jDsclphp7oGz5J
w6cjTVT1U9dpDaVolHZY/PDGiWmqHGPvMQ/1Zu/YOYISm8dA7DAqr/3nyMjkbrbb4uw7qfOqN0sj
OG7kbW3mzldZx8XZs3qDvT84RRaZ8t6qVIypch6OjqlVIBP5eE2uPndWXNLNLxHO9jqDt7jGYOJw
om9E6bBp8YtjSJcvySwzujJ6rTy1fsuFstVRya3JBmRfeSMRxikt1N/9BtzXq324rUFCHWW1uhGZ
dHZF25sbK8+jpwh345kObUmpm8VfGHeGijY1oxVXTkbvleaW9g0IGtkBNcsUpi7lORxzg+J3IVFZ
oFMsA/0719wWhNxk0hs3sNyM/su462/NEVINO07dccOUllthW+MBscr0yTiMcWOtuWhQ3TT6yXfj
x+55sgoLFKgt7uiCK87WULpHq5yQ2Pga8RNlRafBmOrb0CDwu5Jx2vJFjcLmWM2hm78bybXEi8ZD
Ohf1AcpBHY2wdihL8PVH3tBYjfikGb+stNeDrGrEzqU/9aqj2Qdh36D26CTanWE3WMz5+BLvKSjw
wDzEU7aqBO/ZKbnh2Qh3kzidia+IjntRZo9kuq0n0aHbbpFwnIkS9jtZkJtf9ZoTXw1UjTJlm/tN
wgDnJMgZbRUbPcnsfqi23uwZjykvnoOjjE6sJFLC9UALSkObRspUvAqzQ6gRQtNAlFWgo1WlM0da
37kTcSuass7KA7vz0w00nBLr2cn88s7I2klfMZgjLw+uz/HfezSM1PSgaVT8agy6fCphHzcEJWiF
I27HWDJV82dEBmzdky6+LYzJ2OUGVgMvtZJnmeG1qP1EJ8Q4thvNY3+ccKC7NhNX3TRiTmAuqzIB
/aKcfguoGG3S1mk2PJydO1U40zYmlr/VPOYfEWh1WO+IDFY3aSWjk+cj4mZWpY5mt1gCx25fhNmc
rvggh2dXYM1rrRKve8erl3eZZNHv6gxfc17CbZ+NXwP6CYfT5izv01ZXTzYC+m+KBtz9bIQDqjaR
9e/S98PHJoNRzfin67mYsk2fh+CGeI6D1AC3UlPjryMxDr9qRyZrmRSoFv1i4u5siZB0nyi/6DrJ
Nykc0yGvp3wfhWYGG5hUWy3BY+NZjv/Za0RB8Vo3MJktO8oiWaqTCVxAE/jqpUm9bmsg6uZoZ9fX
orK6TylSCgAKynBW7Bv7o+ZbEfFCXbRPVqKcR4vVP+Shmcy7sku6HSUfzIUMpQ7NCJ3qZKqJt3T0
mcWxKHTj1HipewvG9j6W/OQGBnQXmSftrqy7Il0v/Kfhm/GpGdyYSBnuPNoF2lM9MLh2W6W/8TQ3
X1LPVjcYk3jwxQrBYMWDNXDbxjpLbUksIs+5YsVYQkCF/Zt0OA0HedUm+SmrZt0KskmvD17cNM82
GvlbTv/akZw4ITovWcBek88kxUl0h9OJUT4BgdLTJh33khskSQe6fi4WhpgPtzFwNVbO9BlmEn96
oo/L65il16rvO20/mWrvxCZzlSHKLoz4Y16v8J+/otjNrhueKR7XUWlinU14s6+YIzYnx0u5izRR
jo9Gkwvrp4flVzIYaJAT8qtP3iiT/YyV8tJprfHc1JTW9BxhAkl4YjNiI7tJJhKxTBo80Be8xgB5
XWEzK5lN9VjEpRbBivreNW+c+ezWPJ0ZRbFsnSvTvvE0m1IHNXIxC9zadF4dlg3HtlfWSwGd+EkF
k/6NDarnYaBXyX09G537twv0x/g/o6/y5m955/9R9PlNGRddixz1ny5qpmHavC6XtDOPTmChPyI8
zejPjMkxPeT6zLb/hd44jCHW6g+A07/4Ksbyn/lH2Hq5D/75y/wbtZyZFEXK4CvbaHvxOG/1DVER
uaLLTm3FFhTuFoVJ8J98zT8T9HxNj3suJD/fn6fzLf6bb81pFZzl6CFXW2NrCdoguxfrD4anG+0m
2f0nX+yffo58MfyfQNRMt4XhLRfiP+ycaGpHdp9XwBcbY2tuEIU+4o5fG3fWcdyJ9+xIL+lf/ga5
weOT4+t6ghT7Anr96WtOJc3LHUaK8YOb0b7dxTvtEX45yNcELdc/3+Ffkhn8d96L2gQs/n1m777/
aL7+eRyz/Eu/j2Ps3xy6e+gKZoaiL1rGf8B6zm9A8C6REN1mZPMzd/n7SMbQf1vCJwgPHCwJLvz/
/x3JeL9RPrz8C67L8dh2zb+0FQUX/NNH0HEwXi0LMQIWNqTez/71j78tNUv21iVGtuaGsexPppyH
sCV3GSUzG5e0LBAachy9rKu99CNaXk11XcyWf4ih3LF15C+NSTDTqHs7sGDW10k1V2t+CbGTgNJw
8ze+O4zbq1oZWUB3+4GCEOb7mplvoromyaKxo9SquX4Dd8ZONuYm5JXGsiFV1wTTLZotQwmYLfxt
S0/LMBcGSY/kmthHA7ONG4dF3QLu9BplbzYSWkObbtNkSNZWV6qdV/o3ajTTdS0t3t0dWfO5akmd
2QRbUXP5r+wEd6leYEGLzs0MhLQESc6Oq66SgXZ0QwO0A1Y69B40bkktZZAWY3bQqcw7+iR2V+Ae
qBLymfcOP3DmOWBgBgodkl8+4YZO594rukuSGE85jef7acrl2m0kDp+MEf3Mm+jTMSuX3YOpbap5
3EPuv+VM49eQkNeVW3BdNKNoM8iWoTfcbjCEol0zvf9VqfZ6EAnfe9pQ62dlgOxerLZVAqATSc+n
aLwiV9CUxiqT/C3l0FNXHcXt65op1Z07ROP9RK/hWnAFCVp6DlddZyPVmjoaxArmQqdlO7cjSNQH
Wdg89jg8VsznvVU8zem+V/wspY9NDqmhWOl+iWspGmRgs3RYD4Z+tWQndhgzxyCZ1YXVc4hwW3/k
7v2Wllm4oXbwm+obc2XNC+eRjpvQ5FdNQxq30mjlI2SjvsNh6YlspjeZZ9dKZQ+F5c17UxMeBzwt
2molk6EwLSaSRF32AWhzLw0GXlmZGhtSxpwTubTheqN3uhy8Gyud7F3fjf7iYp4Dqgjmc9Z53/bS
czi7WDwHXHa0/w5sZXsuURX1rQnuUdoylhrYBvEDEadhbbn2cEwqTogGpkK4OofINVU4e+bdxboP
PWDMobxyzA6/dR0/RbIUl6wWz9w324NWaQnBeg4u0Kcf9H88R13bbyRx64BE0rQJyYAA32UVSm23
PSGYK0+omy48PyRSAO+Rv5bjAPFAVcNIJ0wTLQcDZydKS15VgO37IrHwEGWRveZiaB+1CqwqmiJ/
6+hldphDNsBgNA4YWHVXD7zxHUb0TPk8mM3Wfu46X25yOMESkCzQkqmmYjWhOULqKRwDdbpkn4EE
fRK2TQYsK5bvyB49WmbrO29y79Ocj4JN3SyI7XTs/PloKq3YoDPk3qRYPVfsDxmY7cxOyu3gsZgG
aU3WIsvRj9rZneNLFoxd7a8xP73RZGBsKnf+4L0rGZaGD0Zpk0XQZboSbfzCr/WwLavui1AxydXe
pLDCILcLxMrIwuhX7Dwle6H0Wo26wjSRu2vTHqedMBZLbDqm99TYXFPsdeCCU60EksPVPNlP8cy2
mUtyFmgMRXaWXp1nPB1rm3BAKbsiiNsIOZXW2bcUD2jBnCf6xtYGc9dit9loodY+9HCMSGQKknuj
Se6iK50DddjxftYUxkleBtCQ0wXNwYwrzZy4x+c3AJUZJ+io+QISICjNVn1LzlwFqVAtgx4KW5q6
IWhFcPnglLJZsxHdWG7Mws4u+nuz8g5m6N6KMblQtF5+tBOL/FWbqpDQaveqIuMajOOJRFd31PWU
G6NmnVGhz9zmsZA3U34hKNCvKzb0gT2kt+Woyl0+ke6TERGxQTgRbgWq2+KEvXznptGm1oTa4r3A
rzCwubRiD7SRXFAAZHCLHgEfhQRM9NsOx4vXGQdFfgsHS9Kv2rG2UbmYJnryvo3xmTaY9lA5bKj+
xc3T1kTHU7azxzyy6GJngn9MHSvZY8WYtmXa1bvCJTIXDXp0FmR1D5M7VzuleySly7w6spEW2yWu
uWXcmuzYNvfAKpa1ywiIEL7XGO0uvsmeMp/D6Nn6njwKPl0u5bzbmhdnMrWTNGsOkW6jAr/BjZe5
zpvDzn0tmBqtRta8xxLN0SrNx4b4hT7tnNKLz1VjFoE/MamghyhbD2YcUpcDrqwMIidlNYRvvJIj
hI4F8/ZKp+AsEvWTPlFhGYSmzz3Z8kITWyPr61VkRPO5cttu58T5QR8gUuldvrQMJbcG6ZQND/HT
MDfc5Eni8NR2v2QYYvHlcIzWXJPffJaRpyMj5vpt3MR59cW4EmYexc6Tm+KNkWEz00w3zGtjtHPs
pjgKKhGKXdkCzXNl4dUz9s2WlLPFRxmcslpKk+BDbTJPc3ccPac/0XazlMGGzUbvpdqWU/KOD9Pa
DlO1q6bwceb3f607Lf08wubinj1rFsFvt6z57zn9qwOX5BuCS3PD8KuteeEJoIdAEahe4o0mVwf9
nkbUdvkmsWlY4kHKnEA335lJQ/bGVGUd1Ax41nFiTFSbq/Q6U9lz5XI1iwdipVXtXxJ/ULyCDAHa
XD+i9f3SrPqKjFgKOp7dGjPlPD0o2cqhAy+Y2QSvKlHc9Iyu161GwGxkkrEh79BvoI9528VeuOpE
NQVJZF7iwjhP1cQOO7UwtzVTum76zFpjp/ukZqIPiLs/xUuXniOBsxDXTKu4nGi4MobxSuNTs6oH
5u1mf2cLVa9ro/xOk6JFwNu9duX8kUmF9cGm1AY5AZWtTuPfDXGKNTelcGFoqFdn8B5Urik2nlkm
Bw1cZJ3mbrrrqu5RzuqKqAGrNG8g48MaZMePhz63jIMhPxVMxgV/eireRvR6Bk0xufnajiWTIP7M
U+fdyn6K937XvUM+vadNM9PSaJYBs410r8jFYZ6xD2XY1Rsvlt6x1CwmE3yzjxQMv7Doki8hwkFD
7yMUk0a0Y2f+kWmFvuZvLt8Jf6blvXdfQQfdnd1UMqDTje+nbf0DSmbOUpEIMU4pbDPzCMGh8YoY
8VJvowV91dr42k17cQPnC3BCHdmh+j/snVmWo1iWrqeSA7iqheh5LHpQbzJZ98Kylk4IRI9mVOOo
id2PiMrKcPPI8MzHu9Z98Yx0N3chOJyz97//RmsT6zwHiVdnkdsrDg9lUj7ddLkPtKKXMUqsyqe6
js+OgCEVQD6+FtKCZEtd7Se/61LJ0+b5UxIBFmD1vcXTIPU0sWqsuiC+zT7XGn+tWnwsqaId6N/N
M+CV/IhIOrsbq/gJtgiwFbHfd6pyvXyN6nn5qZQDexwJ09lLJGgE3yyFxZ4RYLnSyh5sfTGJCZCM
Ltg1Z2kII/owiAMGteKFn4WGZUKvmIspAx9lRd8NJe5MERRES02ZZeH8Ui+VDblRrmWJ6o1NuYic
oZBe5Ob2EN8G7mmUcmqP1PAlgKDVLxDNTCWexIsUOFIYmiCChbRSxYRZnaEGUY1pKArM/TnVHxZ1
+yhchDvm/IWVTlMGIUtPrCmbLZcXBSZaGssTB2cqALk4aZQLv6ML/781/R/bA/kvKbvWZ/Na/0lr
+g/Crib+B5NE2hZSXnWJtw5KwN/ZAvJ/IGTXidlQZE3/ncv7j9YUjwOVjnYpYz/DCPh/W1MNIgHj
WqBKGL0SP/VvsQUkmSCFP6BDtKak/9AwozDH9Y2khW/giV7WZXc+q5INnV1/mwNG1xz0pcE4o5K/
VGlBaCptVW8pUcUMaUIOZiEpWryqeZPvOnRbJ4VYaq+NlIwKQs15eZdSEa0FI2XokKJ4dtoLCiso
NvrZLAX9Ynhx31QnQoVGan2M77EEPpP2wlQ+dtM8aSIYjiol4QQv1+sG2DYYEuFACnfqTU9wUWCL
0I7MPab1slMBtPJm8XgeDemzz67Je4LB92oUFeERgLezDTWFbjhUze4C+5dxdE3DNCnq8gEXlmzd
jovRHWTxtlUvy8Ir+O7Uc5KcPEpJqZeWtKzLFfT56DQUmsz23uZ046hjjyNJCz5WgEsSRy5jiOCW
0lgbYwLiafMfcwPkWCfRdK9Lsvi4lBAAAyp1K2PMyd+Rxxo3YHaOwT8v5f5JQTCA9VKvLNwbkCVs
jHPz1U95hz+bTpxBLk4Uw5GoH+dqFvmFdDvvI2QAvqFd8d7uaTge2PYw5zLSxe56yWXJzFpJeExL
QfMFfJsx87uKizBWe3FVJAuE2ASxUWpiWK49Mr3DGQBGEd7monhZR+3IRo1LY+GctfOSGaI8vSlj
jTgLkli/llEa1na2aIYjGjGReVc07kkAxriiJYfME2kpUVEY+eVeW8Zy7zfMPpckaA76qR3wasG6
4lI91Emcu5ereLtn4nTeLa9t4ZfnrvKgnBThFTAXc/ThvPDUIavf5AtZuXJyrsIhzy8f2YRKCSeB
8eIrLXK8azamL9wxOjSlk7q1Tgl3WHQxlrNlrWKz0yhy7pPz2R0lNOdsvI027nvpMvOUI9JdMoGB
q6okwtkWsyV83zNG/3eLc43EZspGqJG4rKL9Axf+Eklu66zFDc5bHGni8SKmxZshtsANNd6RHCUT
nh8tw21TavN5tlURm6beSty09QV9myzN9gCtdsOQRk3yB7yysacVRMYTvTwgHhxaw8XwF30z/JU0
xIE6DhaX+Q0soePgXBjFiNz1Rvwc6h7yRV5Hh3rWU1nNxaAslJhdirfrDTwpFweD2lm8dLYaJxdE
15xC5L8vpg9ZNkAK+lZcE7ugnc6YFds3ZUL7ccVivW9yMlDzxCh9Upybk4Lj9F7vh3TP+CzyOni+
eLxW0zbi2F1pC0pUjEaU9aLIkbdT8ZQOBo8SpyjZ6HPGX4I9wwWnaEh9dfLEzkL9gGizOamMNN/j
qRDWYkeg7jhGRlBqOgnuk7iuuum+7DHFnGQEA4lNU5/vFlek4gRv5VZzrvpV34vPs9cgLtpK0VpC
rtAhwFmPPQXPDUcclWYzXaihHFHtdLcsiM41mVGrUHFijB8g5VGo61kaTPGip/nqKAgKnbxMh+Wq
PC2nmEBcOASCbLLOjWI9JGg0STqtiaiifVEZb0JpuC+jlPM4GrtL0BdU5TikpesayAOfTSj05dlP
VOREeDUl+WPP4HWL4r5v3ayQh6dLqQ/PZKPiUix1F2oaxL/Z83TrO5C2omlx8S0N5YXuXF8ZKsSO
mGxAxY6n1ghiw8BjTlvirHKZJ/AJobRRoElRgeEVFkgD43YnnlQsK2Htb4oCpIQKTr/awKTiqS4E
5VW8VcqzvGjhBPRFdnvHFhIyprZoJrTzFQUmzBGZt0TLKvmQKTUjYfjHt8ek6THmSAZoMRSemWjH
dZTcL6pq+VIxqSE14hotnlJl2R8p7Ovnjvv/iMHXWPMnHapfGdst5F7aqDDTPCfBVdCi/YDP5AEJ
qbBZFhWONf00ds8daXQeuUrwmHsZSpYh9BGTO04g2FIIkhlu62r3BDxWHvQxyra3RC9f6hLndQVS
rx7ooD+CCWWq+0JPVqyqRpWoiIvoadmCHf376P3/mzxJhbLjn+Py/1kTYlyl//1f59e4/NvH59+O
r5e//eflo/7v/2r+z9/2ddmnH5+X9/T1b9P8R+0r5lBYQyG//7limj/p72A+VEleFeD434IKETL9
b8WkL/E1xoyP2Ag6j98toP5eMSG9x7KYiokpEEj7/A/+3bxYxL1YIJqXX2RZkP8t4f1sW/VDvURd
oGj8O/o8/mHY9G3wI0n9FZBjTFy6gH6dVKbUWww8czgHm+g5+kivZv0GzX7hYNPKPmVdL5tqg+Nc
CRKIN8bqD7d8//MMcTmzOf843ZPhjorYi1ALGtKS/+LP/zD8kjSl6op4TN20dgkWt1OHKbBiQdon
OKq5WPru5pR2StqE1akHwfjF589BXD98vqLDEyPP3lCXKrXsd7ZpJqlpCbdl4RBzGIgOtAYvs5e5
1e8JobKweQqWX5e75WtzTF5In6t/MUOVvw//fvt8/HkknMQYmqvzn//h+6sMe69ZPWFP4/XQAV0M
gfs6JL18FC32aVKK+vMTYlPlES+bAUd0K88clTgYcpwMwgg9+a05qhdTdzNnge3QHuCw+pQfh8dp
Rt0sSA7VBkRb2Y/gGFb0Ig0HoNyj7vz1g5R+vpFLDTIx3hBLEjwhCv/4RZQWh8MhvsQuOyz+/oJ1
s28BPJjzwhqndYWPrGaeH5e4Fj7Haw2nJEvb9I7kUCkZtkx69UD2iNssVtFW3xaP4q+m1eLPd5oL
pJOR1CUjZVX71inAjqdXuHGBiKNtmZmu1BIya6qDBXY5B8muZXsiL96M7zGQmDC5V8zlPBF1I2fE
+elyaiP/r2/aNxcM6gj9x2uiu/rj0+/ltoUHVsYgYgdoRS6TJ7t7plo+f3ENuklohHOxfjX9nSfm
f3znvn/qtzVXYnGUqBWf2rt6iIWbJ3nzJP1Xg22RPeunz8H5XxQ1dh3avm+T+xp+7zi0VewKB47D
wsbfsv2I8IEgc+fYrzRrcqN3RcdZF78Zc7Il5xImzpxuXf4+gf6nVIXlfCO/f+U/XIo2r94/vGYX
KSYVvbwCaW4gRXkFMdRm35qc4LbhRab0qcHSufvrp/snK47ROkG3gqyw18rf9xZ0PFI6tXnGihsc
bBOuW7g/L4tdeVc81AHxFk6xQSNljU6dWgzFZLewhTecHlL3f0bw//wGzPv6jzeAa4HxzwECXZ9x
8Y83YGJWN8rlb9eie2S0aiudKK/ITiazGuymswxPNBMHOLyrLCjrTeWUv9hr9eWPc+R5uf94Ed/2
iFpiioSAMHMbp7dv9jXEd+5L4OMd7V4MsRODPdnvcca6Wxgm8bZnY3fWgyVmuwUZWovl1/JqV+/M
PObIsYFW1iSTFtlbMSfemJmBMdjzIgoZId/E9Zkwi2BUnHSrHqRdTdtHrSiFNPEUt+IX3BUL1Hhc
C6HoocbK1uk28to9cbDXbQ3s6pOnWWzFEC3rOWjX9f68173F0qyC29pYLV3FvOLnVzuYktEtWomF
923u92ux2jbEglP4pmb00GxhS4HWXhwYdEyC3kXYRbV/2/U212CgJDUzctMWqo9UC6dTMSwH0HMY
1Pv+PZnwI7Wam48cH23XYKpb1ZlQS61ExawW7mU92mBueNID8t7lK60NdMWdzr4OWw8BxWi/DK+C
dFgm4N6eVG9UpvQAHMY782R8rMr0aal9aCUooFdsL/sLacMxDlZrpd8O46a6kkLFZm7P09Mrjsag
fW7N4OW6yiRbvW5jPzpMCOdcmg9r9GmK4pca/adHwki5wUw5c5PG42YmH0lC2BkJ8Cukiji8ZG1o
NDw3m56qyCxph/qseMUor0cBDTlJ2CR0X5B198reWCtHqpUbBbGHVHFy4GoZOKH1Vn+P0YCGS4jx
JD+I/Rp1JXsL+T55vldKO7fOK/im+j1E+zpoiy8GO8nCKdaL12jNwi8C2H34BDaudsdovqQp8Inh
SnhbIy/BiWJ0CidzI1w8cpNL8wUGjT5g8rYhzNHOw8XjBQAfXZRVvzULM3XeOkB7f/Rbf7y7Hbqn
T4Dt2lTerqYQqmEbXMMbhKLrV/6aPMNsCDUmLrAGPm5mf995OOMR8nOScDFTbMDs0pM0s7CIErMW
hYVZowdCmnLIH2SY2eZ9efZuhjdY0n3jTPg0K864bk4L84YX0kO3gSeREsF0J35IJMOFpfV2/lhG
JFWzTKEeYv8biLz9DbGPdzD1b8YpYkncLH5V1LumeS/6N5i6MMWpQ1aSf4X6V2GCEsSH9rHDLER1
LtVjdI+UPVla4n5xuuHXY8u23vmYM8kOxig1d/dZ5JKb/TX2a8VL8h33GZdgBHjzqsUJwkSArT0q
hNLAkQzhdmWMvh7x0swHYpXmbfpGtzsHOfm9Huqf9a5LfCmysFKCtCQPj9cnMpHEY+deg3bLFurL
for8UYWlaEVP9d2wU6hqvW6FU5CNpHTHuK51RKzsYqd1ms4rPCYOm7awNSvf1H5FYp2LLtkCdyl0
f7SWB82LrUs4rQgW3SVXi9giCxvnyJICA8JUsUvfh0CtbeK6wL/F/G4pH6qwZ02JlBlkcnL9aEZD
SdyUe/1Jk+7H6lMqV4WwTWIYz6vp7OJL1PenWHxQsiPfp0UbwVdsnWqL9O99krZCF2ALWcm7NBRP
2opRYYfti47ln6k9Jq7iDOJ6DJWJW2/DEHyGpooAZE3QZzA61z0+PBOOosMK58s293OZWED7/CUe
l9vaKe5j5C3dXZrairU8Xe5SdAvOuHDENkx0m3sJKaIJYLlmC6cdbJXAYFMIJrcTObawdZ2Ouqsu
93G9K1JnfFhAdh7WQuECqp7PfvV6Vl3jStUX6IlzgbDyfF7601ph1TKZHWwHiO+8bfbVHI9tn7H/
QdHsS6d2mwN5ZndajRUQAXumaFaWfkcW96Fw86fc8Jk+Ly9eadefKJwc2dUO3Xvv8G84LXIsPEF9
XL2w31ccSV8tNzObLu9deD4kylW+mlvLYj9jF5ewAzeCBVoyt3SvRmCEZ7/ZNZWdvw9YjPcYEzhl
6yCNzwYb2m7vKJbop4u5xMYw1i2DcYsx91NxL8UuOIWKoe6m3p5fVTfRrBspjNtsy/ReOSgeNccT
Q41kNRxzOyX3juS6yLpljlCvmuvxilo59rVnSs7NVNk4CEjjptE30aOMUfSc7q3Y0KzMQQk0GbjS
aeVVIxyRT0NI8joXHALsOttesbLx4/ckrD6zg/4GJNPda0VYX5z2PN/Pyc0ecPC28HEIJoaB69pa
jF7MO1e9ioYrlr4yBOUOIs/IC8SwSLbxgBIzquRAXzUBGW3e5HGrfFj9tIgtBxTqaZhdtSl9wF2O
tsLb2TPWt48yC8tHYy89Q19XT/Vg/nWt9SeVNL4huiJgAwLxBP7yj/VNRoZGkUClcOGbqSzR4/It
5rIP0JurV6bN3RF3Jx8wWvs9qemfV1Y/V7l8Moi2Lip8OGS8Hz9Zz85pJF9+q6zSLVlTDiqV/dmE
y+Si9Hj8xff8sX+fS6gfPw0d5h8L2ayX8MKP6syNX7MPzddDqTc7j3iuNc+zEP6VMl79uXj+8TO/
3dtLL1bY/5D5zpk87rP1aJjxVrSUdbyi7CKHoCKS4sQiGMMGt4j35Tt2qzjFUueMe9SHj52yaVYG
aPzVlp5mEYwvrYcXHZrAkxpKdnMqOHDVw/Uh2xvui/BVB1FYhhlr3ExNNVS3V+rFyEMq5Yz+LmKL
f0jvytWELeZXQVNhz+Wj4haH6j6x0E/d3lAXZW6xGVnxbu/0r5wMX7jV8pvNodumDlkwfudKX3Qe
JzZUr13hOzpslrCJTLFx2XOgM+G22X/or9eX+CX+LGARYNUGS3fLjHS+6xTsrxiNqVQGQb8DtaOo
oshrUwayHja0/EdWgKjeqbo1rokq3RhbHH+Rv7mqPaJ5GklVdcTnyCV79jX/0EX71rh4ukRH40WG
joPZrQm2jfuSuE8GO68Dzn32u3RfP3RPyxcOQBj1zi3sX5ch2S/WeUfWSbNZbDWns3GM52gi/sOR
vGo+7Zj/2zf0/9YFApfZa3Ze7jgINDL8Xtnu7Ri/bR++jVPfYYc1YAV+VzwbYfQEc0/ECa/EGdS8
QRx8YpsUenMhhdrrcjRvIyW6qaFY023EJShl8Yjl/ufm8EhhvfiABtAzx6IIw/gbQoYFMxHRlfHc
ET4ykKDND4KYJ7k3ysdRsSsMWs3mCBPoX2A+z4v1x0box8X8HQCbJ1oxQmCaUoEzygEJ8BhcQ+nS
VjPkg8PjGdQdTYsTA6f826+vAvTGFBtODyJM/VtL3Eh9kYxJWbjGMV1uoCnSBHK8Oq10z4ze+he+
78+N3w+faHzrfNMKskE0f+LoNleL/FaXhCVYvMRf+ZmLYwPu59uRV9GJHn/dd34zVJr3K3LmYfBD
U0bXDy704351RsudaF1TzLAQm8UZ17BX8RC/EX8FaQGhiSlML0J/ojxC6cqRaWY76S5duFeJbgFW
HU4sZqH6yUOPk816gGyZzQBhCVRCogaHZuXErDRxNa7iT4wadzev/iKm270ep36/UPbL3MG/AFYl
dRqe7ucH3DXoOKpfnEB/0u2rAkCeihBCUQXhO5J5gfiD4mhIQVXK7cXLrLnrTw2r2yp+6nS9E28o
uF3cE53LBrpn/pyxwuBvOs2vYKWfN2wuRZUUxuwiUv7lt5teIBrEB1tK6VHjbbLXXJjLFtzjg+gK
dm5frMj6xbr+Gf1TWcwCdHNk1zLj+B8fs4wDhQy793eoI/VRV/uQS90k/BWo9CcLCi4CBld4dGLj
h0HPj5+E4WGhTtBR3csThoIXoIOrjV9QHW0IWM+YuuvF15yrea7htzk3sJ3CEpjW0ciWVo9hYQVx
21VTB74zpjQrmaAfdjt6dZOKrRi8tHOWy00pklW2Tm4O9a6S+VN3XxDIDkCiuO3NGXpclczURqxr
rOt3NYIS56HEZIdDg6WhlAY+efvreyz+yVNdygCsiipJCmYL3+6xINYZ9GJKnBnAJAzABWOIFRd2
4l1Jg7Gh2UXWuR7xSEwstM+h6FLonfIjRvm/2sjEuc74cRs18O8G3UKKDStE//YYsNmTcOCh0o1O
iQhNws63Oroz/7LP76rbqjuUL9wbYh0Ua/rI8W1V3JyMUg1Plc0i9+rTgsoAldxf36PfUOa/uqxv
u3syqVPRpFyW7MV+d4eU7bnzMpc+e2ZSWG141swGpJkmGaOmr+kpubu9EjtTH5BXXTz2B1vbaXDg
Fy5lsLDtCbQLjEC8q+1fvTN/smHwniCf4s2ReFvFb6OPgbzbM9KK2GV0PQKHEWnGJBHS9X0hINx/
4cFC1KJkocWYE7K+4hupd4dr9bx0YFfGVxtvRs7ma1T+Yi9bAov//Hy5IsByeCZcpPatzpy6aHGF
H5C4OPZ+GTEQXVJt+tjJAr1wCMmLahOivyEhubfafD0lG8hti2qXtQFCznTpD4QuQml+xd2oDmKI
62EdwCDDuV/t7oQbia5WTOhGYcuhRnYvfEmKigZKI5PXmwk8gmvNQ5Y6LZL70RZ0CwqDUQcdBYyt
Y/PhKG/yCWAqJd76tYhdhAHFciN/GYbXFy6aCO3sToLfJw5/kQyQ9qO9J3kRXiLFXexDHF5PYbU2
niDvxXf8lcHDqn3mTTOQjbyGQACn2vc9RgIEJwAleMY7sNqAcrHAHcE839dotFJzsSP0AKkelLml
D9UgyZ+BMmQymm1M+r0FFkhblOqDttJux7Lwr3jN6qsCvrtqK9CSMGLjYIJE/wmsVW5Lg68tq2Yd
eRkhUIKFrRZW1pHg387rWQpSeqB8Nb0gdW/i4aNQgrJ8LBKvgnJjLfEdIfewDw0z8oyFC2FfPoih
DPZ0BtSlDwKEM0yAN2QoSQAdswuFkJYNy6PXJrXEc1iL5pBYi+NYmnlq8W+qogdwhFn8uzqDTR+S
GR0qiunKUtzrdYsZFggiLgMtHL6LPWej3wEkpjfQT8GhzHiYHGm99CN+wASIdOPenmvU7hmnf1d9
YH+u2XvDp6tPftt9xbvQB5Qq1y1A0ZlgbAxJbeFsVY7hXDeEAmMzfMGOtnNaw7+OtviQO4u7aief
+gCyhX92xzdEos9Ygl63TBugcFZudzNlqwo092JfN5dd8qxaAgliz9GD5F9shm6VEcAqrnCsSlHy
YvHfPBkz5Gx2CaxHLJD9rAHc5Zkk73y79lg/EyVhYI2CRB/fFkdZBTFfbwzPR1LFj5lLJL3iSnai
nBao8V+6w9mGH+VBvNR8Yg9WyGaqI26r53vxVXDmvkX1BIugGrtwxhVRxas2iA79miQWDSPolWCR
/r4TXlnLfdB+3EQr98e15lLy1yrIH/B2yxdM9qywcmu4o427WEgBsnjEQPd5+kzeiR5vPquj5i7e
lMzFkzCNzZsruXRLmtsZlvAACZdgVFA58VTiFWEOL7K1nGPALaJSmlN8uJnMyyyAgAZQenBu94Vz
9coTymv8XNzJnex+6xWf9DkO3RCjyMRcR/c9jhmVqcHPSma0h7C95RaOv7IFqTq+XwFq/NmIeIGH
uiVseAb0z088RBvrdnPxNmyrXe43r/GKbq9z1A2j2jB9KJ0lymi3eJDYpJtV6XNyw1t6vz2L3u1J
uBMUc9xh5BtZ55NEJI1dLkFwmOHqjrZmmNu6yLOY99HsmZd1Fqhh9pSHelA84ViymQ4cUPQ1dmV3
zqU3Jw8bNfu2bnmjfX1bAXajwzZVLid+vR1vLndKsPWDGoJ5eoMXfVFg7xV3PA4bBOfpoSqZJyzt
3EETQQMU0Ott6ZaOdLnDfgz3mQ7EaaZeH7aPcr+qIdAAfZHLfvO4xd7FLc3Gh8c1mdODsIlfxOd+
FVwPhLIFJI7cNFMM0sDwJEd9v67BPZDLm1i2fZRg1F/73FNI4dvo9tIfj/W+e2Db8pfmfXMaafqS
BxrEmnnKaNKkWt2D+HANtcccgJUa++y2lbkEf1Yc6gpLCHDfsauveCM7HFsuaO54vAJxExPYmNew
X9NFNw+XPeS22732BJgJRGmiC9tcTulj9/hVg72jNqOCanwcG0x1aU1vI/CBP911zIk3JK90IaOI
z/gN5cRXane7hTdaE+jkuFny6W1j6evONWozP81z+mZNJ27jwXpfbNJ1t8lPqZPYdOlubiWuECh3
rWN4Hg5wdufi7ONdHGE1rRb38C9HIi16Nz4STRKtLu+Mlc4896D0421tM0/nKSNcSVQ8oczL5msA
31p1K4LON82Dgqs6Y4onPCMo/EeImc+Si3nzQ3RSDwydGHz61TVQvZlbgGLvIHNXfd6s5WN1XGwh
ifMzFnrfIb2Tw3JL/ekbmDtiwWSlN0dXTOk4+7lQuprZfbyFHi0fMHrq3WWg07mP4IXW+ez2T/HN
6jgls9PlyeBMaraIqNaydeWpLN/JXK5dvCrd7qE7xKtlbecPRqBuBGtigBHlIT7xOQkpKdI3Xg7+
l5OjXpjnxqnXfI1z0HwJEywszrvkXvD0Le5sBRvAcLa1gKBmexmcPYSP/M3sXrFvx2RjKBaEpT34
JXOtI+/hBPqGnxvrGv09u9mwrYNSNSdLeFm+N05kpbuYt032apY1dfZ63I0uiQ3b4Y6DlgVtJQcd
xXLz0Abtrg+y+zZQWZwNfRYEU+vmoSeC0nrScHRhmyXf19K8ff8oreTBSkMMYSyUT+txZTjd03io
3gbOqWxLNZj1yChCTcaryYavS+F6/cxDJBqHdAxvnXtjLvCWfXUocPLYP4snWXrUM4oTdiw8YlaN
Ch3D7ao1AfIXArLfh99OckcPpy/FPWOuYM4Ak8eLUbFfp8996oqynaqYktnjStgPvb/AJaPj9ZQH
Z97ZARL3UCHnc6N9K3GIcK7YgAbsoylTgXgPmE8IQgUbE4/Q2iTHc3hHMJoXFkkGMPyc98FOfMGt
dEs/Rm70gdW2K9eByLyD84WNlDnAg4oGAMhpjLZAYV5vlcEtPFOJdVa2BQjpEpsUqclut0wlEVbx
37U9h74QS9N5La5gpENW22Fd7i9b+V2BK8MFNHaPZ4Lg43JLG6++jxObrDUjlPy9nnKks5ItwH+x
vp7nn+DTWjKycl9+ai8OVp9NkDGiZi4nhnpt85LjV0KuQYcezxNqjIWQ4iDqgWFtJnfRrtoSpLnS
RbPkhS8oE3FOWBVB4utuczyfV90eWauR2/n5DmFOsc/30lcK1mDFXMcQZCEcvt38/3rUV1bsXn3w
bt71reSc+53kcOFN0FrTioCp8OqWe2pN0REftzlwOxwRp3qNuXxTBVbZXN1H3OAs4n3M2CrdpZPu
eZvdets77MFsoIRUrGqr3bavjE6v5itPxSW5SYjsLIQkcM9ododb09UMsYphnoVAI7fnP4ifZoAG
t4r9uC2elbDWLeklFk39XvLGh8y/RuYlJR/FnHWiT/k+87UQN0oPYdbSE9+VEDMJ5igd8cg2A9F5
DCNsc/VOlKz+ilOkL70iQ8I17Lo2TinlhMNk5aa4okEUOMqV7cLrt/MSuG3jD8RRPCieBLY7TBPx
cXqY1tkdWcEUy470xcJQwute4uVSRvxdsI16FyEM9+e9CsHMkk6MI3SOPKxyBHBT8+JQOb+m79wq
L7aLx6uT+RnjFvPqT6vqJVI8mMjGPn3MNqpjPGdhf6gvtnRCPCTPU5UZ/6YhFjkCnvUn1i6TEANL
IeZTI3KvFbdYdQV3THjm5+1c5GKhbZIKs+n22WF4U1dd5F2oxGICaC2Bgau2WjDHxG+J64+e9MEl
tpkhmhHkexbaSLFkNve4+XMTSvuGrpVPkdfiY2mL6wVT/7W47l/jfR27gLY3Cm/danozgs/Lvwwb
AGY2h1bvXffaV3IOFFw9T/XVLMEm3/SlZZAIyAj9wHzofLo+XrBJJZTk1B4QBdoJ4/KKnhSJvS0/
JqeFT7l69pIDbSuwSCB6/XPm9Zt4p1GD+rUFnO3UYBN7Ptim87HzlvFMglzJipzpbqQ97p1oWwhe
ySzrtqnsej150abUTCWIXlaVheI+t6ByvV6gfXPksk1om2Ev7Nr5BdG+JsNrAoCUZIuRBIa/98mO
7HZvWJ9DDIV2qZ2ZCy+bH/hrfj8EhU0apX32AMP8ihmRdMy8mGWQ8606KzTC6chDnFHRaaW+FXZ9
19xcerPN6LC+uceP7SFzEr+AHdj5lVWFyYHh7OdFt6tXwWY0d88cL0AvuLtZDOEh324qZH3P7Z34
Frunwe6emD/K78V+WkNLWxcSajMMAy3hPi83XdDeGZ83R3uV3ejRCHEceyLteFXa8kp6mI4dQqnm
Pte+oL8vFHv4WMSP2kODj7FuovOsTlDadpWnu713Ga10iX7fNHijLy8Vcj5efzbGzkqfy+fswLUt
vrTXLhBQt4dgTgpvVR32Xrm7uswJ9VW/5eUGe0/u8h5pLavJURJc1szp/nqvcVRvpatV001I4aKj
pH2+vfBbF++avgpuabzp0/zvsGleP0Rea6yh0bZwDLMFGCaD2YXX8krkO3gTFsj/6IkscNzOHY52
VxqhF07r3rDyPb9cg6UzEEu5i7AKwwbhWfSrcIZPHC4M/jbRbMceL7KQPdG5cSK02yoU+Bl5Pb4y
P6RyZl2Pn+zJ7YbNTfD55Gf9EcvKhOmu6l9OxVH1c9uwm7B45O1xVGA6cxFEb+0n7JWvite1dBkw
dDuWe3XAlGWjM2uGOIWrNRgntxvq46vIc42uwK1Y8pftdlo6ymIuQcY4ROVS6053dayGMfsvZoJ/
AtWBfTEShLELgKJ9R72lhQDug7LQzdaljzeydwsgtjpF2HzORkzcYB+vLPYMUqB42L3D72zrDUd4
8Sso52fUkEuBVAzDVsJIRPpG9tOTIlnisAbh93faI1JuzGWAGoKJcS9OaBvlF0MO/ecZ5fyRMmwz
aUa3hPmS/kC2i+pS0xArItJ3F++yRTtK2ZW+zlyl5lR6zBwoZqiGA4WOWn8owvGYOvkGc6RZG+mX
p8y+uKTKvopfxZ3snI+ltyxM8sWdyc7JlWWS1fqRH91XjLlGR3VLu9pEVhKcWVzWbYMp0EtrxR9E
8ni4JN6Jm695Giv43SOCzHJ/ZkUUK+05OZy3pd2efom//+oGfLvnnaoK6QKjNJeQb2+uUMcVgUR2
sY+tyvo1n/NP2I0/3vBvYB0G3qkgItF1s6AFA5FpNGQa8CU8AwKq/5U51p+vqn884m/wrxL1U9K2
fCLCiCqAJWVjZOANbr6JA2Ee/h1+BfzP0cnfEWdWFUpDSQT5Z339uKpuZyLgsvyW0LTjyASpKqHd
Uyniun3l/YqrCKv+Tz7NQB4mYbLDFOUb2N63YhNDZ0zc9GuiL3AIdFg2IYf0E2h7GOXMBWz6Xkhc
monBQHi+mDSeG4a2064EwLi/BuPrkmbzfuhNjcPybvya1vHH/6Xu6nbahqHwq1Q8QVuEAAkqlRaN
/ZStsFW7NY0FRvkpacyUvQ2Xu+Bi2iPkxfY5iRsnNQ7UplIvmyafzzm2vxM7PucEHv/Ir+Mf7Ovx
/dn95G7y67Ztxq9/8UMSZ6TrQU50nC7uNs+6HvYOo25wgL7BunqKwFxUvsReOJa+i8/IbTru/1yg
DOSn7hgHxmViqTfF075XsEgpxBhRGOdhwpJ0ymmcXlEk6UuWg5PixAYWmL6X/80oPuW//oaXATo0
b03UEj+oKnPnDX1PF7RourhH/B4QD+mRi4ri8+RESK38mf9GfjX18VKxddG1MsmLF4zGqAN5l+ba
pqWUlySgp3sj4ntkqcapIFIWLFQJcrpXE1P5zGLCvWIIGBbYEkoYpY85ielhi43jiiyoAcOFirqQ
tsAz4vsUAT4+Anh4vW7mvqg+ad/CZRQnooUiTij0aCwxhX2OEQ4EIpGXxBjZzPqXJGbZ30gCSWx4
WXlpc+wJufWIT+vBTZAc6b4cjJtR9i/2opta76I0/RECt+1FX+tVICNS3YHYZ5GfPT+SRm8iUucI
HtZ2WA4TP3sCs8wbHdpH+JcL+ID8jsI6CfTw2ol0NQ4sg9OfPCBpTfQS3YHsM8IXiMKTNhYDvQTH
e4at3UfkgdMke5JICjo8qS36B04eGdEl/Os5IJoLzvzaJCrM0ndAABCchdmzDr1nb5YpZ6GXPWvG
S98JAywYQjM70ulKeauuFXGQtl07oYnOOg481Ki9rHP+CrI5vc+MxfkswUdkSULtmO87mFHDuOm1
y0HvYD6dRSmZ66jAhUs1FmKxNPkQz0cPnGkG5L6DoZ7HOzffYwqz7zvgd1NKVEvDmFLaWEJ/IR2Q
JMq+aIyOhYE1vyjx5x0SemoIugSvCC2PODcqpFtVDGrLj3PxfH2Z1HrDaqH1DRM+TDQQ7XfIFYwG
ojRipafYWlvF8Oet1Vc6Kimb6VFpTUKIZkTPoYHSWspNTcOUEQEvqf0mpUCLJqWahLo7ioGTTYrV
uXxn1BLewKRWw43sjl5wFSa91rzM7mgGL2XSbM3B7YxmJV8VbKQhxHUvtQOq4Yj6cUuPDYPsT8zm
JN/IuearNXmh3TyCLwvhkJRuV7hcJXwkURdbohgdW+L8qsEXO03690KZhU9CWmiyJRHbBtUoQsLb
m+ptUxqdh4nYgUUBpfAVhl918pa0EikG860aExM093jed7a0aY6XJ3HL3KckHvwHAAD//w==</cx:binary>
              </cx:geoCache>
            </cx:geography>
          </cx:layoutPr>
          <cx:valueColors>
            <cx:minColor>
              <a:srgbClr val="FFFF00"/>
            </cx:minColor>
            <cx:midColor>
              <a:srgbClr val="FF9933"/>
            </cx:midColor>
            <cx:maxColor>
              <a:srgbClr val="FF0000"/>
            </cx:maxColor>
          </cx:valueColors>
          <cx:valueColorPositions count="3">
            <cx:minPosition>
              <cx:number val="10000"/>
            </cx:minPosition>
            <cx:midPosition>
              <cx:number val="15000"/>
            </cx:midPosition>
            <cx:maxPosition>
              <cx:number val="344782"/>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8">
          <cx:pt idx="0">10106924</cx:pt>
          <cx:pt idx="1">10106936</cx:pt>
          <cx:pt idx="2">10106929</cx:pt>
          <cx:pt idx="3">9421486</cx:pt>
          <cx:pt idx="4">10106933</cx:pt>
          <cx:pt idx="5">10106930</cx:pt>
          <cx:pt idx="6">10106928</cx:pt>
          <cx:pt idx="7">10106951</cx:pt>
        </cx:lvl>
      </cx:strDim>
      <cx:strDim type="cat">
        <cx:f>_xlchart.v6.13</cx:f>
        <cx:nf>_xlchart.v6.12</cx:nf>
      </cx:strDim>
      <cx:numDim type="colorVal">
        <cx:f>_xlchart.v6.15</cx:f>
        <cx:nf>_xlchart.v6.14</cx:nf>
      </cx:numDim>
    </cx:data>
  </cx:chartData>
  <cx:chart>
    <cx:title pos="t" align="ctr" overlay="0">
      <cx:tx>
        <cx:txData>
          <cx:v>Gas production</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a:t>
          </a:r>
        </a:p>
      </cx:txPr>
    </cx:title>
    <cx:plotArea>
      <cx:plotAreaRegion>
        <cx:series layoutId="regionMap" uniqueId="{A0D17D48-951A-4646-9730-F0485CA32A9C}">
          <cx:tx>
            <cx:txData>
              <cx:f>_xlchart.v6.14</cx:f>
              <cx:v> Gas production Mscf/d </cx:v>
            </cx:txData>
          </cx:tx>
          <cx:spPr>
            <a:solidFill>
              <a:schemeClr val="bg1">
                <a:lumMod val="95000"/>
              </a:schemeClr>
            </a:solidFill>
          </cx:spPr>
          <cx:dataLabels>
            <cx:txPr>
              <a:bodyPr spcFirstLastPara="1" vertOverflow="ellipsis" horzOverflow="overflow" wrap="square" lIns="0" tIns="0" rIns="0" bIns="0" anchor="ctr" anchorCtr="1"/>
              <a:lstStyle/>
              <a:p>
                <a:pPr algn="ctr" rtl="0">
                  <a:defRPr sz="500"/>
                </a:pPr>
                <a:endParaRPr lang="es-ES" sz="5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JnxUp9Kyji11wy4lTuoG7Q0Pp/9FzrkuyY1j2/lV/ALUAYkrIxyOMMnMrEtmXSVVSX8YJakKvJMg
CZDg2/hZ/GJnpbp7uqWe6fb4hyNOOObPVJeyMpkEgb3X+taemZu/QICd6qwNJ7g0do7nGBpuZJ5B
ruCEKbkOijQfmnXcz5Gm6qpRQ3FThjj+slK6AxRgGV5IH1TbA0CU82oqhmjJWkq3roae0YXf+i6A
Q6mCDjutENaue91aqKhcM7Sy+CXYDSrGswyVb6gobU5rtgsZDuhs6iwTu4qorr0ucOQq2Ey8NSfh
tCpP/Qod+IXzuuGnpbfreppq3n2aKrus+NRRA28ktKH3iTbcpTlQjdascw+jJY9fo87zt1ygpkg2
qITTdVyu7b0qXNCmE8SitBrBQKSB6jdoJqBFbEKnWQ0HTubOZVOu634XLdCQLm1M5lcWRLA4yEY8
yZpi+5AvsU+4GmCjxmzDjjHX5dd2ZXbYDXNsYygIHQUN0saxfwhnFNSkn1t7bSOqvsLk8GsK+Meu
mc1zADhEBIrsR5LXJx277W2uVzT9ggzEZEEOqutA2kCqXbE245AFBD5HMpe2LLJ+aYcjW3y0Ht0Z
GTmg8h6rc2tWoBmt1ESvbT9BLcMa4n6/eCaBPIg439YjC2wvH6XLZZAta9neDtAz9E5oIBVpqxs9
3tqSarrzMQWQIC0EnoNzoE6O4xzE/NrW7XAn13yjaRuF1zOO2QUdll3rxwo133iKrHYoaLYgArYj
cixDGG9LgLK+U+CRVjIYfJ3VNiRgoQCOLCzGThwKFAq70HW03TsZhCu8etPGu66agq/FQAg9DoBz
oHyEDnJSn5vq27rJIk9m0dNU8QoXanp174IeAAlIHeGA2NQFTbGCIUPWZQxbqSV5nKeDX9ZHoEGT
Rtvlqw9qWyN17/XSfKn4Nm2XiywK874F+BDuZxGgnSeTHoqkQtGWf2xEtLansJjKOXH4KysMs8Li
jF5zOqEMcl37SQbnEogFha5QhU8KAnU0Cf/ER07KlKilkFCqq1GksimKj6h1qUpMUBh9L7po+7YY
m29ZG+XAb+ag3J7rSsA59XmnWDLNo/0Smq2t07ItoBnOi2Tj7aAb9wb7s6qTvsBf3A3xNq1JGEr6
cYvaFuWXNDhMB6gZdQouK1hfCVwks9ega+SBxE4XKSmUkHjACteiDq8qfdVElX9jLWiHSzo2TO36
oXFx0vh1664l6bsxbZYBLFXHK9bsXTwXIinbKvro2ML8wTDJ/U5GPH8pIPLazxyQxnQ1BFU0Zrri
Bvu4HJc4nVHuQDAO2uCItrzsEoE1Q5PYyemhcyO58X3e1lmpg45nkx97m3jbgLPBZo6WGrhKc7EC
htpjNxRpSZwb0rqOKjjhHn0har2W8qMwqxmzsiDNdNVQHTNsiyO2T5gbcCnmRoaw++Hpd5mtGNx4
Xmxs3efOGPsED1O95DAaoauGTfQ1auPgKa/54LLYNwyNPhYHHIEhZu2+d+vI76F40Dol3NfFpckn
yY7VEoy3rBq6Ki3LaYvgYbMxSudgWfkldtqZXs8xGohsAWI2ZXOnucEZ12951oTC+hQP71wce5pT
IGUrr0+Nxi+u2zFsy7Q2voY/rdSKx2KYllvUdGu5pxMF6FV2QTNez8MGlSwc+q1H3Unr4jhBHtmS
XIn5a+tN3+47k+spnRpPeephpJiDp4aVhwI1yoyr2ZavM9ZPDHGNcHWIyhrAVKH1OhzCvM6/xEwH
2wEMVKsOgWVjvBeOwPbdqsKA2hrXDnWYLfoyXcpWQCks3HgycUnrnak4dzgBl+12li5a02ZqZJWM
zI8ATQaAKOige1JejVE7rztQM9g5aDWz6XLrZ2ohf43xtBO5lT5t8Vq+Y1AFp1Qu/ewOkwErho67
gSFY9BDnUha1Q8nWxIAX+FD3/qwbBZ75VPZT6K+aKuJBkSjWaDxMrfDbTSiZqQ4sXrg9bylRi10G
J7ZI/gC7/hN+9AyH/g6PKpQ0MiahoJJHCk1MBFb2B3i0wwbZtUWEpiof8TTMU4itiY57ZoMhwTdZ
X3hz+Ov3BPz643tKwiXw1xD7uwQHewZa/wCshpSVkOZrmjHZkgepoDpSY4Ck1v20hyyd7zvNfFbj
i0gXPm72b66Z//n9BY04zE/KIknoT9cMFa/YPMf7z6bb9mFZuAsZefASpFhf//pS/9lbMSJjriQ4
YPkzm7stKDyHYqBZGI3NTUTQkAcA5rJa1+rhr98qPH/sH24ltjcFHhlgpADewOmPX6su8XQ7SK4o
MzxIWwtFURsUmDzLTUCOlZ0gfNUjSiCPzXeABJ9YIkj61x8D0PPPn0IxBSma4LCAiPDTp0C13lrs
GjTTcxt9qVGYunStgyYZTNPdT2jHtr95xz8tYYlrFbFUESjoUIqflhOa47zEM4nL7EWR9JV7BXxD
MkDAz8VI7o0GIPjX1/jnu0o5Y5xKKqAfquj8HfxhAY/tWjDjFp7BlukylKRbQhtAQkS6+W+elT99
nYpJxYWIqeCMUqZ+fCvqwLstdgbHHFbmuVhVdbVZFiZKQ0nomzi4+OtLA87+4+3DmzEhI8ZAu1MW
/3RphhZDxXWHlkAZWu0CUwKAW6Etqr+5a//kjWRIz0s2Vth8fv4O49XiuFl7gAIjcY9gYoublTm5
++vLCf/8NkpB3Ys4gEEmBTsvnj/cKusBx6+aVbuu5XTf9VV0qENW40iYqnSEdJTqUW0JPsRH3+l8
B5KjS2rWFalUxbkjWGFQy1z/zQo637YfnlU0tX/8WD/d1q7OcbGOVzvfFYA/aoAIm201HsugTvnG
51OtdXXX5HH0NwvqT18I9lvcVjwyNAxD+v0L+8MXMpTgCSitG4gstDv2uY/vfEnk37zLz08IU9jY
VYRoBFYtKuefro9Ar2hgsoXw7kFIjKpcb3vUeYmq8iL761v88wXh+VOUhThTIoFPTn9asSMF3Y7u
vYLsHMIp20Q9AtpfB7n8zVr6+ZqwUpGvwMkhI6BdXJAfl9JEQL9Mxhb7cPXReOK9qx6YWAngHjAn
7pfL+o9fMjB3vyyGX5IeX/vBj6VGQfo9pfKPH//H6bdszX8/v+z3/34O0vz+0+3w2j3O4+vrfHoZ
fv6XP7wQf//X9z9ncH744U+BnD8GZv5Pf/lDHuflW1t2WYlGofw6/zFdE5KQYD/D1/evUzkgQF6+
/u//9c9f9ms0R4bvYtzwSCkuGfZ+iRv2azRHsneC427hMORI2ZAYi+bXaI58RzhTNBZhiGKQCYGl
+Ws05/wirgj2I3y6CAcK/3eSOTgQfnjIz3/qvHUjscNQXuF/Px1McDYDH22VzYowcs/Ag+IjSlvy
kYMIi7OZie0KEPaQcbehBctNn98A3YLC2+hKYUPQIrTn8Ail6di5IFu7XNyX8fx+DhucqjyoeZVY
Oa+X1nYoyIVszWGVVM1JH6r2q+ThdJwbCq+k7V1xAN1CSGo6qAwZj0YdH8uybD4hdTCYw1wqGh6G
cBSQqVqfP5lN8GdnOKdZMHsKBi/WSO0416ldLXj7XPZLccWlhAk/tasu97Oscp7kAYmKXdkMU4sT
2fub0Of9zjoRfNFbDuSrZ3nILtDL6JsRX9yhF1Ydi7iF3mF6XezpsBUMLkU+ALZDCwU0jXcNvgIa
H6fFA4Az075Y9JjydgX9io3U7Pq2Gh7qsHa32xBHqSv70aRzboqM8hV9OgX94BOcbcMLEQ5vBWku
3E+hMMBjV5lf+wh8yQJ6cIJTubqjYtBkqnLSl6rn5mXiOJviYXSvC8jC90O0slNYbvkdJEFzZH3N
113RC5L0wVZDSy7Wat/Nsz+1C4CUGkTKBXpHmQzaBlctOsbdVqwz2HUp3FUn/YZmdzQ5JBYQZk3S
boF97+uhWJDL8MszXPboxsWttYd6HqK9jCHBgLlr5urChlFRIXsx8DcI/HCowirUQEICKKNPAx+n
0xjYvM1EoxaIN/MS6RQ6DSIJWxUfVVXMZ8eBh0851PF0aLS+sVvfH2oxRpddGXSfV7Euu23Mqwxk
LMvQVtr3/SrDu3zVzXghAjCUqbHGZPlsiEt8iCIQjFMFES/iHhiLCfLxY9EXoMJ4xBCCor590S6q
j6RjyyfEFubHkmz1VQ6J6QvpZqjWE53LKS2xsm+dmepvM5wJWHl6fsaxrT70TavuC1XqHYOBROGc
KLR9pEUTn8w5z+9EVLV6t9khiDO/GXa7RluXWkf6D440BsZBBySn2Lp5jxRYe9lQr6+jaMWTtEwi
/Nat+E3QSXnfaAJXDLTjmMSzJZ96P+orT7Q5LhCTJKjRzd2jXzMZW0RlEkAteAaDrWuegrCwV+2a
90Vma6tr3N+mOhFfRKfAoVbPgaVcwEl39x1UNRjkOGaAGw228olrR5nDAWnHN9KX25vWxlRJk2/+
vE/kNyXv/IGUZX0sgLzvrciDjw5A1E1RG3sSZNNbEswc97QNIN6p2Ob37bRyaDzSd2/SuuZDRwrx
ILcaTq33MkiL2EE2GsjsGRQeD2MWkuZ80VjX7VwXhk9xm8M5Vl6FcTYWIO8SEiE8sfWBvkbGoLqW
foE1EwrffY210x9xp+GEb0HTfEDlVTRAAmb3CbRZ7y/MFNfpgKzAVdRBADxIiyAcq5fvjBW21pTL
Ot7JYey+NQzSSQLGWA9JUwfFIR8j5K4iyZ8j5x24B77gCbbNWveJbtt+pwdkkWJWkCkJjW3fE4js
ZbKMsromW95+3GqcGwdeWQlnprGnpvb6skF+EJ9ekuqgsX3vJIJEHxsGd6FhxFVZvZbBF976KUhm
9M07O41oNeJg+6awZyd07DgiDb02p3WOoiib8B6PLRo/kTns+CAwY8kuu4Kv2H2A/IlkXXpi4J5w
89iYrn7g3tMykbYr4qSqYSokEEHLJ2WL4QlUH3hir5sSKFzYvy9tEbyfy6KuMqCB/ZZ0SJgB34Zj
0SQi4g3WYmkK7BTIbm6pmPW29xFbAYsYpFJ0SLabSobkIIsqz3d9RCxE4gBW8+YaBeUnJIokbmzr
O7m4Mw8UmTuoPAZoE1YA1lTQDXiaIP8kshuqjzSqBe5oQ6abbtrg37UBqd/WcoDFFYsmY+ib9rBZ
6+uctdg0GmLru0WaPkHaSiTQZYorui0SQc5t3kXRWNzFCI5lc991V22z9dmiSWcz+JfN/WCF7rJp
ygWOzHHQO16Xy41sAiQ1l1ojg6DpOi0JlGhyV8LLB9+92OE9w/7y6OIq+DZxU8FnMLV8mDnsx9Ra
hTTTCHvMrYt+D0KZX+RbOwz70DEBobaunivnHEmCtWYH20wahC2pANvikV2O0Urz14WMzbGBJv+m
RVwiqAHD58YXc/jZzjq6wTa0nRAeRTpOAChIZ9DzN3Etsb2ylorPwSDmz9heg0MUjP3e6yo+pwnb
8HMOc/1Yz2t7U2CBv6/0Qq4oKMx965g7LJ3Kgbmo+NKB4v9cbqqHAL9EQmc1sRxAteu+1chs4R+V
4TVza/g8CqyJdDIQjPOKqqOQrDv0HO4aUW1wFVVd/Rivgn6awjGGz9O0E0shM0YCvECRv+VlbgEn
l3m5GxGUe5wiWT5J/LMLqHvxvm/Eit1kcct1zWHswhMsHggchQvVQhJLhs1HMDzCqj9Z8IpTZqFH
QfuDzXBXbgzOoplMlJQLK0xCVcNOwWzNAYmhQf5f1Nv/RStpdDz/upJ+fOnml+7b6/hPamm88Lda
Onr3vTvGbvQ9yR79UEujsxIc2wBjMepsFMy/1tLqXcggoRHk31GAU4j2/6il+TtJhEQtLUKJElFC
rfqto/ih98E8gF9//m9/SLkjVPhTLQ2MCKIEFwqqnVLo539svmwVUFSF7ZZBaWsusQcUAygCoS/X
89bdO4hZdCDKXqAEVPfLWNfX2/f9npy3fvX9FMBJCr84gJnWOIEQpqGDH9JCFnTZN+eDJDgfKaBw
ywMZWryByDkBDQXjY7+gR47ShZmQ7KhRzSn8fmDNuauufMfrNLZzu1xoMFsvU1tV5QXCPvWH6Pvh
B/Yb4DWCyF+rgNhvAJDVyZ8PTDWBxDTfT9GIzwjNIqQK7XmsVfuxPR+58JthZ38/h5sYT0QCHw/n
M+utClLKrDr15wNcnY/y7XyoR5Ce4Ut4RV8KWU04VxH3WIsAyVPXz+BWjByPI3jxWyPM9jiahV8g
FYgS4lxMQPUHyw8jH3UG9GLxSvNZvDaKGok8l6GAT6p+RU1a2hm1yhIhp7os7DPiEQxWhrN3WxCE
V4PI5WvLQjC6+bkI8mqAdcm/10bqXCaRc8Gk9Qyk05sQaXKZz9Un2Cg1wCNZk9u+UO5RVnber+dS
bBnt/HW2vD9150otbPCLuBIo3yCVgK0+13RqhfkLcKw/+e8lH/9e/nFsJbdTvMK6dit5MZMDOQss
daJps/Z6h+ibQlhxVR8wY2B+hlJp9gsPzeeQzepe4VZOKckDlKPBuTJFDV1DrS+Ig9EatDdxW3Qv
7HtJO69u/Sy6QNzDUuIZtzL+MpkS4GkPvB2Z/+6i7GeDrqH1yEgiZRgrwEF+Ifa+oZW9ghCtT/Gs
m7utGbcqEWEnv/UN8l0c4xESiku9tECxOrbm+3Jt7AUo/PJa9+F20Y+TwmCMor5GOxSAMiyHI1zL
7bQRzZ8FnIiL2o72MCx1fkur1eADVfMb6eL6QKshAAo2DSeTh3SnSeAS6XrzxA3wETgUtWOZh4t1
4f2AwCSC6/MFG2mQdYjrI+7SUjj+EwRwBB7oECRV2Hc1CI8ebA2idVC/J9FH92yoLEsCZFK+yaos
PmtkvK6qdqu/oFPJizRiEyDsLeqRlF2RgkxahKJPSPKarwuiv0j4rjCfkBqzIequsc1RJQw1YEIj
JEKOjdwan5Qiwnc1WiSTULeI4FkVnB1JkYdL2tlYfDbYseYkt72vLkHuxne0N8PnkOfLKZ/L/D7y
vXuGS6PbBCpyHaU5waiJRIJ7wcODZzxxGOFxMLVlTyh8HLLvmgzPlqJaTnRYnhMwcVRvCUADc71K
h2RENeaSJaLvGhTkRbvdrGiyzlR/UNwNfavflyFp0BqMVaMy2VbkraR9jVyeCbZXChPxaPjahciY
sPEe8EXzfm5huA4S8bAd0EPkRQitPmzC5h96PhosB1FwVPFD/bGTxWqumrpxTxOc0T6LdMdfOjd3
T5Vw7adt5qD1S7AooANFgdi2DtoFXFdIg8sGgMZ4xR03oB8HWKw3cOFLl4ETg6yxxZ1H7ELnBR5u
Ui5Pc7yht6zVEj0ibofKC/eIazj8GxBw0ESjSuY5qK5DTPtAuFOSfUUKr1JuWUvSGpGlt7bicQDe
qVJP0DD9nqnRIOAYSkSYo24MDWzHbupwhwn+P1pzFL3T9wK4ONfChWLBB7CZVQDkHrUy7TtwVRWH
nFH1ziQTK+yYVl7NX3S3bXewFc5RkqWMz9g9qnHaSCv2piARUiqo1dF+degfRdV39yXcE5HFzBW3
69qUb+XSv7GqWzBmAMnlPGgI4BP0BOx7e6DcGnwpgmWpsqWy68Vc+vI5sviT34/zf0so/K9ZuERQ
5f514XJ6nV/+XLOcX/NbzRK+I1LCXVNwf0JGzsbP7/pfTCksRgaBEELgWRr8tWZh72LIgjAeMeaC
0QjlyT9qlvCdICHEcbw0gjEIb/LfqVmYPAvCv4v80P9QK8UxljF8TnU2WX+sWda5dIvEtJEMeSFG
MjpLMLSuqpFnVZO0TYrTZHwxvVmC3egjcRdD7noreswTwc4+uKPLUejOe/Bg87WYqL5b+3J9avlc
fcPcgfwlcuv23reRbcEXACskbFj2o/LxjQVv6zNWyhZBxdn4VDhZXYE4mR+jMOoOBMmhCxO6MusJ
hHLkxg2cSTPRved5/nUAef6qMKtoR3M73rYrna+3YiZXQSfW2wGnCELEyHUTreXTZKXcl6Xqbmcj
yi8C40Tg3q/zc0jr8lb0vUxRQgFoLinCbInWiwd8z+ipFMrf5j3HSBQWl0h5MJD8UDtAwFebS+el
aS6d5tWF79X0ujCtdzpi1QcgYkD6mrH4vHKLCSxFDrpRMHayXSseqgp6E2389KnNF/ESNj1wtn4A
9LNB2Ue9GIiPtS/ptmujoj/O4cCuq6hsHitAhhUQPTEgJ2L0ocYMoMtyHsVVUEOq1YxDPhgW0r0i
jD8hvYRc2g61MSY7NEhqPoRklKeilJDybBSsd6VtHdL4mHZx8lqHd1Z2CPtqzJHK8GXRq9jV7bVf
lP2mLKLTIDqa/BoZ7vbQwNBAJnNFYjT20Q0trbkREfon1K7mU+e2CKfA3Hwo81mBTiUYTNSCYR9C
X3/CPCd93zZN+w0ySnO1xUV+AFuv3lhTO/SRW7xiokFdAY7uOvRqgYgJ5gaE7gh2AbMG8ppcrjam
l2W4sUcXYP2meibdNaKe8SVTzgJNdO4RX0QAbnkmy0WkwvAB5wgAR4z04V8hjsSPCB+UINCmaOhT
GkN1S3GOmfdk2Za9qeRwYKZG/CRCmJmzRX3stIU6GdF2e5Sqr+4xjcffwROF/lF3UjUJIMt8B9sZ
J8w2BiDVkMO24DgV5tUYMfInpH3oTvqhu3arbi9MEAMp7zzCSphLY55w96EPIk8/2ESrdURAmEX3
BjBbIpZoMxjPUdZXga71g+kUxyirQMJL9yEmxTCMv2mv2mIJ9ytC8R/iKVa3CpoEFg0YFuT9+jO/
zPktm4i4cF3VXHsc0aCkJKcXirOqRXwrWjO6FMVF2BXzTRvN6ptCVm1fayKvN68pUrJMy+slxxJk
uqI0gUOJ4IgkQL9wxdqSsRiutrpBQ+ICdxwgBZ2CqAmvcyzr8KoPEUzcGraxvVpJVaKmGvjdEii6
E3ERfgs7JcGe93i+95hEIx6iM+aTQmKA3zBjjkx7BaZ6wteENPdzAYK/SAHaI2sTGfeJNRgXAMSl
m3KwKOGMUzhuVhyqm0cwbVMzhqq0PT6vBuDzDVNokJVp19g+edeYdY/dQEZJs5br5xYRNKDfc8M+
doRORzLlhUoaXPGl5+XyIkXQvrKeD+9xu/UFxgKVQC2n/OgRWwY3UprwvkA4JcR6HroveWCWa41M
whFtLN2HgRafupF3c0JdOHgAt8B4oEQDT4Lovea7HNJrWjYNP8ZQUg8Yj9FeIp9YpYCRumwAZw48
3dYLXFiPZIRYnl0UFo/r0KLq8V1/WmFfXDtW8c9rJWnae+Y+C2bbCRj1KqLnykMNy5xhGPhVe36G
p7sl/ByhCxiWFLjtELxHbtqg0l5NiNEIclkvRm7L6gY+B8Q71bdNkUkqm22nkPswmZ6i5mmeAlTZ
ti6QEmjA791jxFV3PQ2rKTOskenBoby9M4g/QbzLq/hD161I3Zm1DFUSACldsa/0xYdpQaWKVF4z
7uKSV6fFTH2M52DGPtR3qrrLRxa8UrQhI2pDwEsZNGU8Pqh1xzuMiMAMqjHkB3BkEaYRDbkFUqef
UNare1mWbY/LynHqVJPJMU6AgHrGM+fJOV5GlyOfaoVyns36Npcjwjbgri7VMDa3IUJBW+ZR7l2z
XNboosb2wVtKDw1UwR16arHLN9BTbKsxv6Vaq6MuIoCiHHDnVVCBEERwcj2UkaSXSAeoy1pUgK2D
aur3FlAfXqgx5wEjHUwmcyeuAGDBWWt7aHeOIR0xYtTMWszozqbGHQSHsjfN0OOTcKDBHpunvNIa
AmnRldMFmPn6YMoBFXfYDOFD10iJTnnwfZ2Mc4tsTMei+NgtvgsOdbNOGpM/pgqzIhAHRkiRYPIg
GG9i+4QPekJjzoZhp1BiIoA90uZWI0/4qVvstCXDpKIV0aypeVS0b+5mlAB4vhaCZxQ2hPH7oC7C
J06jYgE3aySaFExsw3AD46HpyVp9kflUf8FX2MVZU5YWe6wHy8ZbKBNJbPyWgXnFss2bqb/JYwVc
18UTh0fS2Op+LFfs3LYmZIfncesueG3IRdfGCHoOOe7nlK/uadlogyFBFXxD5CqG1h3ymYR1hlk1
OHYCjJNIiG5QZoD4S4FDL5dig825C4ljD85i/lYi4JMdMZFgDDHZycDCCkCCpTXGawH9HmPaI4Il
tc0wbcfe1M3S31WIVwi8/wAeGP4ElGAgh+egwzDjIPE2v+tEB/izXuGcZiZYBpViKJJFi9zEz5g0
VX/RJa45LIrt7UwwYaufMceD+eUwCRI8bGwwQSoDcO+J7tfiWm81ZpD8/1LIU1S2/7qQ/58Y0omR
ND+O2PwVAsALf6vm6Tv47lydtUZwKagZfq/m5bswQhVNGGd4HXyff1Tz6h1K7AgVPlVUKjBn+NWv
bj5/h6mYIoqBM1GU9SA2/p1qPkSf8WMxD1ogJhyfAB8An+SnYv7/FUgURz92GWeCE3UKhRgnBYGP
RNHP/JFwmnlrw36wUTaMbZsfMX0CwQ3j/Txgc4iHr4p4lEyYlWVPK7CYDHS7OgEH5teqUwsqpGn7
soElvnZdgYkmehPYE864f1pvK4wZzC/jH7vcwESPLSIuenUGMmobDm96qaaL1RfxLhiQ2CWkFJ9t
Vw2YM0XdQ+gD8jmMESEwiK08cOLUDlFGvVdjvsKjXPVdGWDuLCwqUj6PmJiGgXWUDB8iN2NeB9JI
Z5tJFOMd1bw/opei1/1WMwFDJ4Q5hWA39mEU0OD77DhP2w6jSfWOwDW+aIDokH3vO+WSPHJ5AGDO
VW8w5DuSTuUwrKlD8v4S/kULUjCX264DsYSC9rtiQWo/YwhKEzU3Y4S5rCk7yxudXoHjBwRDnlIb
6ho2FBggl81IuNNTvPYw+QZbiBGqVsODS51H05JJbqvTjM3zovpFZPkuuCA70H7qzyoM2Dp9H7oC
ha4W2/gVvS7GfuX4oAE6lqAcUuyf25ep0AJj4Mb6sg8I/aihJu0nDDi9wcQFpAmoiEIYxqR7MWJw
CG+bMLooqKP+Mqjn6j0imctROmKeRW0rjGCMhEeWazmXFAU036num7e1C6r3biinGxqiKkMCBulU
KNKvABCnKxT83YMA6iQRkS3r66BqPdtvk7rBPMb4G4ZCkWukmYubsOVbWszc3y+yq977ioQP3oGV
mCHtY44KaQe895KD8sgBg3wJadFjZJ0kb+PanOVzjKxKMVsz/KbGeExpOfmTUrnGsJ549k0a5UV/
CaoWQ0xUtU0Y2OTi/EE76Fg11Uh+VxuO6rVTdYXDFbs1Rp+26EIaGeEYn+Px0o+d7s94rL5yGGb5
XmDi1l3bjcjuLzDjlNPCJKupcQJ6lPnl5TCSBROsejQlmP+Ifgi5RTn5fctH+hoV4KUlgeewBw8e
nKC7um1XgmY/TiH05cQsy/CK9Br9T/bOLEdyK83SWynUOwXOw0O/GEkb3c3n8YXwcPcgeTnPw55q
Fb2x/mgKZXi4VBGl6q5udKISUGZCQsiMZjTee89/zncesJBL4xK4B4iBP+9Ll0oS2SZNeeoEibhV
J+fE1+HDER+Fjvfc1k7w6EDNfNWktj+XFKd3s6gyt3g7xA6AZgkpt84JmMc9+4lxKg8BIwnQpcBP
vwp10m+qoTLAUoZBftlCq7y0xrI7n9tyuHWsfL7D6ObsFC2w8JQmWnM+Sk5yLgatvJOyNu3dsJFK
sSFh0FzrsWwm5AKTuHmSguWIFJKVPkSpRlB1is2WfIQR7wyjrldIcBB+JqN/YYwxeaYxVxtya0xd
1DkxuhWKnskDqo+xZIROmlxhcJJXWkWmMU76ymXbX/pSQMRlJZza8AFQQhxQDMWFxlps2FOELhNy
VGG4FvldMtb861K1DC/nfFS20MGMazivb/2MWBwFM1Ybi/DmMZVr/DYxUh0wppQ58dw4h9HUR/KQ
Tbp3umr2+T4nt3M6w7VbqD2jhA5pZTxJckNSdHYfCjzLPpo4LQDAqIIy5pFGKkt2cES5uGyilybR
x0NnW/UjSAz1QpviB1IjlwFJhGXUn7IRHpoQWlkE2cMVkTm/xrpQzxI2zze9UDESlaEeX/MwA3A5
wbl8sBk4EbcPDaVwcYNoXt1gYU9VDcxaKnqFoF1tmc9G3EjtUSU2+g38YjSNHQPfkHW3JsywS+Qk
YDZmK7eq0lnicu6IluzRHpSjVje5s7Y7vkQTOB1gx6o5DnOoe21sDuvetgJl+zsCpsxBYxIWq5z9
X3FgkAGs53qUr9QwYG+b4EQRoSavJyw/j2Flql+jAWbFz6Aw+Kja29mIFDy5C+4gAc2phUm8kzoT
Z9k82ZtfIWFqBK1VGXPE/i/AwIC266Cl4sVWB9YXFoJsH+WTvBF536MYRPHmRHJJQsm+EHbw3PUI
IgNP9BXhMxXs7rDrouHCFCngMmYq7tBhCLah65KinCvGLXByyxUrDz8ssSTnwcOu58hQ3z6xXMgy
8JslGnP4b4TL/3OEizqCRTXb9p8L4WKCYl4FCYnTcsnL/QXCBaGzvJ97wGD/1xEuSmpsMq36TyJc
SlXG7hJ3Z+noeJZZZd6vAC6YaKAhV3F7Hf0luEVqIZuMtvlzcEumdztcuOfKPNxGTkfKn5E220sQ
+LUFl9tQGz8mJLmTYFyjBzu5tA3TokLKi6tLkenaFQPyGYxPiXunWHap5qw8zkqn3xDHkw/lwhcW
GfPQwmHXXNmQ/sJe5+GZp9qbjR/LHYWIjmqGRcgKYmeR12+TNMEw1GEd67UhsdwOweQhjENgSw2p
ei2tJHa8/eNAvPkqT+2n0F5o0sqo7zVL4L2zjZLgMmnWFbl14VWivw8Cu5ZdSQ+GC6Ms7WsoN+Gj
HqfBdaS1cIx6o1T8FvvFJmrzYYc6pG7yoYYc08JyUh3VmqHEoU7BBIE1VOiDzHqSZG5hkk1fjUDn
pH0cEYt3cTc3XmBZ74whgOppw+UoN1963WJqGdjVTScPxJ9SSBFsVoQ7KHODTxhaPPtFcGvCfomV
Lt6oWoNSkLCnkUUnQ3EfkgenFeY9D+XRjXTlWDjStcK28MFqq94lOY5Dupnvm6aA9GOA1u7Vosck
6NiwI/SLio0HDD/5PhciBSQBREVDlltHrM9b3MnzKqu1ZxPrgefgpnGBFKQHE5nGQ4JCmJRIqUhW
xwqyuCISLBmXChy8VWXED7jSbi1Hwg2BWo+MijshtHr1pSlagC1m2sU+sH0Ye3NL5HsS9q7DaX1R
2mnGK84RelQ/zNJNA5D16Nja6GrDUG2TGDIDV95cZ9BpDplmw25uuFHzNHQaXkcZD20xq8eyjDtI
3wAtzuzBgDaa5eI6GbJsOxZgZgx28e/kaYfLsFKtYRUasnrDrrT2icNmXlKZHCamYj5tfKuLiOPY
1tEaxksjmj72R/DGalrUG4Kz+cYkFfsMahATtDoR+ALzUgGccmRvYqW8tPWw9luNYcEKj53ixe2Q
vZbYWhjNdKRewzjfOMJoLuO6BExYkvteiW6az2pOOl8YBmkoQM2cunZBkQX24nhHoIBbSZ4oPxiE
1B+TGYCLwn22USutOmB5HkH7T9Vrn1fmwUIsu7TCcclsDOCk8hhMh6w7Z3oTdn4ZBskj+CnZZc/d
wplw2gcDM9+wMN0zP5S49wpzHrf2EI5rEOvtmZz2ECKQRJMdOBigRZqIe1eqbALBytxumnYYOMzU
XR26mdKUNwO+oKNtTRaYZlhjD5OQ5h1zqsh2E0tOr1I9uVEDgu6Z0ZB/zMqOnOvcbSyzFX6mzOWa
PE0ChbrLyg1FGXK4KQHHPZRyBiisFsMbgouzqTrRHVW77HBXq+qu5rs+hPrMLJP56lXBxB7TDL4U
sW2EOrNDGgrjLZzq4ZB3pnNBAqp8yQammaueyHF0ntftcJ2LuV0T+Cs6nNqR+JJmmfWSZrF9VIqw
KdwKxzt7ol6MK1o7MPliyHrOmKM+dbVeelYegZrKg7nZlXYirYVtt+c28vg54NQ6geWVYe9NyEwc
jUotgaVh6JwrSglqPUrWFSkCP2qYQXgkr+TLfhiB32MFilamHWAMr1FPJY49GI68omm01zpytG2U
EUr3WiXA0ZpnIXrhPLTn6lDKD3Df+wPENGub25F8xUNWeZN5z0eDj3WX1A2tCHOi1Z6WACog6R9v
dGVqn3NmJSlatg4/dYoj/aFT1fbhgwz3F666JYT1fT6NcmQzOTBN8jGK4SiavOR0P0TB/itDaMTf
SE7iGDSh8mnKp1cWHDoZJ8A7GxX8r/UXMZ3/fS31nzk9pfKJ/URxrV+6178yT/CnvsmtpvMbwTyd
jJJpEzE9lRf9YZ5Qf1tS4csXtISjF6vlP7JTeEAXg4Shqyq6o/o9O2X+RshvyYuqtk7818bs8Df8
nqq1qJbf702DfLhFKB36ErImWVv5k9zaq4ZCwwNsRkVHgPT1OcI2jwWgwJXJybORjiMIyizYZbk8
Am7TO1o49KH0E0sr8AEW1gwOrZfJhejliGkuLYynsnSy83wk0VRo0bQd4kq9ZrYcuRXSqqsBHlox
uBghq0GWTzEwH5xS097KRM2+StLQ7IPChvfUNmD67VF1m2mKXaEWw9J5Ugd+OM9CWyI98ltrthBS
c6N6m5scka4P9N2MU6JYls34DodY9ZJXIFoDywnPCQBD+NaD7ksjxYM7YrHzuOJpk0wq8+upGrBP
JFaebjutirYq2LJNoKrMFlt84AodHBdR5IRnMbUi7qxbAU0tU/KeY8S8GHuT4eeU5sFxDMPYsyBs
bZmwh2c9DRyQj4S8dpLKAutAbCHDZ9jOl5Pe5seiMCwvEcp1nTlXtdH2zY7sUHDVGISCTtexVk1Q
Rxjl+gRGNo6qi2nMiZeMMZu4hiNsj0XtDRe+tZXkVLmaVRvRTjNs/WU2Ju0NWXGAFtkyXxSKae6h
VouXySpCwx2LqjrDxpodxODM+Sbux/qpIhV2nzHuBZRS1UCpVmOhZ3hVBzMUXniKQy3+MG0VtENN
JsoqzE23ZKc0mFSP1ahg1wdg3N06U0XMamwMh0SNlAsLK0PaAJmdmclmYcB2NE6lvZ0UbBaX9JZa
RP3OqBNtXShYX3hoqwhwspgk4n1dma5IvDoPMVuWQ6t2+lWbJQUlGkqjxWDk1fEdQUyScLoMWbum
asXQfJw3MDnKqJL2kVrXlxKohgYeZl1xnBHckgtUujo6J0MsKvsqgpn8HBVjtsOZiRkmmMx9FeqB
V/GbPepdCQRqLmQPfpz+0Co9YJFEznwZt9/GcSptLVdqCrg5ipFe2iG6mtPcOFPmrEfxMxg3s//3
U9xxiNmO8T7WUjKtcktMW5iN2mWAY2HDWqVtO1RMsPDswUKAMJvaoDRkJoxB70LWuzpjx008ytC3
tGmq1lZcLojNaAY9gEuXeHVN44fiAO/g+4CkEpngygS/qkTV2qtEnWNPVSC2T7pu7XuMDWvb0sUL
HCpEzpicxRGlzXSlyC4ZRppZ/NRWenkTkc6F96o21SZLzA5HX9lvcXDPZ42cNdc2XtidqlnBxh47
sU5UgyF5x4RzPTlR+Wpy2CHulaub1IGJxYlQB9gR6TKlYEbS3rOVqI9aOXYbnNEd5WD0aWjKFK6b
eC72zpRXVEDUnLi4mZJdz7d/VpEL8WuJbTgQH83xGrspaesiGLbpi0SWOEvz+WPi5dWEGnoMIvN9
WOKVyNhbXEM5US4LNifvRltDS9WipUlDzr9YXVLfpDko9iK12iu0f+Mmzozhhc9Q3wdVzCNt6mBN
GFJgrpuxzy6o6ugeYMYYrpM34ipZxrjGXOoQ9npHuc1LHJDpMIIQVUu+UEZBX6QIRYnynZHDbhba
yrappnbXwNJ+1IRF8Iuzihpv5kkqEj8eLGnc/P1F/P83Z+MShGD1+9nqDBPzf/5b/1J/NDf+4499
n4ZaOrwQVjmdlVg3Wbn/WJ7N3xRGoWQxdBbb30ee39ZnRf7NJnLPsglvaVm+/zEMNX9zyONTU2jw
H10BuvJ3luc/DUOtU+WgtRAVbAwFS73hx53jd0pEpNHyEkal4hpGVexx/LfeSJ0dZM7Q3DhZ3AH3
dsatBKztG0wC8Rv2PQwjhafM3PsfPsq/2NMuaf8f9g2mwp7FMGj8giqB6e/Hd6b9n+VlsE/h9Wx5
4Q8oFEHybfz4enPWGQwVg9Q3Bgnry+zjXfF+fkmkXP7iothz8QIyVA7ZYTT+8eMuMXwBiM91FuM5
2SUd0yE7KOWXUMknxrTd0DErtBp1srf6JLXv5cn+XXRztZXYDNxhtUvuaDazLnpiCY2fy4b6ZC8+
chvTI0v7Yi4XWd+cOYvjHAAgzhVjlC0w686g+eJkT3emKbyF1R9dEt3Gvi6YbtJ2p1ex5iZtpOMA
mbPqNppKzizRQF6GTKDOZIdBXOzp7K5e6XcUl0YVSI9hxnHbZUdjJ2Tbgui2JAGiemkbJ0ze4IEC
CR1HtJBRgdBvi5IVlYQ24Wayv4t0EqD7AEpnTJsw/FV4XE+SvumxRNIHYmlhthjT++eY7DiPL1lq
n5Rs7L42BSwzfJnRerJjiK2wHrJLzQlKuhUYC62aKQsvzDLUbrGUtE+llVd7QfefT1tF6nUU8FxX
GLEeHTLcl1j2FD9QmfOpMexLAaDzqWV0ejviUN0lQ5rtMJmPDI6QdK6RlaQj0qJNjlyi9CTTo2H2
dYawmccvytHIpWjdGy4tdjRTgQ3fS2Fcv3C4JkqP0hhuRM92wh/waj2VdgZXHj9cc672Do2chKIp
uRCGfiN3OlDlKdCpMBPpk0Enyd4gnvLSlDA4sTmYF+k8TztMmcDi1dYCPNiRoBi1hqqDLh7y864a
A8QrSlyIN5YVnzicLyaXRpipb3gGxVkhujrCbUMhwKqwtfzKmZryvmphX+F0LjKAz22Iyw65sHsi
325vmKCym1Ew2KoMxUP5JsBHdCHR+TAilobV4MmSk9WXspLHb0HMcueOBBLezaUSKSAQ2q+6nP13
HQPbYTdcpvssx95vLd0ourM4htWO+Vw5hv01DXDVnv31CJ5T2OcwvmBt6m352ihcrj5jjBg4gt9F
ZRVdq3IPd163xvZc1GobgwCzujMJKRH4o96dwAmMkiEDX5t2A4Z4aKHuubQGQSIg4wktexwLELK6
WT9oZV5SzJlRhDNIbe4jAAU7cynCYRravJ+qb2w6oDB+tWVluaeym5aCDSybCtRndTA2p6IbWoJM
XF6xeS7CkeYwDYh64SiWX9tA3E5NNUiBTUtWljoaktW1V0xjyihWD+96qanB2/7RJuPQBul9b5JJ
5sFwE54CPjPy9IvqZJWLXmIdkFjsQ7c0wIzoc5eBMOlgW4pfRCrnN6e6FxJsGEROnS6D1g5A8+WB
s0PfchBQIUj6/KUANlT083npXcEfT2tsHeQ4RIslvRQE22mUtfUwWIBalmaVcMq60W01QWnHP7pU
pDnQDyO7ZWuDOK4jp4zZ9Wz3ACLaKL1JjCS6pf2ruYbLTvR3aT5pQxt3a9hZx6SCv0DG/FujSabW
bLY4BxKD003aPmxysclRmE1ASGVKwBnKcla9qm01BysjbHtscWSizzsnzc5tIRneiAi/V3Lw65uO
75qOE4TxVdtl1J3kkQ13L06fUqVPv9r9omnRPSY2khg6vyfEnrn0xIaveh7njwnQgp1GpA0nf08P
XBvrVzFhhkvJnNpDUKnaWdymzt6MKLygy4f0URAagKKD2vIoEB2f4pHHfmd2jCuM2q7cAdjefQ4s
8TmIwm4fNOXwPtdI6vZsyrvGLFV+rqU4ZnKhb5vGkDcaQ/tkhe+S34vVZFW60jH+f9HA5N7AhoCw
b3BEPmJmaX1jmpHBC8we9IX1Qf066QFo7LGA06a1PM9t+J1RL9oaXS6iZE+hXfQZizs5h8GK5SNO
GfO8UlvltW6DiDordToYshH7caDlTwU7TM+GSPtqd3FwGBpVEltOVB3nnWlKHiNNIbiNR6B8N4H7
X5BvEPhya+yBs5Ik8ETatPWbLCszL+7m5mvA0GBwQ50CTqOwRuwFWucH9QKTKxiRhkhyl2ks5CtF
qofIa5usPq+jxLoYhVyc1XJIi0tM/KwJ1V7FMI69RmtEtBcNqbEVtgfach2ck6s0rlgx6rBnyYGr
SUfROGfHvM6qq3QxTXT5HEJzcvog98YpLi/BQsIxCZTxTIU6tc2mDjvkROjbzSENn+e6wkgBTxtn
QkW97R1aYOBfBg+D3BPZiGnZYZqN7d3tReZcYBMtrsocSqmCK/Qa/INzWw3UlI4nd4u8GF3Uk+dl
OPlfALpEB0LiLBMaE+t1QbEzn3GamvfWyUbTCr15d0qHlkYMNlGt8m4xMuBpMEM1OzYagNt2seXE
BcoeYbdM8vnWpRudZVy4tHUkESiYsgN9jE5LOxvwMGZYWRFc8tkq1yG3w224GINKGUwuJqXoiClc
PpBybV5Vq7sLTp4i7vTkYMadydQLO9s15k1m62rXv6dU9/oKzVsEG5uGRsQ6ua0X61JzcjHBItLv
HDgZJuMjDE+QmcVt1IzzXqe1UF6XCqvKLgCAfEG4L38pWM6U1STKeUcFZnoMAauua6Vr76zo/ue7
OHVRrD7vTD9u4hY19oPaCm1UmqCcZT5sAQ9jTXN8trGB+BT/HRjRjW61Uz038SyqpQ/7eC3cn7+B
P2/aLaw8aHRIr5b6512kRa8wJpsm82uPylCPWNL+NjzvXcV9KtbO06+2rUsi+/v1LuqyDv7I4qgg
yxZnjuWff7jeuAjbUBog1/GUW8V6tTLsY4V2//Or+lEn/PYqJ4sniBoy6J+2xpMt0fI5dnR8JsUb
FZheLZXrtLBuszbec+f9Yi/+4058eTnweATeZYRTdNPPB5+WTMzSRZ36lfU4To8BbEo6FZnDbH9+
WZ++rG8vRIRNdzhlYZJcrvvDpxdR4iVHUpv5ja+k63iLpOESYXjNMlf2alfyfnV7fLo//3hF6FBI
rpxo5E+vKPpm6Pgxp75Ad5J83ae+1YXI33qBspF9en08y2XhHf3Ci9bMhYNzfS1v6Uf9+aX/aLT9
8/v49DvBG6RhJ+R9EPghSEb34Yp14hfHROUvv0gYhwDdDB6pn7N5NUpUiqch81tPWTMl9JMtxvdL
yy92iq9S7rOydj+/LuXHB8C3CzNtDua6ruIh/nSrktFvC8XKMl/ftLusdMXa9hpP2jj3wRdk2V/c
qQrO50+/P1RjWUXAR6znxP/p5aD3R/CVw8xnYx1u83XgtSuCGYiqHqcJ/1c8R/VXr7d8rx/uWDDt
ILl0Xq/xB3+8ZUq/KdxdfEi9bOO45GZ88xBx7xAYIqvyi8fAIjj8+LD58WI/PWzstKYjeAJbaXbl
msLlF8CNS+egdtPopND7zjpXMLetkzzTfvHSf3G/gsbg0MT5nKGIvXwuH64bKAINbSl30lxV+BZH
h72Hlv79HwXpNRupRSPwqpmfvsz/JC3zT5dyYkNai28elCK++R8v5edsyL8VWP7nnM1pOiXIH54K
C2XxGxPx+JK9/49/vX9J0/d/eXtP/8X9PKH79mf/0P8Wfgq0k99Hcx9oLDYhZR5Z/H2L3LN6ghd/
U/8MRnDQT5bVFj4Kzxlukm9ZCO03pClWYnQ//gs459+azn16tCxgw4X1AoZFsZC9yO7+eJ+YYU0u
abI0r3/svXg7b1kuVukLmML/wML04z7i9xezIIkCa2Q3oZifniv1/watWT/9WL8/R5YX0wlqw45k
bYdbuoRQPv6YdXNoYg6as9eOICzIEtFZKFnSuuxGPB510PsxHqtNQyLZr0OKPM0qib+EkRxcxHRx
0PHdVb5FzZxPCJ0yBQOkgDEHnNEnrcEvPN3wnTLiJ5XqdxxkqARVoRWOQ3ekstnZOY3IsZw3tDSl
hDEwkueYfSlIbwFMb01RKtvKdigOmr7Wckb/clnIvCeRMKqautltyrnzwbP3Xpia9npo5G6jC2WC
XxOJ4zAy5IFBDRyhhdikN6p+KI1MOtiSLG9CM7UOOIzwKs3ORGfN1J/njWWfZdDh7wzqTy+k0qa2
LrD7VD3KbPELsm6RA9sZVzLmiGg0t0qdzO9ONyo4oTml7LF6FK+wouY3Mx7juzR3qsQb+864VRrb
OjQgGl046uammOfwa93Mceamqtn7VcHEiiOe1QGoUiCprEbVZDJpT/quNIRDJjXR/FYMxTsE3/Er
oV/4NgK03oG6IVrMpNoMKboL5fo675tIWclVlaz1ujeulVHT7iROa9dgH4fboociaJUzKxehyZpg
eCoe5SCdrjJcYeuBWa7jOlE6eyWUwWUZ7boBd3slHVBe534Ln6VDRaIrh0NhGNwIRZS3dWC3O8eQ
2jUQ8/xQJ6McrEx6t58n3jBTx8G8Jm1Etfc81p5h6cHWIX79lluatC05gqVoA4hRlR2oV6XpwNRi
NEYEkNIiy0srvbFX2PRSxSWLUp9LHErjlZzWYKmpbdlKfWfv+e7rFxwp+cOcZimjTrVEmCyt4VBH
5vjGcBeMEG3oa+ZPpYeHHndWmY0ExDmFkrXvgIgwaaxVasb0ngoTTHvOuss7WEilcu80pVd1+uA3
ZVVfG40FNCmLs+BZkEX9IsJIegjVcQIW2ahfER4pN2QYBoEsFR24GSSLGy3o621aO9GzkxXUqEhO
l2nHBhdX7YNyoa6UzEWlQy+sNBz+tLD4srwQ39CQ2o3cDWDqi1HLU+rZ5qldsbIVG72eyy+5EoQP
VtcEkMHzjtFfGlJMHtlz9cxZcMjdxCw4eseRErg9UB00hiy3KZ3kWOp2WRsimTdiWDkDPzk3twoF
EGqmn09yaT11YKawJYhAzC4mMedS4GE8dD0JUynXjCtD06Qj1Bk7J+gxmzdzCZZuZc6pBmlkVlpr
jVQhXY0ZTCBoNLH8lf7V+M2WrOYmN4vkLiz5f3gcTMt1JH1JJtHleTkFSrbvbY0LzZOmv4zA8F0U
MSyplTyrw13d5jq11boCITDhYXaVTEu+n09b7BgmGYdeGZEPkiTa6JKpXsdzV+7HSMCRMwrpPuHe
ImER98W7pI7Et6U5xFenDkAXZXzptGEy7w5a2Er85uvyykmH5rVNiQLL3WgfUNW6p8q089LNplh4
oglTtyNsnxGvylOkANmkhGindU71dZCoE65EbWGBr+gsC3RnfAokXfI1dG8yRku5rTyznYpoJ7Tl
FPWr0pNdXarVAfZq5ef05+07OVHccFQKP6mt4iqAtbMhl9K6VE00POMAvFYSLUZ4oPKt2nf9GQyo
0uVZsDRrRrnLcCS91gnRubjs073BsOEMefxL3QeNW5pU1Le9VYELoGItimgboiANFF5OiLQMhLIb
cD+s84TaVN1s43WHkdHTAiBKvAHLa/qKEUXKk9aUxXyu0Ovg5wnh11LDcjGFMshqpW2fs5xASUl0
gGB+YRwsve3PW0yc7tDL+t5qdcvXxsDYg5ulrFfr5l3p0H5GXQyFUnna+WE/OtCRIipbkOWdaD9F
WUmTQsNuOx0Z3Msd5xpqh656FkA/BxviT2XX75pO5VFjmLF0VhftdGtymvfwf8bHWaq0cznC+KKF
fbEZyyGg3rCSySaJbBPGOg0RsP9YxEqbemxC3vPc1h719YY/U/Vy0NIeRYtg8HVpVcBdYx43Xder
2zEP+7PfC6OCKUr3tRRJz22rAlcLzMHn1ZGhAaj4Sap3PHWLK20kdzZ3SUM7fV7c5Uk83dcMjehw
1mZ437ZM3j6v69syjOGTNqFdrSwoIKuE2tmjTD4GOJSSKW4axp0rNZrtxrRR2XMBmqEN83KbqY5z
yHvLoQ+9n7VjrBmVti2dCqn/VFRl9pVpnUnl3J7XFlUgozpR1xHI6oArmt+o2yGcXvLwNegSrhHO
Ieu2+yo3tJ3FKoGhWuQjPVSD45taRV8fjEWC/rKMTcZoSIuwwPRiErd0ZopL4aTxqzp1ks/fkw5j
FuRXcx/ld9YU44+1wnjPw/BVyors3mxpy3VyWooExhAoHyPhxMaWGliNju2nQN/5/bLdANIVuspk
Un1dJSRRkkSTsGY4VO8WJtW+i8VSnUFYRPRKracgm9aQpCVATnXhUjgsMWNppqdiAKzMpHPwdTXX
X+0hj96npG0u50Fu3sNRKA/SUI9nY0yulCoqHraRrRCLGpNMcmmAZyan6gs9aiI+itdWqeBfsaMg
cZ/M4n6i5HJTYmC56odgZK6QDKwsMwycq8yZnadCwyAea328laaO913VhrknutmtMYI5Zx+26Je/
7/4+wgdPWsv3TaGtGzIT/aU/ANMbpJ7PJ7ygrANk1TrlZJv3q/o28Zu7XbjV/diX3HnjXMXlisTb
TvZAVXrNdhuvf3WaP/EN//QekD4MvJoLAvHTljsaplTQvskT2BFuZoebDMXVMfmfbtfI11mF+7x9
dSQF7C1BdwaCNDrBjIjWQSyuMjugR/qOIWqDUbUI6eQOzjSoppU6e5VxVyTKL07Ff5IDTh/ahzf8
6SzZDDR1MtRLUTvAG403zZ1xkR11v9ikB2Ny/ZX0UuzaowEXjbo/V1r//Es7yYs/+8A+HRucIhB5
vXxghA0L0Gau7Ofr6MLcQVa4T1/o+t10f1e0+3zNn1WIOsuHQi8p6zinQZ7dCkJZjPQhrutjsZZ+
qXosrs8fZI/TCy7ATiRd9IfPxxVbVGUy03eAiiVdtMg86349+SbS0kWybdzQd47Yi/fUhW5dfc1Y
Wd6Kzc8/6D8JaZa8VCJwWy62PXNBgH48MeWh2cfAULBUWgezwOC+cHijt6qZfqGfnRpB/vSNfvgZ
fjqbKXy2tc5ggYtNXh4pNN+ofrMh3HIcXhCzfZ7YZ4OnoY/O9y3om1XiLRLm6XL/W7z419+JDIul
9983FrsvzUv+Ur9/tC59/3PfrcVU4mACNoGeWYb1keSAEGFpKlI9yB1MSovx+5t6Yf6G5MwejGkB
2w8qPXjC/aOXQbUX7QLYG38MgM3fUi+0k4z1/UbikI8oisaFbQk+LZrJp59pTJyac7JReyQQYASp
J0aQILhD2GdBB5lTrK+jBScEl2s4tLWefwlPtCE4PMpVTMGa5tkLjiiWWvkwU0q4HtS0uqUGOn5i
r8luPFlYRjg8Mrpl2oa+d3nS7zOF2qkVCPHxWZB3J0WcWRJ9IvQvPkkapYBq7bQHQsT1m23qgJRo
C4COI5sVm79aRzmN1LzLaQsWbeDiQw0Sl0Ry/0SV27gPT7imiKaRp6TuIS6auZGq+4r9uHADTe0i
VwFmcJdkDDt9jnXG4DM9qdaKCo5KT4TO9l4xLuUyYqslCSAMG6AJ80WmQanaz0z+Dk5bpeeVEabH
bILsHE/sH2NigZQdmJxnV22kicqV9Vq6kDHsboyyrhcuQ12DyQXSEfkMhTrxBPk1g/ZQFgGENKAf
FHubkbZPwIGtCYMkTxJZn2ed/eOzEtfUElQKVXCehBNXeNZIrd+uCseJ6TmSyEUSqrT5UDtR3Bkz
biYq1Iwu9yuG5Y89o+TiIGm59t4OZX5jZqV+O9SOla3qumZUidalHmSjCgmOJLVqvND7GF1zOdUb
GX9sju3ieExGk0B1iAtSnAyRsFYxR9IpTA9dp8tryYjas2JxUVLZptyaJ2tlEnWyryRBdh6JRPG5
mdRLZQxURtY8Lessjjct8243DEya3ucsz3ZisXFi/DNuysXamS0mz7zWqxttMX7quhlutEbS9mUk
0teRrctlvlhFQ1mMa2Wxjy5VHJ6+WEqrxVxKGfkIUT3p9lYlwnvcFcTT6FB2PPoYufnrxaI6z0FF
RTbeshH2N9PbxcxqkxHbl7qVu3qstlujKY1trdY2TqjWuTAAG97Eizk2Sci6Lxtwk+K4mGYNAPqD
B3eufIXSjNU8Gca3Ji3EWlu8t/JMpUa7+HGVUJ/OmsWjqw5zt+4X366CpQQL7+LmDQLQR+zlsfga
AyWWYvH9EvfDAty0lXjBFzBsRg5kO0AK8fWsTIvkY6dXUUGhoHMyFdvVvOTfUJMowrX3dT52fhRi
dKEYVJvO7cWYrC8W5akXuJWNxbjcmFiYtdCi8K9Ss3WcN8od0oHwqDLD+VzSNsiRQLusY3vcTieL
tL24pbPFN51bve4ni5c6AkZ9Li/+6lqYsAAa2mTHPJVHaLDJ4CdgWTa9ihZm6cz0pIDmzUHLgg3Y
KQv1cXDWwizrc2sQ6aaIK3M/UR/hx4v524mq9Dn/X+Sdx3L1yJltX+W+ACrgzeBODnAsPQ/9BEH+
JOFdwiSAp++VbJVUqm6po4Z9b4QGUpRYJA+BzM/svbYShMdTrF9o5mjim1J6cWTarUM9D38/HNZE
3A55qp2o09GZi5Fja9v09VyiCLeCdCsDu/vO9R49Vpe66bgffzTraevad4mUyZHDWio7JOr2zkai
BsXJWZ6GvFvssFY5JwNqxQ0qrymOSBQoaNIy2M0qGwXim0pJ8cYv4ZCc4qkMFd5e/vRjM0YBgEOc
cTFy7RlVX+gw1wFhly08bEsB5YBwyqhNzf5rWqn9NzEDW9RMejnjPKb1SDxbHIAXm4Te1P4SUh5V
d8loNfdW52MrGvrC+zRcxCFt6+gnHiqMayPne9vQX4SaozVE5P3kzDB2jNkYzUxnmqz0LztPk9uG
VJC7pFx0+5D+ZNZMP/E1epk9kHpgOlFFnZ5u524MnE1rFomzbZqRDi/l8D4VVV+9SJWTg3hBiJA2
Fcq9J9i5REKl6qw/+To/UTtenZTdvggYqJo07ci2IYyFhJsjJpJ67F+2hskvmHCCPstBFGJjtk26
739SfSa05Zc1DdqvwSyYS1pD1+417gxGHrWZlrTjtT/S71k146FsJcsxAbbFZ04IBiKSzBuACtgg
7lqtxdaa/5DqePug1lWi6IMQkrOsX50fsl2tIHfGYFrhqMB3gd8CORwFHlBkzFt3cY2bxm2+pFsn
CHHc6ar54eiRIE3ejBG3WyZK+YExU79HdAJ6T0H48g7fDLUlg7i/Xqj9bxOP/2cppYqif12C7cf3
KftvSzD1df8owVjzBEqVbLBr/lMJxlqYbSXeKgLaWA//vQQzFRrXtyi06HLRHVDK/60C00nGQoeO
8QtpAOtraqe/oh//+Vf9oXGhBKO6AWrIT6imvrb+p+5s6gXq1bJMIl60ju61r4YoiCvLriOt1dsr
y1UKWWKTzC2Lof4Vgo57mWhW6+P/iAsClwKMO01ZxvGmw99MDtYwDXe4gIKX3gOcr5VOEDKELal8
Vmc7eyXr6MZYLgVQprupICcW+iSbkDbjB2ipOT+JBZEOure0u2jHrHrSvRXgX0U6qd8PCJjtYb1Y
gm66KhjpHDK9cLZMBhjSi4KhXWzFr7Ic45OBGnaDsdaCdwO7pU0aeTEXfX3tlo51anKnClN+j8iR
q7uxayfmXS3ogmdWSphRvmIfb3Vqj/01QFm+ynKm+7av62eN62GDrBcC1DIQCGNljONQopJShIgz
PxllbCc42Nvs5IuGIie1/VNR1B0BuGSxIIvG2vOIlh0iq15gfMU6rXPWFUYn9iKD971lngV7Uqtm
JLkBVVaUipQpcGo7xTPOLwgDAprkqll65Bo5dNSgrg/6Qi5By6jM15b0yIfsHao0HTmYZi0KdMzn
VkqxZyGsIVweg0A+SeOiN808aqQcfyV5OTz5ZB1tENylKgmcPUY2rUm0Jq1UM6qOmOG4QHRiEcbL
XbZ+UHcad07a1lf9AFiwGYR5Yqg6I8FFCg/BstxXgVVCiSKfuW6Bi/KAA8iySCaZ7NLjFB3mAwBc
RC0lg3yGizB+mBiE7UpGGh45+xT0UoYu1sSwhdm4q+N43QvmChubxB2EKbMbJdCaDiOu/peqLtNj
PYoasfBAFwoj9+CJWH+jsEBpzTrsLGwWTBiO/bc80bt97s3LoXf9jOvJyPeT3fp7SnxQ8+u6olRb
kI0bWnXUC34qnNnaJuO15ndTodn6yBzcmNeDG9v1tShlDJE+dyL2XCx0ePHCdipjUP2rt0tkUm69
ceCjHVk0GQB8mAPCcEVf2obzUmPeQGPUFCLfkiddR0aD7ztFLJ9Crw/5Q6PlrmbtlfL5qegLd9/W
5JzXpeyOjjlyuROcdVk3fXz2eM/oHJoyMvWCz7yTQ5hCNN60sqr5aPFHA+tOJgIB7PJoJqVkYZN6
dDFog0HaLg3oOMYZKrHzZbUnY1u4+CwxsIEZtWBc7fq8tK48Jn8nS3PnXWsN9f2S1nNEkEO7B2vl
beBzYWUb43ifBE73sTYtjKo5dlkT1c3Bz6iUeaS8q35yzJMlXOdIRRiYm7RLjT3lOKHM5HyzbDWH
Txep4NYYrOIwaka+q2oqFhhE6TW7P/B1wq+PS+W0Z9/1JX/HnsGpWckL9CLL1pBle+ukrBbbrnEO
gYbdrM6Fu1d7zP2UDhXsrjUGytxCL9x0lYyfjZ6KqdT1wtro2OG3qPmStwqu18OU2OXD6CHAEmbQ
0eyxutj0gAq2NVavrc+qaW/mrAszc3GemcrIa3oQn+YBjfZQVqw/W6N5g1LvRRWaV+TfPlB/NzV2
Yirat7lfG8QylYn/3ElZi7nD+AtWGByp1M9HJIq6eJnTMj7Fdh//0qyhum/5WLcVm59ni5z1Pe0P
h4qDPjwaiE4IWw7pB1T09r3qWm8zWoR108jSP3kEUlwuxkKvQafKWgU1u5ce5qHqL4bJST5TjCPq
QS7qY0z22dVkOW2E+H86we4kGrqa82OT5eu7SXAS1H+gAUVrcpyjVZ/JpWi1JxPp9M1EoHcZ2ppR
A/Motau489avNc2b0G1XgtchfvsirPuAXtaEIJtVY33RMWB/dA3WMVCJH+npiI1pBKTXAtv0nqTD
+HZdCgejHRPrTTLzccgV80zmauVrF4M/WdEAv1gW1OzZG/xNjzjj0KCZuLbKVt9rYuSUHV3BMGA2
NK6oJbAPwpBwaCynMtAE9yKmHflBQHsk2cOJ1lnbsZhcwbiQJF3A0GQNG3ufrW/212h00wNUjTkq
RM0+o1XU6fUHQC0Vi7qv8wWK+aRfE3xfYCNIFu7bH361kad7yU8KnhusHKMZ41wHJEuG/UoJG9rm
Sp9blGXBgkkBy37Q2Iwaknu0JvnJ+0Fnd44GFBBO5V0yD+QyaoiAoZWQ3kQr7hZnryT+aRMYVXPl
Jz0nQa1nT4JZz5aFlLyBTAHEu+kcNlI/aG8dGlmC0Rr+YK/3CAxYScFH7BUT3GLNdWf9cMJ19i2R
q+jhlVu5N1KD756xjKKNhDLONr57qAI5U36mbvsqG/AtUPWgcLF6Dc79ONu/dDwuWHHASNznRi8P
zQ/WnC4OsLoBzaOvYvuwZKTwYIx3zrFd6DkBJ6DRA27MY6oIyvpARCFZ9tMlYfM9NJuZp4TfnUyS
vE2TDd94nsJVQdjryQ2A6QFmLxWi3auz5K5T2Has7MvLrElYzbwgRyqO8lEEtXkXj233uiR0G8LO
u+txbMzrgFv4HKeCIDsVLwKAJkNgzu0OdkxdnkSoWweXvuuIAc8+GPivPqxgNVgi512218rAPyJN
MT/tunDeHV3zUTOUneTewxZU2kAwghR7LGmHlgsEZdHyo6Zn1Adj5d9owqoPc5EZlyBdmjOA4/ka
6G79UFuiuwxiJwMMXuIu7pUZumqJRaMLNd1t31TN6ywzcZDQhgiyFCqPr/Rh/C2aP98D3LexkNjr
rTelzk3reX2ocp9mnnnNfbY9KXHAOSMq+KJBBAJ9mkTnIYCnZmHaXscGkE5HkABZeFmYuv5yAwsP
8EtC4sDCchDc308QgacyCdrCTW8kcJUny1YCfYKvP4jmsS9qXfSnQi7uM29Auu9U2oFTzcbNknYD
5opxuPDqQtwEKh+BXIrqa1WZCYIh+M5YVZCCvRpyu5j8VTqZ5ufVS5LnsmshUPe2BZOkXEInU9EM
sYPKJpqRbuxWRMD3xGu2uMCWJAirmiHcDNv1UdDxgUCRxQeJa2KnJaRBzMmamo+LOWmjv20bx+cw
om7auNIAlxI0yYoA3pbFptdQ8G9yLSfds5iRCoGlzLY9MuaMBjBJ3/gO6weLtfUOc/z8wI63Dv1x
NCKPYvqYZTVJpT6UvzwuxKkeRsRPdTW/tHLtjrlmFlxu+XSmiFaLxThJjisyF96oUo5XbSytd4ML
YMNYnwnEOi23jdEwcJJeA0hdmjd4ped3nIcpM6ul22qUeGFnjtbrVBYy8nNAnmUTpwc7Na3d4Ivh
tFJ4fuW0PkcmMMbtOq/iKhjz4mq02CuV6hKYV3iOMjPmm4FUuy0zsIx0hiS4kZOPBHWS2TWahmWX
OwIQywBjNoTjr+9Fw2UxVYYZ+l1fXgSLvd4PIDxvKa/lsUkUprKLhxdj6qZnofIFauoMluqVBh9g
rY+G9NZ3XEb1NTPhfKuvurN3icW94daDwe2byTssh/yxHgwEVkaKuCdlKDC3PqIaCoS3dZb23gVp
hKkvr0jXlfmVF7vLsSl9wDVkUtG4NCSL8yqv/myHhmY0sCqGNTs1cc2mul57L0oMbSh2BmE0NEZB
X98YXpze2l43P/g4HjwYlhbE+wZY0mYUa8wKURCBSIGFI7KbYsA0+IVYyA6FMoQHSkc0R33WNLdl
K/2Di2Qiqu2xewRAMXxwTMw3Yk7k3umH4UVbq+B5kJxMFo8OmnHdvV0JJ7p3uV6NcIQh9VHbQXLv
jLO7hQZuPvvaWH/Kom5P+lC3X54ZB29BMpKXCWAc4AVeKxz3GjMF0qguiKN1r3BvWu//v8wMHJZh
/3pmcPn+fxgb5Jng8/iCxj0sx8//+7eFj/rK30Wnxm/ArXGco/CAqRb80XRu/QaqB4UznGlb7XZo
2H83nRMd6KiljuewuqGyZZ3yt7GBof+GLhpyN4J31Msk+P2VqYFay/xxbeO5jAyQxCI41Qk6Nf60
aUSiUdaAWZJtI+7jYgz1Pt06tDF/+GT+m22/8WeeNtsG+ijPYy4RuHzLPy2uSw8+PfrHZCuHhBo+
gVFs7XwuxzwpYbpZ+zhZdvHEZrX+H4QGf16l/vk7/2ko0gTJinVyTrazcdkPEc4kuHyYfP/9L6j8
E//4GPnL/en3+9P2y+Avpmu8rFtqjc0SkdcVBdH/tH7/57+V+iaIEA3bIxMGx7r9Z7QU6x4uiTkA
xL/1nHrX9GKbfv3734N94X/5TUyildjk8WgBuzHVP/+D8r7wHX9xmABFupN4e/TPu27qEGZSk2lj
yMwFBnnObmAjxlHo2yEO8jfS46qLorK7X8nSM4vQmUk+CI3oiYUH79KZLfObeTaWGxqsK0JeYfjl
9bIeVocD3ZUxULPC65Mbl4BjsgqyeL3ySCt5RQCpvZDzLC7H2MxOJiBfEGZkVpJEYnkhBZFx1eda
/+mOHahA6iNlp4TwcUOg+LDvfLe4rc3E2Q+mDwDWGhfUXCKOaSRXxd7s4rIkOGcemhPe5rI+xLHj
vsnKNJPLykGES0zKIkX3rfBh/RZm+Dw7oTHEJaFrTm+EVlXOOz2IY3jDtsx2XM66sxtGmoYlkcxu
Bzc59CVPdZWa+kmsjb3t4OOhKXZjOhrynzjPMxZ+udFp3YF4Qdjk3P5oR9YCh/JDp5kTfUwa6Kel
1+1mS12VeQwQ0vEom8LtGEIHZHWYAwvVmUXHhdcJCfQaqgrVQePYjyZXxxXSsyUkQHp5LpxeJ35e
s5o4nJn5fc+VRQiJPViHJLWKPlw1NkCkl0/TSjADsjbuPcYQZWXtKH0n5FAWOrCRRaixmTUD3xbu
5POSTslbOZTNVdcaLDCCqduXc9ldTrVWXBmFJq/9OK720mzaiPq72TVBobOpEVVYFfoSFlo+bv2J
YQdj1J4lXkEwqfbpdIy+0TLZkda7pFpBJ3jQEovmXZrysslSbbcwz79ktducidJdnj076c6a7hQX
MieJZFNTVuWKna5oUaL8LPRkuNDsZm0fTHjnh6Jt8v2QTx7QJRd1NQ8df37bXI6+3oh3Udf2gWWZ
jGxEw/dFMVe/IFPHx7F2s2t4LvaHTAdwxPCjb/CyGHTmlbsrJqJVQ4e2+Xa2JhF12CDb63lMbFIy
RwMvLLPSIZxLh/rF1kvE2iUr+6tqcWfjpFckc238JXU2RjdhRLV1/V441nBu6RRo634YRA3NzZHs
L/sXldjMJDEoho6FEhk4aCTz4MMBS8Tfdhq85egRsjRE01i62V56RW9upLlYaCEzaoD3fpqH4TIf
DPTvWFubV61crT7q5sW6iQFrFlfDECeERQH8KXaNlbPvqzIi0Nkim4DAuxUme61Z5sTKzSvPgZFB
CJDjSnB9H0R6aZPu6aGgTEAfhRbjjuvRthm3wL+2ntuOJExSd9Jrp8/mJyZm5i1MTn8H2TE4gSDo
bsxgkXBUE2Jx2sYah41h8scMC6I/WWD1FqVVLFi8hZoZsLG1MieqXQ+DwJQMy5035MZX6/fml0cA
7Wc9mOQegbZCFWkP5MGPxYIEOMtOBiGi+NT0Ktil3TiTVaibg6KxKA5TSvSjPSHbZuCtsKha9mC4
ayN2yZA5l0XaLEe8TD3Kyzw7MvoKDpU9LCkeeqcLfSemzZX4n895sHpfhqYDZCR4oP6iVf78Ocj/
kqTmf9umxnFUpOC/rrjC9/Lzvf9jtfWfX/F7pWX/5jIuwIn7E0zys4T5He/jsIUxVZgHEo+/rW7+
bvDxfNhSgU+uoc7z4FOa/F0i4+umowceqhv2KX8Rv8dX/dPVqnwwLroHKiC0Moh4dFUk/eFqzVhF
mzbZ7VFZkL899Kgz4Sp8zn3wJgz6iT51yy0KEG9Xkg8RFr1bXphw1LZwDfTTClBmFwdlHbpLkpIi
PkGHMzP+55g/chNMjxg46iufYMJDOWhnYnk8DiH9vRly65p/Yb5fq1WE3Upsbe3fUaUhXdb0LuS8
bg/ljNa3SLPxGr/3U5tNYHzNNmbNACDBCcoUEG95l/nFnVNrmA/X8tfSdoh+h6x6gDbbHSuNHUji
YkqcS/5LjDCiry6zxemPMEMOXbu8dhNRQUapJpZtc7Ya/6jrXQ2FGcC163TfMBHQmfjVYyEIqrfI
Jhp8bvx8Lt5o/8mQSoLHWQ7vjkQ7LlNNbIQFLcBg/Aow+dAig2ZiVhML1zo7R2cwz04UDtjMRmnw
mMcHcf3tDtUNQ5InP2PwNybtDroNp1QZo35NhkMlndMi5XlMpveKU9kOtAtLaB+O2+/Qy+9ZUg/b
cQW0wA428pl6byTpHuClmT1YiHbB9GRMoi0kpWAEGLLCgRsD5rD9pV0GiOR7uc8TiIS1j3gwrn03
7MGoEUTHNERKjwGX22x0h2/hFTE5gtykkR/Iw0wGVw6pjZmf+audJbWBv4vt8jlvWxEljcdW2rDn
bcsQKNSq8VhkYjmhOX6IST1sujo9xLJ7nOJVRLJEhMON/QIcjtSzwjni4XnWZXzpZsVZAFSNjWw8
aL572xr21xzHRzH1j5MZny1PeTuCIELD9Vy0A4kVhX41l6nYdItTh+tU2tea3tdns47bKwYX+qEX
EtWFdco98kQIP76ecihp48BvmwZxwF9QGlvPz1mO69mznqxiS/L1O3kQDdHARnXXT+mDTgMe2gQX
kFLlPnc5PGe1lRSLY0bONOrvY52uOMBc9ivF6r3WGbuNdmRDljAOuwD0bEbx2PeUZjrm2Wk2NpYM
CI7EeXbZs8OPLIsInFl30DF4bJjyoLUPjtA6/n8IqYQPEgYMs4thR/0VGBxHGTOUbWdUNn4r+MYa
GnbswCheCL2It2TSMXF1S7ktA6Ja0rx+6xv7HazTOWlSJuWElIR+3gMnJ1JyU1s5uA8V7lMzzAmr
prknTsXdZC0xHs44fNh1/K0l3pfZ6Tgh3P55tNSKx3P8aEIbiBwZKFQO4DlcULKo/QWihYLtGmN6
Ev4SEtRgJ2EqM4qLAo4JQo/gPnPr4nIyYC1NIAc3ABU+a1eS1KwvMKDJ097YTlc+MdpHkFG4D2vC
J1UjLOLlGhjtJJkWWdCXiUDUWaoVJVHpPT9wq6VNyBW7MoYztEiXWhMNeglraFKjOJNvP8oFrngq
rS1yoxvSKIju68ZHh6ounJim65MuD3YCpKgQ6SHIQYXEa3XlJMWpGqW50QZyJEkt+fAWcZHI9Rin
WlQl+tkV9gObWp7senmadNiVruCRSdmaUb0yDfOyExjNuz4L7uOJfD45MOK1C6wMXDHzlrUYGIkq
7nZ4LJCODUEoQApcFP38Pnost/RyiKxqICCNqdOpWpt7wCfklhi5vAuYvnAwpcNVSmb3ppiChijX
2QpT9GqMzu9GnG6PWV9SfxOwHXU6zPSlbdmYBhIyppAk/bgpWJ8FLQnmJrGpGDtthrbvN9VQXGmZ
me80r7uM1ePPG+8a/RaMt7EVOisBnA6fAe0Aq9/+ObaUDrC0vksPg485PVvJDPBgfU4zZvbkSd6i
7hGRGUA6F2W/ROyH1hAwFwuKHkTzQpyPJlLS/MRrAG9+dsyzPdqEcLrWzTAJDCC+dsiG6Wl06mNR
94+im+EpiIHoHOl+s7jtN4SS78W0IkwwMC3lehvNMb69Qpeoe0S93Or6rEEQH4yQTL1zjt+MFWbK
SpVrQmcvE3plz6ebFyMKPOeRNJodagIqtMSKAs3Uosbo9NBNm2fmwESR9ugIOKtI4BuAk2LnY+rQ
ObceWR+zYFvE0futNfbe9sRlGrQfi1vd6ZVxCbToFi1SFa1G9zUWxTfBtQnWxDkLHW99hgCC1Mwm
IpOkRnSeOLZkX8vDwMi+8kpnx03VHh3fEJsgs9tjyq0VVat5HnTpHGTOmzIa2Ztu5LcavpldUvK7
xIxESHBxN7EnkXlr7bMhTHM3CADkscP82XTzIaqILtaq5dlCgRZmGmGkrJuJxW59bT+hPNrxET5w
6t6lGoZJL00fVm7eZ0IF2p2vyPJLkW0h3XGPY/VBX7bciqkl9g96937NJm27ptZ9Vmj6ztLRdQRi
3M0w+A5mWRxKksjDxp/XkBx7fLfARncFEWohwe55ZCA/jSY7+3Jci27P3U/MDvh+aRFmTLciO7fM
beCs7i6u1jYCFN/x8pE6D1g9B1w/WTuyV16AgENMEu3L3PWEA+TyFQOTvFpsTV5Bu2Gju6wfXc+e
cGAooXfbtnQvuWKB5Cfjkz/UJ01y/WRBcHa14ug7KW+LU/zy1hgfnLe+NnEZhKXDhtIMGjNM0Tuw
RoLw5RVesnEIkA0HicW2sZJvjlT7wBc9M4xGDc9+f+8Z+QOdEsa/fP5a6hkU2dy+w50iSt2Xn9rQ
EaW4qss8w8CkNV9qU78npQcTToYqdfabS9jGt5qffolazHs9ac5do30UE5pRAjQpZBKTcABgbgcz
Hp5TQPMbZosTa9YRKS6AqqgJzAaMenJj6XjwXLVCBDvWb6ZWxZ5q4loOK+BkWbUf7syWyuURrT3B
RHrprmAaK2dInrDByOstnddzMglJiG4SsK7jAfGF/JS6MR68QZ6ttidgO2mzbSs5iIyaIAoGOG+l
M9pbHW0QgVgMCnoXoAksZQ4MsGS8qW67A8DJ0p5ZzmRxJZuj3e9ZP7Z46BbWLG2+7WvUe5DytsvC
G+j1T61cDklXH81peUkh3+bBpAFcplDG3aREwe0tjqgMiyEMamB1yTYeWQobMr22mT4wHj/lEiBO
XVj3ZVzHh9ZxtFMwVy8ZK97I8FslwZ1+lSOfiGlzf85D3uxH4vu2AlLVRk94a8eMXWgrL6c1A4mm
+ayARjUhMDitEGEzPCI1I2zWOAk90b2YlQaLjZhunp74uu6KgyWYALo253m8drglk4Emfti7CzeW
1r9mHNpI/E6xS4kU85dqW2zpMKueLCDTnaguUTF+c0s+NunyzVynvfKy5LNUJzEujfs4Nlvq/yaL
CqN4nOt0ZBGjGRvKEy105gBctjAI9+jQe0CBXCNpsU033CAJ03X9Ngw2wE7n/EpL+0oNpFn6mUD6
xu6Uke7s2Knk6VbLPyf+7h2v3o1d0G1j3mJGUO18RdD1zgJBbVf9i9eIN4K0uMqt8mlstEPlxSgj
VgQrbbTk631i9y/pHFwa7XLfpxj6nHY8yDQI+BTjd5EVdzJFUl0VNbrHmajiVpt2k21Ob25aeltn
It99QWYbWlrwyN39EItyVxvpZd5kt7k2XzlpjrzS/7XCYqapcqPaEOepmjgu1lfD8y8yxMHh7Npe
WM8zUYuxed0xLUjsFsknT3HkmvM3DVG+gXDkRtOE7XLBQMtGut9Py5xvMRfo0Sz5EJeS2lBFtdK7
lPpGs4S+dxCaYBibg+sEuT/r3upklgi322FgPms3DQHImX208QJfL0X16LTuF2HY382A2AtLI/t8
DYwdPB3tAlLftz7neDltP4v+358GsJdw/q1o8z7r34UaCfxxIvC3r/p9JOD8ZrF2wRiDcpOtsUoy
/X0k4P4G7tqxQUHw8UL3/YdrxvkNSIiuVhWM9ZmrWfyjv48EKD1c9W8LGBlwB/yl3ct/Nc0wEWDz
ov4T2A4/zD9PBGgvWJrknh6hMH81ssm7tmE57IjjBn0Oce0Yr/ZtaXskcgZuupOSWdKSxDc2GLlN
3xlWWOHoMIKEAGDdK3e9XnihX4zeHjWSf+xTVq99KyBNKkj1tNTPo5o6tGOFrH0FFlh3zHhJesqe
YY5XodsEIw8vDydilG8jC75W9dSqxzdGHse5STQidoVf/SQ6ppjOuVNPuqWe+ZGHH0cCd6BrHO05
fmoRjSOl4w0Bra2jgEp1QAKJDoWDN2lR75SDKiuS6j3T1BuXqndP8hJOoBKiRUfp6fGCWupNRS0t
8BJ4aEthYGqc34t6r/OfN1zGFzWvPKbxKxz1L6NjT1HBwUD4+mumDoskuWQdsVu8+Lya3uMCAQ/s
ojpf3NhlacOZU6nTJ1bnUM2BxNK62vQcUVObfszqzCrj/jD8nGJYQ3HbKrlj8qKNXeRm8nJYJ5UG
c6yqTOwnZ3hzOCFtTkqdE7NXR6ephGzxYHWgRIx6N2ned6aO2qAFCpur05dTuFHHcZd7H0Iu92M2
yo3aXVG0yG8Y1Fim1XE+w0iN0JeWwJ857MvG4tgv8e0UrW+g0/AgNw7Zo6euCU1dGGaT31fqCgG0
+StWl0rL7dJzy8CBQe1vFJcec300b0+duo8SjZtJ44rCtkHL3l1WsgM3W5z6rt9jxUJf2NhduHD8
2uq+Yxp9cLkAmZ+iT0yTd871jsEpXVyv7ks0NhlhVtyhmrpNVx8Q5xo36c5WVy1Xbo86fjOJAokD
hdWWgUezr5i0giHmtta4toHFg7jSaTpTrXnBMqGdCnXLV1z3mbr3M7+5pke5nrv8ejR9TPSqRugC
NI7FKtgb1OK2VJVEnGHZJwpDuzSSZida687wO3bxzondy3nJZhoA6hNMGTigLStaO/xFqnYxV0T2
UtUzmapsdGCT4M4A46mqZ1b1j67ZHQN2aiLfl9OGeS/ANwomVIkYIVQNZapqCnOGHhVesXWr7sB9
tgnmTu4hJ3+WqgazVDWmjdRlepO+MEqulUSIf7uq3syuvxImzRlnHUP3Ei890zseF9YmKjHepwRc
LUozkp37jYshnbEKUGgERDdeUQdhYyOD7JyiAjhdI2JRxSZv5hfJmGx7xqJk5FYzIaAu5fM596pQ
TYL0a6VyJbb10lClbK8BMzXtVafz8Z8HVfAKct5jVQJ3mf1WIyaA5Fu9kxvabAgg/Up7anqNIQ5G
CkrpoONXpLqeAtwgLfU2qgWQNaoEjy0mQ4mngxJQBbqlSnU0kArk3AUhX/RqEZxJbGjxSzQ9NA1u
35yaf7WDOgzoAtBcPQHw5CehP8jWFimZsxP0DUNlftSqkdAsjeWf0c9UyovrHXlRmAswAN1rOj+v
36bDRTVNhHWlxnHuMszO1TDtoDmA9vQKHqZsfK0oLo5aOsCvmc0Xbxm0HTas4QSygw3WLN+XCpFV
45fmxWLPZyi4xX5chiSkG1s286RP0TI1+YHlU/6AYadF/BYsrxJjd9zDjVl9nVGb7LZmYBk71nXV
PmPWEOZVg6QYJM+5J+x0x8dVhLoL+QfFzRY+rsL2eo8ITr7pN3H52NCS++mhsFUo0mx9QAWl7rHL
95QplTZZZ6810JZV8a9l8N6cufz2qNmmMruyU1/bOES0YESrfurXcT9MkJJWvakvWxx8+6JrbZjO
nbhru4FyMNOni1ys2W23Zu6Nkzs+8ppO8EwvI/b4Tnvi8xuvAU0kUZv4CMrWIqAtRYypTyM87oLt
Z+J9BB5Ww9y0pqOhxOFz5faMo3lt9IDMziAvurC31xr4g/ZktXpwXQlBXaeXTz6C2aPBCHYjWRIi
Jo/Pi4/Inmz0eQvpIoN8slQhnlN5WeDQYlqCEHjoeZvTkTzdIqbglKwhw7yUzTZum4NdCobJiJSr
IXDBrfjiGJhI9nW7zSJ6qmU/GmYWkS/M7HfUn1vaZqLMGF8EWr81NXHRDs4tqTw3rSijVSgFmWEf
Y2niCKW8znT5EHtMGd1kueKMomUwGbe21cI5Ur/JzmrYIxqndl5eNDu5sGVzGFqipmXRXZCAtUXf
lWBvaq60AGpCMNZGhF+y3unSVQEuXrmP/eZ1cuZPjrC3PDM/cmncz2R7hfw0yNXhQ20KRTFC13o3
M6XZE3InorzsnqesLUNpMGh2i9cUrXycDAi3M2TknCK7ZO14BVm41SSc+aM4466/wK4PRdrk10Ws
VwQRJ9R+IbWAgSLrewcRMwaGTT3X1/3kP/pmeZGwh+ShR121nmNNRi0eCqfpGRrOexl09xP0L04t
vhfa71NBGWQjQOfmg5BrQ97ycbqlYo/Z5tb2g6tRTw5y8P+DvfNKktzKtuxUegJIg7oQbW394Q53
D1eh9c+1SAUNXGgxq7YewptYLwSZrMyoV6TR+q+svkhaMtLDBRzn7rP32luOpoemrndO4RyagZtC
KwmxV02FalhXhwm349rqi4cp48/N5NSU4Jywrt3ggHQDp6OTHTjuK9WUXPMLj5pS2BVxSN5nnZcd
astq8IbAMJpTWmhG0KUc4tuu+mJnRkq/ig77H3J7abtBP1AgDYX+jEF/2R/YX32J6mB52Pfjbgyv
bACra0dT7XVTFiW+dyv9Dd/wb70TZARn9fYXa8EPvVx//Mw/TgH0fghdGMuej20fnpYfpwCXxSAL
QwdTkvB/a+z6fTFofbKAN4Gn0Q2Dfd17W8gfyS1gIYIFHr4sGkGWcpK/cw6w7cVl9Q/70LIZhMPH
WYBfgb0gJ9NfzwEIPbCVQqOhGLLon+OKvMJYRZgJjXq61U0VX5uVVSAs2sUDtl371Z2aMTAEd6wy
j6BBt504hdFA2Y9PXYarRhEGPOn6O4cHeTkVZO8naWZPtRH1l0p02UXI/Z5tXemsS9VZbAszdwvb
tDjWRbl06E32vTZ03ROjVr0pfTd5qCrVnfiS6F8AnNcJO/cx32osVO9xRNC0ZZTWM2mWOBhioqcb
2+qGe8OzB6hszBxHJ++NlwLDSYE+snx5UXy2GzDIrJJBgeyGRx3uYcG7Nykp95ClwYxsb4Lg/+zK
vrsZVUhkdp41oHiZb/VbI7YFWxAD/s+q1Sf8ZM48mQhdpEAWZJueoqHaIcwQxZQsNGoLvKlAmmG/
lrzigZ5KvnOM2SH50PtUDVLM9EqbOn9pxb3tkoWY+U0rSv0OgIJ5lh6V15lq2vMoNP0648b4xZ4q
72XSh+jU1qNfrWmXqSssnfMY0pfIcD+kCunYaj0GYBff023le+HnvlW1e+GRM77WZUFUN4kd7xkY
mtefbG5kqEfYwNirNQZtfl1ZVFu+dHyXrFFPp5kNLrlbh0keNgwTjm1vY5u2UnoMqKlyaVt8hlOo
PzKjR19b4r8X0hfdvtNyUrNpnjeIrNX0ZQBgVezqoSaIgfhjXST4zhgI9amh0AkZem0MxIZWOgz7
m6mhC5dpR8iryZg7bTUUuLo2NZpW9Viwu7DXPjyft7Kf0rucJf1zNsXzBS2P/vMYtuqt9hP2t+EU
y63eF/6Z1H+6jeG8XpZhuuAgvGrrDzYzYpQ5l6zF6IkHeXSKtIKyWjsd2HhKZnTfKXn/5TsgEb4R
sETtHZwYVgtE0Vl4isVCViwXxiICa38e4DjuBlwZ1zlsyiNuDn1XLnxGO2nhhy3MRh1jEgEDAub9
QnQsOyvZNtKKt5B+SeZJV20InGGp4XMBPGueacx05aFaMJE4ReiEMpX27NXLmdXzODuye8NG16zz
UVmrcSFPRjkYvm6hURbCbs8mYUJUJlRda6FWQseOd/nMhALDgZoDvo1WmCg5sBk5Zp+FfwleziFY
5fnXQL9IHni4leuFmJk43K6x4QN3XHiasVPnW7LI45nMO+e6kR2onXYQ1XqvqghElTED91IFvDCf
rCnULnU9ZCPPGz9NWMyj/ETjRAKqP5UdbfAL9aBRU5ISHZlcjZ2l8AhJyTLTKADszNcpNJ2cjRqD
bjjW4ykaE4NNMsyqxXx07YV2+E0sRKvYwMGvFsoVaun4Yrkdf8PCwCJ8ovEyw8UKF0JWZ3JS7hdq
1pSNHUIF+cIhryMS6b22k++MLeZnfeMZ+ONTi1exqKYRjw9HZaqIybaPU0JJ4ZLWq9nLPKL1sRBY
EF/6AvsadC8/W1I1l2ZZahuC4vGX0AQP5gLJu+ezPwXsVJudW4IRkwMOAmGBFsOP72+GBTfmvZPH
0rjyrnRNDSIoKz0W+xYx6atIjNjcmllhfJ0EWDHgbv1rImUEhsKUZzfXafKpYaxvWk2Ap680Fgg2
fjLO0X2nAuGFHIIam52XQ84AT1VZZWtdVvaWfsH8UtAMcu4GPiFuaen7QvO9yylMq201ePpmHMPs
1E2RCgjuENUy0nBtOhNqsB2JlwHmZqDMmtJVnYt9Yp2jqX0ecvDPBhsRJ41zkA1G5Vi7hhUNqmfe
8r8ZYD0ZbKg4urYAEz7nkVV9rXG8XmKoFFkgSmEZq9aekY9szvinEXYpTszIbZ+531UvetQIUlZd
Gnr0F7mae6DXOCpXQvh1Qc+jqT3KhJ7EWMTGbWi8mGKIr6C1WPtOIC5EqTN/Jxycf61Mpd93VZg9
kFnp4KUNeDQHSd5KIEM/c9WZZGGj0jljRcM/Yo0TWEEtbKmybRc/iRPpD4PwoFGmxhhd0+fQv7lJ
LAnKumDdVtSHzUTuq3brW3X5xMPRjhEV+R1k2OzWNAdMn36F4O+W8q0czfw+J2S2qke9prVo1B7M
ZBr9vejY/a/iZnYvZjU4W6evy6uY2fkhyhRRFdw7zb2mmv7ArVrLeZ3Z5QYhGzfkeCv30OH71DxV
szl+FSKft2E/9fduq6Z458vQyQOE/vy7rFFkrAnZbwV3pX2RVd7uPHarVAWLsF5NNvbIDmYqR8Y5
ie/YYaHzkAOnhyhr4rMizKARB9DnG519ES2TjtPvW0OjayRs6mTnaPRirhZL8lsdpiXfOwgDTWqx
E5GyPpemPm4mIhBIcyW7GirsowfStDpjiqxCjnwdVzD2THW0+xgKbDG10csw+/2un8uc3UEkk3Y9
gccrOGUm2n3FpgbDZF2dURsIlfb9cDPOs015oywgm8TzY4e/Yissbbj6+yr5vylD21qk6j+x1t2X
fI3/IqRbv/3IjxHa/sQEzfcpdXf8iW8xof4YoanO011GZ4rwSEC+t7X94a2jhZi5GgYH4rZDedwf
Qrr5idMPBZoe9ClaHcXfGqCBSP/TAM1wzyDPUI5Nz1moDT9b69j5R37FxYmCME8HFYeusSF/TRZX
NdFD39oDhZNk0x61ytZeTE6t5aqpQ50NdpqT3XWn5NKNivrCyHwNvTUdDdJGpX01x0N17HuGThab
1fCAo1gJ+kFTdRR8Zk92VGu7qk48OrlcWFJm75mHAffNXnenaEtELz/gHAmvEj0XxcoqYu16lG60
D7kwrjKnuoIrAyVTP6W90l7jFptFlw01VrJuSna1n2JZGaqCIs4yys8uNN511bXO2qrEe/+ocwNI
tjyZuJt3jYFvvzGK9JFdc2fv8YEXl9NkiIMuBKEyBqaY/PjUTutBuOZDi/fKhV+lVwfLILM3OqV+
xdfeWPNkAVrAl9SZqhQX7poW1QhZgZly2Lro/BsjVjlSTGGqu4r/91HDKn6EhEKLbEbT6feaK/1q
TEV0Umah0cCy3Dyrwt4TzIolwqNjj4EFcjMMCjWmFI0pT+Vkd3EqIrtgBt/mI2HFuC/LOxx01Z1v
F/tsjrUrNvsazCPmWF5fULi6+c1JuvBKRXpor8M4IblIa559zJ2enLbDgdumZxWNxKtjGFAxwl/a
5ABqCz29GMbeeTIL71bibNrFdjq/hrHvPGoGTpJIsDhfZ4XqdvrQFke3qYhtF3O8tXXRBg0D56Fr
M/noKowENejkL8ak9f6qaIbykQ7z+DnOmnJnNZIZy67C6KEoNO/KnE3tYNoOFkZzKrRHthusKrvM
K7b49BjUhlRozxwhzHPsDJCECyoGM1dUt0loxAA9LKbthj32V75As3OCI3qDBpa9kpibadjyivuk
d4rPpl7jQNGy9l4lU/wFRgnbf0Al8VHGbFBjaroOLI+RPSqM4eFKAzHwKkTR8n2baBwsJfYFp/db
+osYiS8aZpanKdXHK7amnOLitBdnt9X6i9Gd3WIl2ZVCNtVSyeuHgRA5SD1QROV/5s4bPqCL5m8C
XFEN8x1cUoAhtr4pmzQ+4slImFTHiOJmad5lHY5MRjM3/iJ81QQE+eU5a2z/WwOpaRt6k/Vq5za/
XZmb1XXvdt2EGTVBd89ZomAdKh3/XvJ5wb7h9NZtrY3g21jq5eeYH6GRbLHRDlRcXblWrB84fTSE
R+cJFmhYCL1cF0U73nVTKQ7F5Bu71K05CITG5H3XVUnbYje7D1rG+njfmaE/0EyHxx0VmsUMTkHP
XTXRgHu3HZz+aaGuoHKlcpvZRvWYkTHl4EvY/EnTzGFdAn8HhkGXH9pYGb45gIVvYiEMOm37akNZ
MiLcaLWH1svc6740mgfaeKUZeAr+hZ143rrwvfRxdor8djQq6yHsKNYzFjh74lncwrsQZHupVQXz
dY8Iuym4Uo9zCe2AJDCodybH8lsPSA0AleMdxgUJz6c/vbSYoMnngM6FBIAZ1UYqBP4FvzLiSFNk
+Zvksc+ziPRuzYoB/BYRx/ihWfj0MOMg1SdRtK8ljWaUi6HGtVFPNgcCQbQcAI0QfbUeGutEztbf
9l6re4i3HBr95fjIjQVD83KkLJbDZc0n9lmlAugxVxTFaCkL1BgstBs/yXgYMuxSRn2JP9nYKFMC
ginbYZGG7QnKQDs/W7XUbv8zOPwWZ1w88WLpif/XrvxLKA1L/cb/uHsr2rfi67f65338H3/Bj0HC
/ETBrWBghPzr/zYS/BgkiENaRMW5j1skEXnkP+KQ/icTT7Olm2hjbO35wz8GCYdBwlqEM1blOp85
mLX/+399Gf9n+K38PZjYfPjvn7HElrXk236W4lzfIDeNUOy69GKQivx1kij0ng2Ho6bAn0AVsSqv
KkBufGWt0Wsmfweybboe+9q5zy2v54u3lmzX2/KVfWy+KWF7nIy6Ci9NhxUHqRHzyU1AVq86gNAn
ss9q7bXSphndNuvPXjfJEPXAZwjZhfRHPyAFsv3Trd4S20mfxYs+t/kJbUwdPeCS08qEOkLtF5Ue
9M8TlHo00wnyemJrBLV90PFP4NzpKGir/qF3DRpI5ymJrVWrOnzWbu8q0Dttz7+L2cNvW4NbKXFq
ZukDTFzJWix3jN1oD/5bwhGZpE5kbdJmcm5svEqP+ViyqIqQ5s04AoOTKfPZJh5Apyxa+6QZssL9
C1SvxiO6hc8n98TJ2IgZ/cjdPTIcSCKtATl94hyptzaIobwChwSLh1EkHeluQy5HVg9lvNZCwfba
LKyd0hPnmSRZRI8G/pmiVYHWUa2hu6X5SOhb0f6GmbRNMrkVlU7ALqnFNipMc28Og+PtcraMIT65
0gd6E/fROicUtlK63QZK0OAI7QD2c+vjQK/04bGBdp98zkajq28TYAyoXFbVb3GLeRvBFxH6TtTw
+0pCCWbTrPU4G/fSqLNdSyF4MHpk9LrSHA9z4VCPaIx4NUSixJPMeuLaUxiroyaxkidtqBtB5hn6
veel1YvF6fDSEZK5qycyFnhzjw2iokhzCzRIBLaWhnhYqamsadoKei9xLwejbPCzu1iPe+FScV71
F/rsO8+aUtpLGnFPYt/B0DiYrYQQmrugkVJmCR8iRgFCYDmDCezhFCAAYr02VOsFYZpZO+FUBveH
qnEpKs+Hx4r9m4aPypJXg+zHy0416rFqhWoW7Kq7H4yhfECVE/amNirvLtWBN4UeWmYHapHG9ipq
H53Q5aQKaHRrWAb2p5Hf97lsjOHCombQ4XZUkW2ZKb866tbSPDd7iz9udm4oThYPMoux+Y5hBW49
xrjXGXI4VJ4wIHIZ0UVVyupukKTyaviQw4qCRfngEg48OiF3snWredYzARsfvrhHt0rrI2tHnj1u
HUYp6LOF+TjWHLBd+oZxp1llenYgUm6tcOiobRD6U6y8/OjGIvqSjr71LU0b7QkYDDGwxm/2Ov2Q
d25Up69G54efZdpPty2o9YNG+/OIMdAsbeakRO4KUCHbvhyYuzyBYsD1q8mvUHvKdqfxJUVzMoUI
Af2o+kZmuX7Ipgic6LCkNJx0NFeEtxNe+dqddsAAR3wtUYoiZcm3airzeG0jy2x1o/F5WGtKH4fI
sb4ntl2wfaeO5dQWafJi57G6UYJy8VXVONaLZ5X5cX5HVSkqF1YKeDD1LJ3vvM6Ubwzrpu7tU1c7
2jOoRpUSfwGBt3KbFvWWD/IXyqFxBUfCmt6KbEQr8TDwRJtqNPD8DmnHIQSapvNakPu9BNtifsli
lRwNaQ/DymwMdWBUkNGa+TD7LI2m2QtSLl90fy6e9dmxT+OQGHcJTH4wvnQ8B8onpUoRAW77YDRb
NMoktgfUYFGGhGl7C2eDBTetTOL2gtRzDyHTInDYo1/iLKr60ls7fVk9aT4pYS23qi1zPdbLzpc3
c+GnO9Oik4er0NcuyiGVV9ZYYB7PYFsZqepe4jnPz0qr1clHUNxpUZRC6G+rr7rftvsZKBDFOvhW
HRVbN5TITXubvehiPgBAZgvtmwVtKVl5bZhdK68Kz6mVdIdwkMh9NqGKXJuba4KL444KgeqcxHlx
kaSW2scZpqOV1tjmIzUZw6Y2s2FfF5ZStFhn3aoeJvI5sCrxU/5n5vnHzMNI8aczD+7U//o/5cdB
5/2nfgw6DCZsB7H3vUMaDO8nxcT/pKPg6x72wx8z0O+KifmJLkPul4wfSw0YRMgfzkP9E7KGcBfF
xDYBTXq28XcGHZSXX8ccrmd4DOg2bFdJ/H/gPiRGOGfYiMygBSyUqREs3l569z+9KL9PVz9PUx8f
5Pe1JpqQydIVnMWHWSqMs7BNIJexU9qEyTO64g5l488f5EOrJ8tTA3HLQ0XyTHAEoBF+fZSJHLrW
CJ5KtQFyux121rE/tnS/0uF0Lu/Cv2wI+HVb69lAFR22vstzEphvlu30z2ITbcwQC9A0yWR8T1JS
g3V5jNsS00Jz8ruXP396tv5XD7cQLn6KjSZ2lsS+MdJGMEycbhkYsMAAWproOel982hburYvGQkC
9DlzY01zfkdqEnMMlojbeYCFoywWTzr1TI8dZ6jbRdm99kNX4C9pw8veD5PbVLjevkO0exqbTARV
xSSjWWCtS+qwEMSG9Ma36I6OFrdfxKZADYO/biYvugy7EsRNjGKhIGWG+nEEafc5aSL5jeyc2jYD
8aVVwzx922LJvbW1wnmmz6mfdlpbq2tgxB4xxyoH4AcQGS9ZW5hXxsjhEBdf2tKTLfP2uKhb+0yI
6LoQuW9sfafLt0BzGiL5ZXwAWuB9LjGvRuA9CrR0vY/v+nfp2zFKjYh2Q0LRXbTxfGjbXbPo5Ym7
FGqbnKUPfUjMaWU3gxYH3rvOPsD9ujeScN5a4HVeAKGVN0QTSmiSETzG1XKOLQLwvuj39Zz0B4Ic
zb0x9Cn6/iL1x05YXumL/F91LHyd950A6J3Z39MEpXFCNqgTYXK/oztNvg0KaNk6ZPV7cHLbuvTS
vHu1a2Ypk1qne2nASVoVym2N1ULY+JItC4zxfZfBnKo/4CKJOrBULDtYXfvY3JcNSDaa6bkcXdEF
sTukdwsW8ACIQ9ulYtmg9MsypSKfeB8tCxb6UObvCXHT3VRZ84H1QHRpeG13l/MUCQf03bMfNew2
wnlZ4GiylO6hfl/sGO9LHtwW1YuJQnJnY7MGyrXsg7r31ZDzviaKCh+MLNG//qar8/qrvWyUumW3
JKpEZ80UwZRbzUXdgIFOhbjHP62YdSzc/aCN8S5IrZuNVZONNelWx71SZZWfomoY75B4spsksszb
Sln1GqubiC77FjV0bQEXhXwEgXLAM1gxcynao290bEYTW59WIKwOXXq0m6I8LxiU69SNvzHg9N+6
PmQ7p2owniGHQwKXrgm329ZK8lMQscINCCYejlBv8UCXVBtUDV1OEbjygNR2+mhaXn3KWG9chKL1
bprGc4o1IY1+leG4PJCghNdeTOI7rU7R4xx2dUDmssUoZRTmESfzeMGLUFwCDMAWOpqEOT1E2H2p
RWPA2s2+jlQ4rXMl3FNOxVLQjbwixiC6G49r783KoQ4W42A9IeIDLuhmXd5OqkjOOjlhDpJ2Comi
sPVvduh3h1Jz1SkbsnWewA4G+aKO0soIK+GrY9enJ2y2lGFQPeWEWHYdd/oiwY1dhU5kXsf9JAgk
Av4XY1wT5DI1bTe2ybyNpqreuxnXXhV6+aMLpHQX6oPaRoMbfm1UkR80WxrfhgU7ykc8qg+Z6vyr
zDAm5G+rOkdCqO1A/EbhFjahU5CYW2fR/CAHPJXCU8OdxotJCAobZKKbMI5DOV3RBJcHyI1043Rh
tJ8iwqZsCyHWQufw7UPk8/7ivbIbxTvZJDugsOWuYQ6/Gwd0/FWEKLcaemBhIg3z08Q+Cr5mo6gG
nEbaOmE7BpYb+e3K1yIS4DG2up1lsBIG5jfvMnCNF2xgfPYDVlm9iWbC8lm7iHjamFyQT2gPJWrf
BR67/kLBqtm3TYHWkLQAMXSHWNyY8JEYeoa7YQHHCMXtxglDhEZW56Rn+Aay/RSnSfVsG1wtoAOb
vSaccmcq0Pss1epXGaqQFsJqiijhBB3v6EqvsBx5aq3RM/XUMeKvyfExercYkS5xP2gBgmN8n8Zi
2TMs3+VeE5OCs9SuGiGt9WY7PnXuNMFBwdmOGz+9arFiP/gWkH4+mN66TP153QOt31mdJtd+JeM7
QYHw9wjOz2dA8xavfOjdtOmEqM8y4iTC0ljSed6pVj4u5mZhzmvQGncFPi+YolQtWRCX94Ym82As
6vTMCsTbyWShME+hwBCocqyc5I3YYAPgTrlMq+Ga1gEir9wLWQmTP350YQlczdhXr3EEFHfCrMhe
cCgJonTWoBHbPWufLvRa4sO+nMdTFcX6dVWU6ReGeIamKZnkpawcHAe1U+D1QFnVroYxzq9S2Chr
bpHRtmltFkMhJLrPfKOS++qRBIjO2ViljL4Y081gyvRi1ITnItZEznYizxKvnbETF25aOt/BFuFE
VDIFnFU2yn3FGRu/qTSbMO62Gg2ElIeE24KWxY3APkn9tnCTQM092r9pHHny+pOn1/NF1kXhkk1O
y6to5t0opZFd//nA8k/ALe89NwPuzAbwbYoP05FriwJtimjFLFroEY+qJiRtb+zirzrNP85F9vsD
2WTWWC8aznv3+k9zkcxju2pnHsg9hjc0fdy69l8Wfv86wTJq07XAAtNysENgBLQ/7BV1TcRkW3Ij
qFNJBA6j+xV2bY7riYyCP3/dGO1/msh/eyh0T7AlBt+OnJh/HfOKRgfPTd4xKCdO60yXJGTO/38P
8eGtQawhF6x4iKqZq3yN/9EgH/RXteEfXzOLNBWOSpc1MSEpcPAfnkgiekVgVA8091b132lrCDxQ
Yn/+VD6++R8f5MOr1RRwnyAxmkFSSYaRmWRQIOu6v1GMSaskwjQyVb895t/yz/57+gNQ6TlP8kb+
a5n//BZ+fcu+Fb+YBP74uR+HXuuTwLCLug9Sx4Aj99Oh1/4EsXBx83LwXeoJeMd+P/QaxieLixk6
Iik43Tf4od+Ntt4niIT8PVyG9m9/8kHL/zNt//0K+kXaXyqw3uk/HH6XlcGvH8xuptmyA0a28RO1
bnEAlNa+MAkepVpQzCymBZ4qdXBwbLZR9aCSBSCr7vM2OkJE31i9vu2Tbu/EFjDzS3xPq2km6G/Q
XqSzorN+s2v/spv4+fTMS/bhK8HyDD7nHJ4t7MkmVolff2FQBg1OJMMLNCd23gxs9o+9HNKF4Lps
2e1KnEOMeccxMvxNZVK/4lmSbEMRtXJfOt58I9gQb6gS6VH58L+OFpkPO8l88OOCUx7mvmiDr5VK
HL12XrFrmpwJEzOKA4eCq5eEhmxzRYlq+d2GRf8K4294BsVGojCOhuTKHKP0KRMLe2EQKNcXkeqe
YR+FE/i6zqU6jv3f0TTMYq9kDOhNTVAK8mHUwL05smTdH0UJJl6wSfkJhz7+XcfrcXORgJxeCnaE
w4bFLxmpOdT6Gyp8mn2hO9F3p6aTdtXRr7QPW9GpFc/M21KPm/cbhceRHEXKGNN4+tbuhnYr0rEJ
RJ83PpWgqj/ampeuZbUkg7BnnDXdWXMihX5rkw4abovBuqIiq77KCJDsjc6Ydkaby72AhRytBiOZ
7+rI8aOVcjT9uSpG8phjXiiYECOgXk6d9PpiyhuXNoME0gEqzAkeK6ThslLH0pqZmDoZXtaAny6w
2sXXVCwn19w3wQVjPr+oa9thbVklkqigHO9y3aZzVo+9Byhu5olmEbk2qDP/upwtWO/W5jRsaNtA
sK1+w6PFIRnNQmje41DN9UUUzc7tmCxMNa6Sa2fhrKXFZF7WdQXjOYSdgfCbc7Czi5kAuPYZTtB8
IeBwHONO4NKE512Su9LaWy9L6nHdmhz760qLXgdOYHoAIJ5BJw55jzI972kVoXXhbbSzHCZRFs7w
erwWR4culdJXU9dlNa3JoPyJffm7TsnsPq6IVGiRNW2bKcVDznrnNjNNcc7m1rsAIheDCfTiVe+2
AuIOGCsFBeqpDiefjk4xBA5T9R3kmfqaFb+PHiAhKhNbBesEbZjChoWABy1lBDH9SJZEnswpLt9F
DZhLQ6ffdHpXUzlV648tzt23kF6mQ4ZNe1oRyAGxNCQtlvHObaS5mhWh3dUiwhJj5QTU7CqYFj1i
clvDSohtt7/yZ9VzJDAbDk5rVKWuuOiH2UtWmP69HrRECzEItAY7JUkGF8uiqPovoy1wjSSEAGra
TnL/xQ+L+cZNpPdATBgoyJRIDA9zLWdYW6kocfG1YfzmD1Z5niJNele0qtChBzM0i+FeVcOVI0L9
TifwZwa9SrSKousy+UaqBgenG9G1R/SXhGeAc1k9Fp5V3AB752MwlpxAHLwVJ2M2ja+uarRxbSWC
rU4jxobZt8pdhcpPyonKXnYueSGLNX3c80NuJaTrU6qf95k7OVe1wu9jaAAHkUGmQ5Mk2UszSfs2
m+ZuNzqa/2jGfBhXfu0PgZ5qxpkyAvhcaU2yKhxw3ttT0+HWLOtwN5lmwwkgB2YPW3lmU2d11FNO
KflMMx4TrsRSJ/hfcnbLAzOsi3ZTwaPi6eAB3WSaP5Hcd9xbNBJWnxECzQVQ6WTfWIZ1Hw/Kfskl
tBrftCo8rZaxiYo+vVaNmT2bER033MeyIC5EszFYPx5y12lfHLex7usph9EBQJ/dHaXQJ+J7xTVb
QeBLRc+hIK6ET+EVpAhypW33EiVsTVYQN4ZX9t1hzpZ4ln+BwjV+3W0jXBIcZyA3mcEtUxfvf/7T
xFyYHV2qCu9HG1D7HOCtOsituzMDtRP7n4aD/0b6fefE/uNm+8+P9UH75TMUxzaW2s2w1tfmughI
oqWbrb0BBMYlTo77c7f1WMEFfDxg+ESrvzof0GD5YaK2LZMzCCcDcj+mq38Yd6l06BtXEKEgK5Jt
bfp5KI9FuVyL16pn9bsmorX586e9FD39OsUvj+likjQ8XYcs+GEuLWfeUtb06UaseqpjI3LHK3oB
Vu4uOrKxd//uy2x/eLwPz3HOWLNDGaJIIlsFfRjIG3M93zfrKNBo2tisoiCFTBfYW2w34Sr6z0T8
O8ebDBk4bN7dfz0Rr//r/9Zfy88fBuLff+zHQGx/AmOBl8XHv/JhIHY+ER7jcQwd/ywsb6a73wdi
/xMRMSzVi2d2QUcTL/sxEbufLJyZcKBxu2DTW37qb4zEy2rkHxcp9EzXRCjhHzDGXZOUya8D5uCO
dKrkfHo8FkB7am4Os7uKvpPL+OmF+W+/DZZR9Z8eCenX0rECOwDNf30kEOgmuXIlAwGd8Db0c7zl
MiRlTIXfPN4XhVOCSqDNAYxZdtaxzJwj7pIGBCwHN72pzw96q4b7Ypy7Mwhk48zQF91hGCDFRfm7
ftcmjranroqISp55+S39Dxo13ABoUxkR+RfSId8a0ceSZMAXba3tz5FRu1+gBmjPVhHFX7pG2TtJ
FVpEMk4DAJH4hgX+i6TVLtVT87OVlCZEpAmt1daU/TTFYfVNn13Qt9HELSLWKUkhg9E0DLMVmYxu
9uttJmrrm+2F3bRVbsiW3MqkRvtArQ/MSLVZxvtmonEadh6BEagTnrrxMRFpayJuMlwRFcdEgWAE
rNZtLhJbRg/RZFqvfuRPp1T2JicR0FGcRdow2VKrDmmhL/R1Jy1rZ3bT8BVLAmz3sGw26IWUDuBL
PHjKb6413BAU8UwUKWJdRJHeRO40Rhc6x4l1rRwKgxJoDKRz87JCdvMGcJXcIiEucN/qzybmRrnK
RC9ufKGidZdqzjXrOMoJGpW+UOpiHYgXyS3mxeI+htKJFUVnNIE6EYaSpl18uFRV1s1R9/XhRoUC
VXzpO7nAvJMeMAr4HpSTljC03/T5U9EO3avbdONtglGWZD4LQvqRnKEKio4sdKYrCGUUNI2XRKrd
+24crfvQqo2tqzlVta7Rts9sYhjKE9fP7+ZZ+UflWPa1NgzpVeQ6YCGxgyNL5mk/M6tV1cnSoVVA
kWySq65rjXuAoxXJdCIWRO8TOmyHBE2S0ps5X/GZto6SWgcCeJofdNSc7aGphqcmtPmcxFKGW51/
DxKvJ/SQlF1bMQYb8RYBaLiMRL7XEslab27oO7e06WYcPfMVaPl4Qf17a251wQEmla71ahZFthVo
2GsgjybTTuyndzZyNE+ujKGsgNXEKj1xtGQozfzkzA4C5IC0cwe3gYX/q/Rp1TvEbpZUx7ChVHit
J6E0t7OnHIXs6ROnp0PG8A5FlHcM/QR2po1b9Nm8rSjZe5pbIFCUH9kx45cG0ijPmvApshPzpFEV
+4UCsFAHjAqsYG2NPq4U2K/ZZpa+3+LgEfi8TWnml1I58f0IeNHcGkqZ1+NUNY+mpC80sOpI1YBs
NLxHCq/Fk94kIMIa7CiKz7dWP5rTWD4Mc91/bhCl3rT/R96Z7UZurNn6iWiQDI6XnXMqJWVqHm4I
SeXiPEZwirfpy/Mc+8XOR9lue290N+Bz16cBY8PYZVWVUmTEP6z1rYBUEXYgRJ9aImFX09JEXPuY
O4tVkFYYrUNl9tUVS7permd/Ikc3NT2gM9/n3t+aGP1PozAv1xHyy/92GPRvkDvq6kP+VQDx59f9
fvd5IUEVNDQUnISC20jL//SMOPzSMiNksrFMGW3+tN/vPpO4DMv/VkAgEcXpsYCZfh8HGc4vtrA8
xJnYsj2bvf/fyr5gJPlPt5InXP4Az0FlZmIo5Z9/Wa1LcBBZGaX5xuyIzUlL7J/+FevDtCjvKqPx
C704JpuuBKfi+uV6INiKprwStziY6vfEDdMfuW1AKZlE/Rpb1pByVjW6XFtg2+7LMPcWf0LQPNeB
At43N3W+K7WvdpEhu4tm23GKBmtCtJwWwZa9KmTcmlTZFQK25q7sefvzbNbXpmamAVIx8m8GKutT
YCbsfbDiTjvMWAr0mPLLB9CeAG4CXydbdk3Orc2UJ93DjGPw7xsmsbduvu/cqe+RUFnmbd10zm0g
SuejiaOAQCHDzh6YKXiPdoYmrO49ZqhdLfAqtwImJsK8dOu5s/0pqwhGcTxM+T3w5GA/OMpmFe5p
H71bFe9xu2YmYKk63EfhkGx7jKst11nkftEPMiWI2kpgWNXedRf67V2QTbJjbUY0YyY99rQB4MA1
UsjiwyiETDeFW/dPeC/IzY2L/uS0ur1Yve9OG/bx3hLqMKunzO6GC8bv+ScZB/BcfbMyrhw0wCdY
dosr1CjTE4wkxhGlFW0ntfwhApkrIZZL1uS6AbPCmr4PX+Dej89WF1cfVS/g4fAgudt+nJ15m2OX
m8lId4u9Odnsltyo9vdGThoBTrgevrUpf/JdQTOqxs56dBJnnPmsjPTNy/voS5dDvVdKW1fVoLu9
rOvgvs6qvl+Z1BeLO76bi8X+15urjrXETxiXwZrfudqyeO7vsq72doEVpK8FthmirUbdkLVuJjvt
2eHn0MTpzUw2pg2pqwzuhJicx8iI7QPX5Xyk8lqI2XnZvEMqwv3CcQ/VRo/pa5+L6SrQFW0zrOfe
R0cx4GRGKDvfRvTbd15L+Ahb246tstftC/DLLLijvqlWIAAMg26uFXiWMCEcShj+W3rA7sH0uuQ5
Ym11DfBl3HSl19KfNER7htrLdo3RmtN1Bo38JxyN7A0H2pJFzUWw8vkpHd2884sVLCBsGLaLhlgR
KnFBQh1dsw7O9ojrghsXncnRmFTy0ZLkxVo2ruNzWjEdzM1KXiKvKZlLlv294tO9Adeb/JAzeWZ2
ENfvXTM3TwQAEALRRzyaRvGpCJnbeWEfbIA3Iy0c4pEyztYbqqlF0BdW13HmKXsFTsm4TaeasDcG
kNYmSbW7byZ7fmU0kz3UZZACDZ6nQ8lncyZPYn7MtTc/wgnH7mp6tOyrwMKAs29wplrgDxOrpEiG
S71Yubvz2BGVszIrh4EXRJsQFAwVXwlUdUDI4GOJvmvDJRdUlLXp4/WsO++DlA4HNJA5FyDLyuht
ht4Ed5lxbbZy0IfO+9BswRXjl3dDUGxxmZEmPUZbMrkSvElIRdGvZSVommo+q24mIs3FA3yYjWK6
INIfrqi53TPnXRE+CSxJapWPyjbXiWPjKDKx6FyNacwuM3AMDbRWA/OSnopPdgRGHlyOc01IMX+F
MUxHwG4U/Heyb51gZTRiNNiTN8NHEJK6tmo8NaD2NrL4nZp8sFa1HhjyfuOwGrR0kKikVG+OLjD1
lngNCXqJYpO4+rLqfh0S1miZpDJfgJ9o8jnPYBExYi2evFFnaEz6fnxUTRU8pGOQym0We+LOJx7F
grPL3r9oLPGkmNge6yjXP+rAK36VeQMC2YaLfR44meFkM5W1OMAG/RxNqKFdsyHH+Fj7QXFftKl4
mxlWOtCiu/7TIisjX2v4F4zHXOu90OSPJGJqqnXeFMMTlirvMDlTd2hLw99UhYWggwnJh8x7uUGq
IY5m7cvLUPXFDd2diTI1JW2PCAwXu7mfGiD+Qi1B6SPKe54bx9zzhBRvGIcR1cdOR+I5ahYm4BpD
3AsSB44ROP5ttVF10MRbaqgIdrIXjs8Q4+W27k20GSLnTIkIdokp4Rz92rmZ8ZkabM6d0Mp+9a0A
bhDsjpuQufqbWVkkqBq1RwhsUVf2qsAZ/dO1RqIyS0PER1M0/mtqu9HBCYjSmeLR3kxg4ca1O+F+
hzdItuvoVy2E96ImSscA6FtXXHorBOblkw+FCl2Azvqb0dP2S49MCSCUKM7kUM37oSojhAdRi7on
sYIDkobwVKZeuUvLzH7GDKD3iUnYwaqNtXFdGCgIGm9MvsKMxzaBqwUv1lT9ishTesYOhfJgN4Tn
4vv8oEJ1aF7iMn4ZooI9hp2n5kG7oyo3hBLG5qqlMWD216beYwzw2Fspv0MwV4zlvKl7l3dU50QL
p2m77wtlHu1sKq/afOhOnsvsdcUYmnQBKY0TnZwBzdByTvCfJQ/3HBSXNDYqdyPnDuBiP9M9rs2g
GV6giVQrFjzdoUMffEB0EJxjBhPL/xlZrFtEZu2CBCtAMlfDcewG+H95bmfYW+aZJ4YzbTjUgqC5
DQ90hY+St/JJWl11Kfhzd1W8jNDnlt6IcEhl30m3BHpqkauH7625rYo4/hXjnH4FdNLu50Fa6PAZ
v7HQQRHlIjzMkIvcT13ni1UtRH3oERmhnAgn9ExB0L6bQvmfdl+jcOHxh7sblIjMO4NWZB9QVzy6
ySDukHLkCIeG6JIPosXBG/U3ZhE3QP7c8GR3oUxXSWhPLzSyy5tqVfcIz6srEqdSUB0qPDpo157x
53L6aDd3yQjtrS8z6Y0bkG+D3E9i8j99HPkfQCz1FVAXPiuSBfWNNCfzYjiTcyS2lld5mkzvJwZc
+yaUkXnORqM7m8SHH4OIh3aVggGw1xwW5rYdZcDLyUd7dKA4v1cEDqF5h8D+6mUo4lZFUbFqIa/V
vHIowQn3KXmBUmqwrykbu6Pri2mbcVZcyJQM9+AV/Y2BlJMCg97rRhR6PISpBP4+lpgNYEEymY8z
qHKk9YQxWjq7Z/QOpiMc2UYFcbA0R+ly2ZJeQ9s4j+oamwDMNTcNryIBkrnvBDE4SZt9xrNObuVM
ClXXsYfEBjyxL2RoTdCXqi8zKz6EdlKUAqN/WJrEPwegkmuXgKs0rPRezeW8NSKTRpIVTryv+Atf
pdNsvZdV2dhQ01qCkaTvQw1Kat959ClXkD9qwJJoIPuPwMrzeZUhNFvAX9iMrLJn6aLHZhUlQ7rH
GYkOLU4SclEinwSNKXGKrSWdcBcWYNJXkh0aCa5+8mDnjtz5JIKSJWzyPBBMXLDFSH3OYeTcgpAM
F7RKF6rmEAQyDrZj35Q71I+EGIWqvEXf2AlIx6a7Z2fgE5Jd4pEIy1C6m0mJ8eANJsmShrb9iyZ7
+UCuGolPtR1pTBu+2RxZh5mYwKrsPJdheV8kQ3djmoM6u+TFckwCTr/NuU9+Yjq1SQYIR31W/mBP
3NZEmhBf3T7h3XFPQWwkIaLTSAB/8mB+tJ3v/RqRIso7X1bxV2eXxLz3YGOGdTyUyaGuPS4dv7fv
pzicHvGZd6+53YS7tBfGZwgbmx0Zb9EWmtLw7KVu9EhKSe2tpqJ0Xkzlx6fImeO32afFqViI3o42
1gWGNH32adZqPmcZtva1pNXb95av3yt7oHlykVqRPFLbVsr2yhSXrBFDnewlat+xX3syofA9tv00
P4V2a83Qy0X5hWyZAKvGAbLJVtW9jth2nhvmh3imTc/46kgGdTY6bTsqo76o45W2l+SXwCli9MRx
x/gmAlb02rcIqDaW77TZ3sFN1OOyYwKyJUolHLb4QyxStNq2VTdAPusve+jb39b6f2sm8P+rimTR
xNND/9cz839TxT/+nbDMr3/xTvz+hX+ZmuP2FDggkKMCRmQO/4dJ1P3F9pg6md6y2FmkIf8xOUBG
wuQCawTqEpwH/rLe+n1wYJm/2PT3qJFcilPcnX8LN/Ebj+2fptko29ikYeIgvhNtxr8oSfwUmg0W
vGzrTChZV37rSTJeiZ/quUwHdZDdRFHbG7At7YiZqmRa/FDQ3u/GUZJUu6BZkEXjMWcu1p05RxpY
WR3DWjNruevz8R1yWLpLXbarVkj2B3R6jdrebFnjhD9YiD4bwiVWJKw/8iL6JKDZ39BcJIcQmTu6
FAmfEJR8cgLzRPx1adlX0RgDLZ4Y+RPlwJK6nSJxllGHAZIC+5ooDHE9DQ3YCAJ+11lXebcN9i1K
z9A8kiTUXGVslDt0sE1Ff2pEaj9mdrwVFB5ApKHQF0EnstXEiY24Yzu4w3aQRJ4hC/e2i7qNCLS+
uiunLj8VY8W33Djv6QStzSN1Nm5zqMZjYyzULW/N2F+DRhAKX5dTbkYWuXQJmXWV99Nj4TvJPd9J
e6niWZzSeKY5EuVEBjpi7m4wj1Ssr5XlwW5v0TunGXVT7Yhn1bnvMg2jgxTQtWwEvmUdWO+J3SAl
L037VLK437huS2g5kXlzlt2F7eSdtUU3EqujSk0ca3Lakhw9X2UphGNSEcpNa3n91iW2l2jugTyN
Cn1OqIZpD47qM1jStj1JBwKxGK7ljMikNNxqG6HsXrdi4Mgxu4s1pskeJgFRccKf1I3FRUAuRNMm
92hok2OSIfCJwUpQjpV0HEn6g0JAr61q2vvJfIBdDdYi0z/9uXhn9Nls8Sd8BNpKAG/KauOzDcU9
QsEoY5JXISy1V4Yq3vpSFXtQBy8B4X97dBbJJTNzXMnj8INC+o3ZOOwvOAyVdDPmv9gShwCqZ9EN
R8M33sBi3Urwryu3KgDm8yO+LPv/1WDP7xR9QIYHq3cY5tjetvUNjabGivYpxeXZJvfpQVtV+sM3
3HGnWhVuUb+whRetk/0/HLz/Q4ex/+2ZeulVX37M/3Si/j6M5ev+OFLFLyj8GKf+AeNhqvrHker/
wtISMiYoS59B6F+GsdYvHG8+81Y0ex7DyCUt9o9ZrPkLcC7BIDbw2Ej+dkr/jVUkDP1/Hcaa7AcD
bpDA9TjXF1jQX31OPYPfaaS62EyoJLahpAFGB68HMqZazibnPm+CiSLIitQXhzJ21dpJ82wX2ibp
Zq4fvbeFQQ+hPBK5srZ+yafWuzUmJG64TcNbW2fjISmSgmgg1wmuLaPAJFVUcjrJIum/irIckCoM
gXPHBI8tkCJZL9sEeHdIb5+s4BQA13yRPtTlFG7Wa1a3WbECP2PdEnzp3M695b7JEhC7DnS5gyo5
wT+x4t0oS7KFygykycofO0hoo51QL2qnSrZj6eS8LBwWuzQncRz7D11+lXVwV/BIXYdzqm5BkLYP
hfSaK8Ah5nPPFvEW3bK3NqoiuPLweu6gm6lznLaxvwpDevuN1w9MN8CqGdZOZfB8d0QBuFRguc4u
lR8XhBFVVr7uZQfuPSfDF9zLGHyRmARWb3Jmxm45hfEekMoylqT0ZvZdjDEjSzY4q6wzuPssXTq3
ptLFXdJ1HlQg5EtrRzNrp9c1DZCPY3+lB8PdRVnEdohOffZW8H/NC5G0aPJCZSMMcxLmyX5cjjvd
LikHph/nEBEdh1QufFs3kBKI8xj98TVn9PyDJWF51kEPlS734L1scuF1PzztWM/BDCS78UGXZkFN
ynlrx69yKnq98ZXjP0BABhdS9H3jrdw04khENMPgoA6rrFm1vuabFESlb+j5cA9MZpke0zh1HnF5
GTdOQYIoPgb71zmEA+hUhT6qsDrZYo4guSn1iQmh3gRlSPPNSEHsU5lw6uZR84MIswklmcHVoOaB
6bya22M/yeYQW/je0LQ5GblYUFrn3idqdyG3MtfsfhJfb7g0mW1xqImL2CjcH+uga3k7vCHAUWlm
uyEl+a1rh/ELw2f1NLR5DGENJaPyjOl+Rkd2nO2u/3V23P7VW9hpbAX6nVp4agt87dvTsicWaLzD
XAfAoKmTe1JpXVwQ82Su4zgV5+ob1jZ+g9tqTA/7rPeTN6cH8LRljGye+t9wb0a4uK/lFB/HNDCf
1AKFCxWALma3sbqHJiuZbxERBOR2+uETAP0Cr9z8Wdf13K28KpkGNh7SZdxYpySvWbW+U6Jl48HA
F3BfwHNF+TE9WYljbGb4Fh574MUT6JDbdqU6gUzfC+WpsiapGCCizVjlVuxcUk8xuPDQVu1k4ZEM
mElGBkzh8CKKxZYoF4OixI12X8Y9U9XBalJmanGf/mhwoZ3SanbYl7cOCH7Zzclt9u2DHMeRPqPR
ZEiOZA0OX0Zgy89Z2TygZeCPoIDUVWv5xg5FrfmSdzrApm2l9/5iwGyQnpIoxmxELfZMU2fVM1PK
8Dgv5s1C+tPZUqK5ap2aMTRVJcdFX6w7WCXP6ZDXM59Gbl1RsMrLyAN1Ew9OvMVzlz6aDjj+TBu2
BPA5sSgh3m04lMM8ruMiq3fKaRmUpEFUfgG0nwFST2bTbsK8IuNPltlzFqQ8dqUt1qGgbWTXQhBb
YPX2Z+Mk+ZVyLPuB6U+N2UcIhgqN85pEMZhsHUT1vbRdEJbNMLHwH3xQ6/z7WJy4j+BbdElJww7T
YJPyw9tmDCuOoNTSI3YrU1wPJsmoqyzS9sdkJuVBkzmIrCEWhzZ3gs/SDLPbLrObT5ON0VPsusU1
8dmCIjObd2NbB3cLIePcIK28r+zI2XCGZO81LEkAv3aeiDULIGdvNY48Z9pJDpkyUgrHAZ2HZ01Q
CsuZaVId7EQQddfNjL8wTkIZc7y1/m0MsPkAzHu+wPt1EcYOprxnIW3eV/jnrmwPvaRtVsOTipmL
qnqoH3s5y2A1dyyFAjn7JzIDEkIgs94gozkPms+htYNrXDuCCKwa0oXivmNTw3Qmm+3yHtJotuOF
Bl/gyeBiqtokSaCPK4IVtSBZyzd9zn0fMAEbHpNTTY2E26HX14+lHUD2LIah+vJT2wNgmahKrnqn
H04BcXlvfhIvk5DGaqZ1J0Q4XkVzq+m/E/ZhsD8j/zGrdPeCmrV882GXOGuElOxjTFoDugJHGWiH
raC4s2VH1oDRxlmwj1VH7oiyXf0U6hEd6Sxi9dW4QtyzI/RuWm9gTOoXSfLscZA/WYrp3YhHEZwW
zx8zFX7E+7qdxSXWib7B8Riu1SiHu8m1MgSXQxKskPpmEspB42ysuPHvleGIq/81m3ya0/+6IX/+
6Jt//J//bJHPl/25yOfU8wRKNdYRdONUZn/UjuCcCBb1ackXmsD3jv8/UAbUc8s/gtU/UEb7TxGb
Yf1i28vXoHCjgMT38bf6carNfy0dbZxGFr/d928buMuv/0XY6sWzcoZe+mvGecMbDwYC4gDFFKbW
ZUXOhoS7Q8Fq+dn3PTFvTA/0dTBV1qlN1fA6fq/cC9PKb+22C7bGsKzkDc9e3LwxkYltODTbnIgX
cn1HeW/V7vA88krTqvvNJkXAh1InJ+Yt4T+R4M43LP176pnhbDXEGhMOJHysUMzgNjF5VDvgavY1
+gjraGkn43/m9DRVNOVgtdHDNo63RmWOp6BrJjTH2YJrw7RC4ij7G0VZ10E53ON8AlfUK3GA6Rvh
5NZkYDY8+8TQApIbxnIN45v3g4ihcZNaAzrj3DNPOpZijeMlW09GusPTsJOLVq4wT3hc1GH0LNRS
BZTvjGCyu1SDtm1sIlyhDLZbMFD5uiprZ4eVlZrNVoiYOH23CZykTS09c+2Ubbym+hUry4PZXthj
egk8ri3p9TSunVft2bSznKktf9PM8ZIVQ1tadjbxPt4obuOYsCZSmeRGlnm/VS6iM0uNzg3+neRg
dH19GMklucS+YfwsUs8EMSfFm8lFzjTcjn96uPa2YIsqjqvR3hooVK6L2W7ZkqZdv45Kge8FiueJ
H2+4q8ggXZezwB9hFfZBW2bjrljXOb+6iLC20BERJ2RBnGIRYNq7jigd+Mjq9Ck2zfg1ZL28sbo6
vqkSaAG4asx2ejaLwIleZ6KH23OUWZP9wbZGHQfIQzehEuEm7Gz1yO6e7KRR9cfOMiR5sP20ye3h
+xfi5ykXrAfgvftrPmFWVeiZG2vDiLf8lQjq0OBRmXwCh33W31bR2kfZAXlYKsnXkGsIhcjg7yq/
Z3FQ5v4jrOiKFK/GJhUIj8BbpYb85LYRf/MIA04OG+maaOPyVy8s9UMxhdYFgA27iXbi0hmsTO6g
zljXET7tC9EtepvDGX6SOPHgn2HH3NUq/lmbBoYdwxvTnSj9ZgeTmManN/xyE1qluW/dSB2Z5fS3
4Ip8uEsRhPkM/OKZrenwg8RJ9g3sD9y9I9qs2kHechuw0al3t+xqn0Qqmx1ICO+mqjJ1D7id193C
dXg1JNq/s0mHvrfIV90kZhpuPcSN7NJJK2K4kib3vKK8rYyrIIXWZs7ik1K23YlF1GmFPd4Adt6C
amkct4Avx01Ms/Ng4qAjfcAjyyYnYQuFImv6PA8xfgzZmF9LaruPUSXRZz93REemPuiFJAkJNmDu
xp0Vm7bxPmlf7qZCufeiz9l7orV5SpzKR1+E9+PW4lq/znzwm6uoiOtojV8Ao1RaR8/tELm7POYn
iWghyibfgWLmTCc+6fk9IUjTW/twNBIYWBJLCk6PdKeJkiFUBno1Np2uqr6EmsTPcUSdTn8WEIud
lepWIjI9oOo0WMH2UbcO0NNcxa07wr5y8JPzzNm8tR5xlUvaicPoEhFFwbokNBaxC2iFdiyrdeNW
ZK21KFUa0PSyMzv06EsqQS2jh6DJ7FM9aCBmSqf7tjLbXWAE7r7WzXOSZsabFnazgiEar9Op/zlA
G9u3doP1onGXPtXclVburFFvN2u4ptHaNkYWCLXssO7BfKuoLbYeIpudu/i/6b9sPorEWLeMGjbC
rqO9TxTSrfAbfeDhZoVDBUhTMOpdXlFDdORorHXiNscqx/OWIurdzfyROKFYYNCHyL3Hco8MhHY+
eGZa7SNWvu9NngzspxLjvitytriBSj+KPigPSMtIES9CdweVgXaHOd5bKbzkYKmJSFzJWowTBD69
JTQwPFd8uUEY0ykC0ZxjQvOCjO32QpDfGYU9bMsqjdjwq+mAYtWnERLpMSt42Rr+8nUyNABARXFs
RRbs0sCr9wXZyVtckPrUKS9be7AIb2CHNFvaln5jDtrdmGIWH24PKj+kRduRqsS2SgLqJhle46MJ
lpgeDEXJnjUcK0ACPZ/HrAy/OsvONhihoFwNrYMZCtC+Q/27VGL1lusFQ2WS9Ndjq/wDO0Jvn5ck
js+AhxO3CnHo4F0qVP/c2LWxiUFGEB8YzVzfvffMGAqfu9fU3YGx5jyt0J+YvKa9dkgn15FxY8Ju
2De51Xb7uJmdZdlGLJ4FEgCXGiqXp0Hqnj4xG5t0XciuvPKcqHseMsgnk6EcPmaELgx8vVLtpJQo
mOGSpy/JaOfHuCnf+mC0HX6rpLoNEQnepnWHEDCSv7Z5mey6iscCvkGEfkaTlidgtCG9KJExu+Jq
zmV120sdXg0lwtiIGMRD3nfdqrJjlvleE70xWIhx9bXMKTIHg2OH7I34kOFGOEqDGFbphoj4aqch
UO5QZKBMKaU6Z72XYJ7k54gcyfvsnThYu8NIpzQCo185jd9tcKXJu1a64tTOfrm3J+WSxCIK5vlk
3nc+geEsA4JXpQZ1x7gVQZAec034KsQDc0V2RrJvObodUPyld216jXwTopW7uHUQl9RsPVA6eZ4A
nOZmY/jEIq85DoZn3CAvzndOW+h7JzJRCQkk1l4RubfVKIt7TDHdCbiyv8TCxlidwGNho3N0z2dU
BhQRtqH1U8vjsfWDpjp34RxduwEbZyhFtnUhmbk4sRY07vMo/pr5QHaT33t30RiZz0RxaJRvRfSF
jlI/GaGXv1CB2eeax+F+0plzKvyCVKrOtg6YO8enbIq8C/luPFNZ33QIPObqaMqOtNvJJfmNq3Ir
4FIgpMhcwucYRAoc7Sn6haCFsg32Bm233V5qBNFPdek4134EioFBRDZfMUTsYVxPDIlWRVu015NT
GbsiTMWXCnsy/oYu2c55TnI6UUNXE8C8tRQBwxwTfxYU5tQ/o+asNxA9axSJJKojUnCvW9JCXnHF
GS/gULsL+H9E3kZa9ncueh540xWX1pwAEPAm4yErhHgIvIxqzKkD5hqFNT8W30K03JsO1SJOM2Sb
P4R1rl/TRbrmfovYvvVsbGGiW4OJib0KiSVFYUC2xKO7iOIm9C87LZpyrRbZXJUYzVNkzdV7t4jq
0DMlP1wnlTeYLPt7EVbJY8BE8hH6wXzUizSv+VbpRYtgz1mke9gCghtKHGpaY4qu+0Xix1BhIYYu
wj/nWwPoqGzYTp1LQgp5SskGsGH2NpCF+hOuMRpCyoAc7bhKjlU4d2gMF7mhsQgPA9dJnqEpdQ/F
IktsvxWKkJ/EPof3bqyc3zSM33rGcckkjeYA4VScJdtwET6SgTDf+vxrv03dqm62PSa/nza07kM7
0MHuACnlB/BJzfuCTyFiLUkfUMjah64onEex6DDTrk1JJ1rUmW22FEhDiTcVMS/aHUPOzQ8yp/VX
PQbtTd4NnGeII6c3KndC2lPeW2+Fygk5UrfoRbVGf9l/a0g5Qvce6/v3GkvnQ+qkfIMLhJlE60WI
OmMR28SU4NfhBG8n49TsV9NUuCcpfFRZ6lvTOsIa2XZgs6AiAZP56Bb562AZ+Q3OpejGywbq87wo
bO4aqyOQIwZfGQpzPLRLMFBJAMU+kw2YSkszRNf8hdamstRL9i3EzRdNbmqjzsV8yehYWIn1YBFN
ZGwMyzSuvRhNb9Tn6bNlGeULC3y33SgzLj/8RaLLRIMwGNZh0S6HidMRwtjPN7Qz+W2adi4o+Cyh
eGDy/0WQEEJjZn/oHmavPSIBzZHB5EPEmjYiFG8jF72y0aNcDqBUUDvbifg0FiHcNlcBq7xF71xh
fxi2xcSWith5w3v0Fmk0MCE0fLm0nI9qkU6Pi4i6/dZTh+bMvHoRWZcFrpGSCQS+5iFlhlmMw+v/
mmEEQ4D/ehix/iAJVP3j3/8TWwFf98cmC1qEzSAC4b73mzrgz2mE9wsybB/HHe8/2/6/ZDrbv5Bb
YbH4xz2AFdRkQvDnIssHck0Vx9rJFyzp2Uz9jUWW9+2a+1MdwFIGVwMWBuQBlokKwVwWXX+ZRjBp
y32rNkGrgT/sX3L0eSFrYqyuBLu0Z12m0TkTY3PxGyR3RChaebmVIgVTXtGo3+hvPW7rgElbNUQo
odOtK1PvisHjP5knmZE3iyX9ra+84pBGpjvs1LfuV0cobXZ0gwWGNAYIN6E9fLrZohQusEixRi+G
iDfJ4FClPNYQi+J+oLUzstbrVlotXU3iO6VPb+6ANCQaOrlm0uk+SkOGgvYZazJjx/DCdMJ4IBCV
OfL3pbNcPzqdpuehEcmPOXYQqgvZPIa1Su6gbNivbl0E74QX+GejJ69sZTZWsFd5nq3beAquzNI2
LnMCdb5JZ/E1LxdmuVydhtVwi5IdRLAv4r1DF9vNSz2b2f3QRSZG3uUCJv06f648piVMEmAjByK9
uN93Nhbz5f5ernKzQpAhRjc6tZMyr52mQ4WqMkoAK07tF922yXlEBXjwgrhkFs/sovTrfq+HrL4H
manOEmH8K4+ldZ2FM5lVqU0xvNQepd1Zz+ABvDs7sYY1QRd8hEuxEtttcQJdaV18Tj3k17o1jqkc
252u6vm5a0zxbnzXP73OB6DPA57BTQWVgrHKUi4lS+FULyWUjpR46kGWPY7lpHGXUG+NS+U1Tqo5
Mv0s7xWovPt0EpKteg6cLs+sa+HVA+kKxoBZT8Z70TncZVmLYo7oqvCdrmP6maXwT0piMNdjOgyf
DgixFwKFvG3thPG9CmT7FcA3M9dRVHZ3cWF6l64hApqtKAWwWYYvvj3pl8o2wj0RgPMZw5767Ea/
fUrL0UcNqC0U5Il7p5CTrWU19ida8PimwLefgTwQ0bEXyOxX8MB8frAa6gYyxhhzhSiPKMuTcOW4
UfFg+1FyGedG34zSRPtNJ6/yXa2lv4nbKWbuRIN5ZRsWW5FaBxPCA8ukIYW7hxYPTCYQtyDy5qPn
j+DvFFnp6ZQbF+SHzl4B6XqfmyDctfMsNgGJMYdaAf9gKZk9Sb8ov/KChR2qyuxsVsrdpwjPtsox
ylt79PUHm6rqKPrSOPhUiavWCDWRY+3wwjhBvVYxtrQqJGFJSrhbDAH1fdjK4qSn0cZcVBdrCGeo
JLntaV/czrytyIzbUsWjmB1wNzaccWezztN7DjQbM6c1ncMUoWdjlcZqEC68Re3yfU26uzH80brk
HJRHYWjxa4/q9cpNbFaLdZQcZDkaO6vQzPbAGz5kTQADvJjbbTVIXON+Pn0gxLXPXl0Px9hsqpci
ZqbZgzPIVlUxIredTFgndhTHx6xq2Rm36A0fBjZM23bU7VFV5fRaq57ojCjvrsygDZHMVPY2+L/s
ncdy49qapV+lo+c4AbPhBj0hCBpRpER5aYJIpVIANrzbMO9UT1Ev1h+y6ty693ZVR5xhm3kqJZLg
Nv9a61tOTGdGncErLuGk52jy9w4v41oOxvKJpZnDTM2RetPx5kABad3M29IPhwgaeREni1G0n4Vf
xcuel0jcr1EQMQCQV4fcMvrbbplMFte8eCNiwJNKcpUqE6Nvf/idi3BGLzJxUtGT9UTQdqi7Z5YF
ziOppuTkaR2SlZYNtRb0jq491FhTOOL205OMVHZrxmb1k1W5uoih6T+x+hTvBBCGWxqS4EhH5bi8
ly2yMeflSVNc4avyTKdb+0y6F+RaVEQ47PuoXtUsmEAOnt+xuk/0YbjYXdE226rHjLmWZq70TuEZ
THEVkG7szBOcP54wbwekfAi9UgB/NnUlHtzFMYYwqrrxuMxL9DsOugMNwvhp5K5OMQrDbS5s9tAc
WfVpExd9V5hoN5p6tZE0K86IGWI7cwVkI27WvX6CnYIKhpu13wy6ldmBRpPNpawzPwISk6p7H0kJ
zYcF5YXM6PzkpXW5dvjq9kMUZSikKutG8BzJRP+ymTL2zbKG8Yk2p6ohAjTV0a5nvkLGQi3UHkPn
6R8GamaOdeFrj6Uez9QwExMEvFd0P+gFrc1D6hYdawyUjM1iud2Xp7BsoJ7ik6Vo3mVI4sekZLTE
sO+pW+c2hWzgyYAduYjDNBstNDO9SuEUDtYpZ9aCJOcRQD4anForfp/XXNxFeEiwA7kIKolJri4m
q+iey/cw7Jg6F59mX4kXt214K6eePPvGViskaoi4mAYJ0i7m/7yMGMiX1tJubcxTRShGbI+Byazw
keYAvvMNmuhnO5vrADOlpxKpGHdCvfi4jRO9da/22orKe4+IFs2cvpeljPadGzFXm+wILBJ/+Ddo
H+osHc4ZYFHS8anyKIUI4zZNt8KorLda041gwID90nZ0tnr4j0ds2ypJN1nj9Puya9MXL+vjMBrx
Teh0ET5BOYyPQ6nwBDLZpaJpsB41m7rYcfYWurEjPkyefxCHcz0wrtRrJlsYGmrUkEv22+Wgp810
k63WBxoeJk5Auj/vkZPFwV9NEq5c2o84tspbhNZjLb9msPSVl1XHoi/HR3N1WeBZAjILOcC9ZRJs
v1eLq+4ZpZYP5MUiyhHqVN/o1DQyPiDtxAAKyAyi4TKIiIDz2shtamJ4jGa15FuOf/qbOzRELrAH
vNDUPh+A35gvcnWPyN9GEsJ+jIBRbOL7PtGbT9ikIz+D+4T1x7njShnfUbdAP/vqULEIhHI/WX0r
8reFhUsHFhs+f/vMIHW5T6lM3U6SgAwfe6JOyhD2TjDnuslWd4z12ygzTcqhPHaanHD57aTJPOuC
R4OnSl8EJNUcBSK+IZROFq37bc9JVqeOzPDsmJk91xs41c3ZF13x0lUSSDOt4wOhfbnafny5WoB0
d4FFUg9xE4eg+ufvZvIjpH8KrqndxEVUJHh2+tVZtOCweMlWtxGBk+YRMGx3Afenbvte+PsSLiP0
09WrNKyupWosWAU4ryWhYPN2N85vi9MgPEQ09dv65KZIz61jh+S3pgP4MipKiwpSgo76McUy+9mv
LiqlXAxVKRPJt4wi5J27+q3c1XnVDWZTolY1GRaZJgEvZqw+LdpsuW1m1Tj8zFYf19QZ2lvm9vm1
LFtl7UxiCgfNzKKLW1bYwFZDWL1aw8rVJFavdrGxaLQPO5f5j/K3m6xJWkAp2WoyY0tEf2eqZomH
7rcPTVtcmF+GURaMTEWacHA05+XOLCVkLKGV3a1o9OWrW8NiSV9Zz8kaILPkXJMli4mVJb8TZva8
eI955IxP9u8EmljDaCUO32E7/s6oaSkQNSIvdnP21hAbeyyyU/4729aBbecIgzpJDiqCZrQxogw5
gGuEWlsiCMgVVZbcCQmZgd2mtI+yUt2V1yGvBhnlZGUlORBahaI8A5M+o4jfITwDVZ6ec2qfz2Yj
8qsHP/rUEkhRG3dN8Q2M1WasWybD0GVN+AGYJuwnxzX49//KDXfVpv/rG+51SMuvf/2X/8Sruf7c
nzdc+w9inw6z+b/5Mf+U2+0/vNXD7v5DZB7GjAlplTalFVbq4df82+VW/MGahjKONG9grsQe/1eu
tr/N/Khbc0zS6Ot//HdQGgj6jnDxkeguvMZ/Zq4OwugaRJZly2qX3RrrzruM5v1SoL2PZMNYRGgq
a0x5U07JTwU/jBUspdw7n6IA17HaxFGOIjy3r5MxftYRIS4nNvMjX1r/VcF93tsSczMGG6DH3A15
8hisDtoXeBU6TgwQ5DhWtnpc0uyCR5j7FAmrfqw4FU70s2opK3PlfrXFPIeFWr5YAaF+a1SV9WlC
u444C+xuRMPVU4ODfJOYrsLDWT1TQwZY2cEWzhmSQL5fni0fkdp2KGmNXeb0uaW/t07SEzKFuMJc
lUpg0XzXwuekOMXkwOrVG+blT1pjw1ijlzAArvbcZEPGHpbLwO4oeYnG5KOPo/JoLvVtKsC6xHKx
z+MAo6OJ7Z8YL1mtR9vcjV5RoGe5zaF02hJ8uwPMHLLWjhXYP1oguDedp96MuIsPhllY+3jCwiPp
UObalI2HXjezr1gY6PtR3r+wyo9vRZf9AkfN3qBZv6gEsAJV22+aKsp9OpMhLwQdOYNu3vsu/SK6
wWZo5yW1bKVZ33O0vwfRQbF6VVY3rlb393YOTUOCnr9bZ4TcD10IZwAp98zWbu2lOAPVN73E2Qhq
nVBq2i2lVbejGLIdiuFPlSW03Ni2sTWN7pZOoa2ngwD0cQCXjF83c4pKZ03OkVg/bIUy/2D/5k2u
epcMr7hyZ5LYi+TtkjtE/dOXiAhkADznpjL7t57ZO7JmhkPfJsZP6Y1zdGQ7huS7xBk19kOU5g8j
ogvIw8tQRN2TLIYnH+Ievir7c9Q0pExj4mhiQTJP4ytnulPOyXErCyCSyjOuyYLUSo70J9v1SWLd
26SN3LVJBoQBqNtmsGm1GSCybfWpOODTu1i4JndjLtc6JCo+vYnGb/wTQyROClxQPY24bZPkFyas
UBvIVrDXPnULroayP0Wmdp375lJO4iewO3iZ43SjescPNK5gG8uZTtxi8zcM3adZERobknrfm92K
sI5hpPv+QVPLm6iWj8haANovzRPNpPa5NuLbLCHqpjGbMXrCGh3fDIbhNHA7yEmJdsgLc6+3/g5I
/IOv0OTYXU52NYULbej5KB8mduag6AjD+Mp/i6X4GTMYDwkRirCL+oMc+KCgKOJOW0vHpoR2Mqd4
HcGGHymBusaivm980iUpmfZAWOK9nexTkprnlrw6jjATaGfnHXkigTGXnJHpLwxJTKL7IXfucF4+
+Fr9mrre05za7xSRUgQCmolbkETU1dtDV3niksBo2M/+IENZjt+UYimeHdijbZPZR/Ld5blvYm1r
5xatqUh5WzdOu6ueyAGnDe3g+dLdRhNHeU6INFxXMVf9vqE/TNQdt9v57q/vhv93RsbYlHQwa//b
sp3DkOb/AFn7jx/6c8OkndgwHCYeAEHNNYrw9yNhB7AZj7VYewIZGf8tL7YmIgTkIyB9PjlM9tW/
bZsG2Qbga2Qb2DlJmoEW/AsTYUp6/sGfxrYJxxfTuGXSJ7hOn/9pIqyRU0xzzSI4nS4LtpM2Pxjc
OU4JYYbAiJ3vtjcfE/yQgUrM9zEV7z3z2ktTpu29HKvkjaGRfBszTZypOCMcMXnjqbGXeN/ifjjM
CHB64DpgU8n9dLdWV357nantocn3AdaP4qWWOENdL9XvXOwWYcMt/pqnZHQ3U+ZV4VDo8SVaDPFS
LUP52XujvSsHQtEIwIlAjOc7oHlIa2zKOBkCDpDpRWsS9XPMu25LC87yzCreXJaFA7LF6ftCRg82
iiE1b9f7fbQdjNoSoSuZDgEv4+AgiAUHSxyPR97AYV8vifXUN6yR3DyBVSx5TXmXDyoqmjMMMhCS
3/UmFWFB4US2bgxZSDFAtzPL1DjOs5swIM2127aDf9/FkfFDp38oJGGr4TLVFJK6bMCQ1XkguM1i
wSBMJw2bIHYNmcOtqkNlsoOVXv+Y9csltaafQ9s/JLXMH5E0taOyreRXg9/x4ANJo19CDaeaozVv
oTbhmhNa4C2NOFtlVz5Gbn3XzdZy0Rx2KBUzmLC1Aq9CO8Q7dgP/RQc2tJ/AGFcbqm7HKnCZPH6O
bee+LQ3dyZ0DWmGXlnUFsR8mKEOewXjVme8hTBXOddBG/ezbZXMeBo4ljOW1btf5dnRLDQzvWh/1
Oy11rVC3ypZPuBJB5WN4MN20w/zNHMZurO7OFN28x2NMg2wN3TrHT3bQqswLe9OUByLIVEvkdnpn
pKm+g8JMBw5I6jfldADxk+GtADcRLhJAg6UvgXAncTfXYHtipQLcXfm1gziy5VTUTps04XcNkWmE
tP3qO6I11VZnKwryqm2P9B8yesqdaAs2tTmA5YXkFuE3PFdZlnOBpUqulrKTAaAQCqVy37qDYyRC
r23rqyIiffn9HrRG2d5OxDyOwhTjzVzxyqfGr7fko8nzzZ5D06wFZc5pb9OMaqBRTZ9Z1LyI2rO2
UvlHzrjdxjXo1ZyNVmKEp4CvLoS181X0ugiHsmrRVjcc0sQmsfh8CN90QRPpUN36uLoqTXN+UjhC
LmWUVA6ayWu5YGbvMXEeTcNcQvC9J+H1gve2HSj7w0o1zhJrhdE/gmj7oZr+pkuyC4Yv/VO3B4gi
00o8ph5T6l/MqrP92DDEjeGp+XXzVDX4PPXIXk6GgQvGLnTcTF66iznSSdFduee9LwlTz4a3MajS
4XGugLO6JFMDWFQlGB3lbEnhuYEgLciAOjp1s7LCiCA5XODitqTRguCD/W107sVvGUhTIrN+q3GN
NP4tD9q0pQHv6mS9DGZCTsHA93zDNWcI48Ecd8zOHnHBn+KsI7VgQJwQrETCoWWb4d2n8oCeQEJB
haLm0jDAXReL9Tb15XyqSxxoiG03sjdvkrR8rxJxko35wPH0zdMzPI1uW+O0EDn6dREFDOr2Xcki
YygjdIdi7yO755lj7YuGBaAx25eyB3o5VXIJoTSZfMYWIlMm/B9Upp0sf5rh4vR0SdUW0RyVnOOm
DN0+gTxk8opxKkylea7z+teo5zezkge4cnXQjuPtOHrHItaOjp1ml4gDPuld3qWiF84OOQguY2bF
gTIZzjLEKjYDLaWBocU5HHSoCmNOHCsvRzxuJs3smAwE82Onf1JujOfeyA5wwTi5wImQ+bSuZsa9
1lhcPxzyroulf9ICCOZ2oSWo8ieI1WDEqLTGR9AUdL3gUilOkzl9CbhaRWV/5HEnAmNtiE+siYls
ZFUBqZD2gPFbbEr2tgOUchyx7UKfItvM0cigVQkG3jvDTp4SMiAYUREZZ8wQWypbaKUy8KAoPwo5
CFc4aj13Y5rcvSoP+yCZZDgM8ocpxIfeDVR5FSOMo5T+cLdLLhkEP3AlO9gad3nkLoTcJpy3blNt
k9zqA4y1NwPznkAVS8RQD1p9vLKelzx+dlkEyfC5OyAh98Rzz2Cp9I2zSoDj4P6QIOmYyObtAxLI
fdbFn3ge73kqj+0ssIoaD7o730rd/QXV86tlDFljvLIXDqqVbueBSaVPK42tFpln2y9eGBE+JVlt
o23VFwxKt0vlnxpOIlvXzp6brrlORX6xoomaWKPJt+AbT3T+3plj3Z4URU57qJOPvbMwOqM5x49u
oCHUfNc5/ZrOfYoMGOgdHzJdP4xpCBEZ7pwQlF36jWXmZpDw6jcDE3HTNi/08JL3xmoG6//R4565
4Yu+ir5ZvpVm4wTOFLmBnbQUMtWYDbuICJjhwXZisrjRR0CJNQCpva4nz54lceZq0ZGiee9+sPtz
7SOm2U4OvK7EfSOLIqRNBP4Yzx7wDZtIe+ThNO34EjYZF6ecUMrGmTC0x6N1LTHXhdbEE9SbHuy4
9mmK8J3NC0FOCG9uSP8afTR8PcxSeNum0x8GyKebyYMYXsjUDl1ntSby7Od714lLVneihkPU036j
rXFE/jxIQd+JX0OF83prl43p1dVhRMiM8QN+f3PbTVEB0q4usbolZPcmWCajblBtxa/qzLmluhee
UsYBiYO8ThUcVmtDVWdfr5vNHC33Fu12QSustTfCGXZkmABPJFCLfIlHMpE+wnHMkQjaz7hJoqHa
U18/HuISbBL7Zb0dU4nTeOlZfY3lEZeDGaau/W2CswtUmWb7zMRFW8Sph2tL6ofBBl1X2gP0leqD
D5TpSGS38JHqL2+Ghd8gH23M3k42UzR82oQgNziSKVVIVHJw65Gao7Uvq5k+9XGhyzmOmzsxjQpd
DYkNoCu7zmKbhBxcG4+P4GgEeykoiqXAx2agY/VFwzbNkoEQlXwRjGxCSOfxWZFWsMI5kpVPbTR+
3CGS+r6dGwlrznZ3EWVRm8zjoJaUFg1YbRqdGP/ku6bOnADierQzRTZua4EFlSxhGnjNvGzaqVo2
dTOwH8nSO2l61oQ4mTuivWK5kWBdn+J1RyySFtW06cejQ0vvfpiW74I7QGhDF9tGfR3vGxIWB+lX
xdnRI6wSov2BY8B46hJAY2U9paFI5tuqS5ugGzsa/TpGm4PQrmBj2L+8gdmDRAPgXrrlrBTdJImm
hWRn/Ru4M0OgVKvvDDJ2APQETiCuxGKUNN9MuQqkVmFydbqZc6XEl0z9Q+jqmKidGIfCqNIomJuo
v84YQT/iOmO+XXPQtWM2gqEaj1FSjtu+qD4z5rCPBQdBsmDjl0V1IH11MPRiBzylyq3yIOrIg6aI
oT8ipbMfh6psdmJRWZjOtiLvUfPNdi269RyXgbEb1XIPiae7LUdYx904P9ROdakjJ7/knRpvBcbZ
Zx/TTABg6VejtfcDOgk3Cbhhfu8eU/JzG1VDBksHEyVNl/WqEKFR1fj/Zs1sA8A+zAUyGZ9xOGTr
O5If2zq3ry0ZE445Cu6Asi5Too7Nkvxiq5chBnG0icz4nFin79g9wD41rgBNhZ914NnAUqFmALXd
j9pqfuDpTwLqecvHpHb6cNbcMqwjLGzaBJIHgnL9uIw1M8HOjBj45WZoFoqOtLnx3qk6pzHBZlKh
Ax9DBTZ0oD8LpnPu/EFNLOgMZIPJoV/QchCzsbKuEprx0/gmW0/kFIkXN8QbQDkq3zuSdXsAq3D1
48LHXlcOb8zfMRO72JNxHnFwTeaIyu7qRDyhCbARD/e5MbZhB0EwlALYf1Hr8ttWVJm7DqBm+v6G
pwYF9SCpOtpjv4/vzT6zd9qKJjPweHPK0d5GUaPaUJtHgjQrXrSmSgJ3oe1A00ySxpZw+ke/y92g
dCbE+slpyRfF2OZHY/J+1b3NMqnKnsPaksM2yvKTZ+rkeCpDfma+pXatUywHqc0K8qjLMK2aH/RJ
dmHt6O5F1Prey7J4ayeEGGTLiVo56TVLktfcU/m75Pj6krf+vzUZ/CWGzv+ZKIe1J+G/lgf2w4+0
/Nd/+c+mHfzcn3E8moXpbmCowEkTR9vfc3V1SpYMInXC8oT7b+Ccf4/joQQIlxod/j0YCM9ewTl/
0nH+IGmmA2RASQeE9lf9b797Ff5OJIAVwZTDxgbnWT4mtd/U3b/zv6meMidbZzqW6r1iburOlZ2E
JiaiU8bBiQE77trTRL/NY2yNPsdu308vqXTKD24c3oR9U9fWR5ypSDC2g3bV+jjeyd6yPpSdxfl2
TNql5wKikN1woixnWdScdoUmPbJwXTtfZApKdWtUrm6y4QrvBgVV3wpsVC9uz9izJyqMwdPDPTpY
CzdYxY3ldbS16AJaKnoG+5Z9ZIKTcQgZ1AQYXUGz5lyTVvluaP3sbXI897U0iGppmRW9+GsghSAc
xibZNhaU16XdWSqRJEhYXM+2lfuPqvH4iyPl5tsm8uSDR4nIsDE8icmdF1284oefiUEI/35uc/J3
3pr2Ivmy0xnLrjgaXBipqUmQ3OhvadX7MjCzIn30MPN+tryP4ewTqkt80RBdWIqTNq2z36InP2Qf
u0g0yQ2hKRKEI4hyuhVxfZRhWgjjl+U29b0N+uXCuuhwhMr0tg2Rz2lOwrqrq9AvjeVmGjLzIdIL
48PC2H/JnZzgkmGnL0SCaQ/KCSm9L5MfX02rXH7Z8USbgFXMlcGoWSnMfnYsaBTy9VgLHGwjMlCu
PR/6Ka2zvR7RHomRa2AVo/4cwVqPFKarps3TbVa68NUl0JgHOiWHD9LHXNdTXHCyG/pjPMbNba9x
TdgtEz5Gx4w4ycFazG8o/aowfMnka5qH/oAY7IaNRy9vq6b4mUigwx/Uu+GoLUhUbmI5P2Kpd3fI
2ZKIVcneXAwuBCLomIShhQQ1vsEzh4pFJ+8Wt+fwPXeyxUg5JvnrhJJywpHeUWxCbGen+PB2JRcR
jWNSJ/ajkY1Hw/CzXzgQnN2Umu6jihOFPAL/M9CdyLsOkIVDHzv+HiTm9A53EITfHOlLaJW92M0S
U9jGtjre3AkZn1A2C7tc3Ow+opTgIkgKEO9b/1HSD8NHt2iCWlOPfgNzsL+XuKWPdWyB6nuqeBJe
wm2y7Cu81eD92tOItxqUfcog0SRAc9A7HTOSpxgUtG2/HL3WT5BZal68NpSesREtmTwiEtEeZh6j
esiOza3TwZwjUped4mjg6I5JEhJpuZacuit0WbSR9tykbfpZWUp0gbQ1SKiQ9pyTAkr04qkp2U/d
Yr7mVpE/KGfKyfKqpNwkGNIC+FocGYEjx1snoaUU+FveBVoVO2nAtctYRcVaQzXQnJesbsbo4M9k
qia41kcf9hSZKNv8QNTOd3Khbng7Cz269ZfF5DupT8YzHRHRJtVqkFJ6bB+1nIJOLFvaq5634PcI
U6od0KfiigNUfaDRzq8tYuxtnUiXkxJ0gWrDw00rApOEDwy5cPlbBi1bzJd6v5Ugq74h3JfwSNrJ
ZHYguXOPSnsSmePj20QRQylNr8Jp6RHioeEsUiFafgJVyvdDbUWfBvOEcBF2vSdsbJ5d6TLNZdiV
BSRix/dJN8y1I1EYN7VndKecQ58WZIlnPsxz6p5JjyGLJcMi3yJdi6H7+e10SbxE++J7E4dkYo0j
awdmSLuzkxvcw/0Bysrw5tRD9u6qGWaJEBikzNlbl53OC7HsyC8xZTHp1MQYntFrWZZoaVtuXH2c
vqe0n9bUmXPuI2e5TjKnWDpqJ+ti9/50sKiQuh1d3X4HsVKe+EKar95CdcEMtPtXDzvkmEYeiUsv
Mo627yX7IddRk7zBMbbG4kTnyCXNXFhcdT2jVi+1yhOWnaqSd96QLnvorBiC4si5qSYHG65o7CdG
XUwgqhqh0Uh78zvSXPtNQjU0QjWlKdga2QG7afBWgjjUwBYWQvaCjUi3rLCaopfIMc4N+TkLp842
08xxn2fSM5sDrH0JX1xD+irHFdbjYRTFVQYmCxyYeKgq339KWhhbQh/Yw7Ai0gklTfja+jC94uuJ
wsjqiwfcPdFPlpfoBktc+8ZYpmfUUFov1tRVTZg4/fDTYh5DO2Ge93sr6pK3WqbYxEHuhJRo9dsc
018wDLG7XWqj+gABZhDp6sd7jY9vqxEmu2Boc14tbFV7FtboUMGiCSmEzynL0nIserHD8wUWiNOy
yRgmFvkT/W7z0+I3ycfC/xVOMzsHAXXOvHGrfnlFU/wwRipsGdBILF5qLuydByXumAlvxqziMJ4z
yzgkMuXeojqke90foas1XnXDmJWbUJPPT1J64oB5Or53yrm6W2KDG2DnyZ3Zc7d0Zt8Py75IvnO0
8r3iKs8duzL2TKn8lYTusPsZo3njGXNyT5OF2o2+Vh5iYmAUzsXLSfPs5tMZomjfunGyRY5fHpJq
KIMGX9/DxCFm5wyWf0OW1Dh3hRfvpV6hqJYNifeiZzIbJwC4bU1XN0vqDQ+IIhXDdq8OLeGXsDgq
pTfsIFJjUlKv+Vp/jdrm0mHuYcTkbxdSrPs4LjvSciyoGycVVExTSzLsCkebPvo0Ql2Zf8d6Dbcn
oGoXiMupuaQxAeM1BKx5rfwwjGHYktWR+0XXrW05KvegFflMRDKJ9/lsJGHCOPqlk2SMY8WsIKnx
AlFr7d9m0yR2hPhUoKlY27uMm6uNT8rrLLrOoaJgprSPL9he6FZ8M01Nw3CQsrtxHqcj6WBz7w44
IDFDkUutC5z75mKXASYxPyw0x71nAZPXKHbHbdMujOhzjYhxnvLq2c737cjoEmq1eQVwRGwNms3J
6Y3q1KM3ICxl+lYfjXHfND30IqgkWzfnRGYCQdyQNWz3oIwN6Kdds6NUXHpdCJYGe8hJZm51rHnV
56Krup21VgFgzRdHh3vmJY70OMzpqbwTasx4UpA+4myxDsxpXHQSG8tVbiT0Ug6L/gvDQLWVNidV
ZWA8noThH5ehSbZOVAAh1FwIOGTKljU8jh5jc50vV1ksYe/aNI1wvpo26l8KAqhIybjUUWzIv2/g
Ok00eS2TbQNA15z3rlyq1wlyUb7NRRnDpZ0WarUx6j/njqN9qVqD5BDTwIKZP66QwTR0vXGI6vSA
uZmhQE5H9K9hHir2oyIaMRv7df0cL/iFEMad9qFk3HHPiZTHMeVL+S2S2DsuVuw+dE2kPkdqj6h4
ibo9g5Zup3JJfsTwcrXzK3oyNl1nEb5AE3t2XQ0qg5Uaj77uL/ahdWBNh9L0SJMxVteZQOnq2uVI
NJsYa8F3Tna4CIgDNA8l/eY/qqS2hs1YkV3b9EonlZI6i29w/qJbdEP1Ybfx9W55mGazRzzACftR
4iF9HkYh521hc6fwhK0tm2HUm/f/r8D38+rp+ncxnWaU//pauk07OOh99d+CH3Xa/8j/13yWyc//
KcZbfyCb6wwL8VUbCOz/UPvCxQ8l3OMb7K29L38T48UfON4INHmEXBnKee5/iPEW9jaPWyn/wHbX
f2X8FTFeePySf/Kw+Y6FS4Dz2HpZtrlZ/308a4zdQltoztjCNOXAHkVHJVy1cxgGbW3YqwQJui+n
ZlWmB4agtzTO5IbUxhgteGCDFnpK0GzeLPczMYjN0M/vIvVPdpt9+P54Ur119QV5ZpLRhyzD5E0i
MGzd6FX6zMh12dzpLUEKguEv/dwjjvnQq3SyCi1DyUIsNswCnLOuNyoEOedkOmkdCpgFG7tjkxgB
sm/bSVq3siquSUSrIYz7E6IISBG/uLZjwj21zaicx7u8xeWfP+sEF48z9jQy/I0R5I2Ewq1Yksqi
6DZRZ92Srf8CirIEFWmHc7IiPwc13qNtNNt50adtVTcavvmFfaW9EYT7GfSDE+POde+wSuPY8trD
NDBEbVaHX2H3WHWS5Gr05csCugnYHiucVlT3fCy0jKXDoRD0ttegzxhLPzkAsImh+dXNqPshYR1n
k5Zc+nivi71bukylzf6lnHB3JVN7k63cCfQxfTuAV0fbx2vn+pJO59EXV7cnGCFJne1Mm79UB62y
KSxrDIDBPC49BqcOQoqZsItF8znJhus8TByFrAhVUXBQqfUns7bgpFUMDWLg7RPmfRMRYeacunEH
Hxw5oRSCA0S2IA6XgTC0F0q8Tn5NkaiXW69ZscjT0DY/FhMvU2Nwv8g5cgRF6r33scbANOV0ORvu
ELjKQSSOdY0Ln/xJGMDZplN7IVtYwkswwoHOWEq1yu8cbsEmmgq1T8U8hOBNZKDP5WNXZS9mUdcn
PI480mn8NuZFu3cZf2y72U8RO0pujxAcjz4n1ge7NJIgbeDZQNhDN6jVxVfGzyXGVQhzIDD6WGGf
h0UMK4xzDR+ftJ1r1tIapzO+dT1v3FSu5t7pXjIedRFNbC+4GbQlDW1s1Rvs1izM2Uvtp88MgYHo
gHy3VvNYCwVpC1In3jCiWYLCzoiRVctDCkIBJ6ebP9vsDjdA550tzIdTUps/V8yfAaVspydOHbYj
UmMVzds6QXGNEpoYiNHwgqL2wlHLCogOdNRGDx+WxhPBgMqERmPfYXNLgiSOPjU5vGKwQ69Q7c9F
ZD9pMiBtF+XnUXNf3bb4BoSpwhH4xB6oDmw3j0omY0pPVT0+60r70aK0FdyQNm6q+nBRVAEl+n70
jW2TVVgP82uBFy0oLC8PPFQouxo+WY92BbnmvHSjAMvL/VLLQ0+VdhJjYoHJqVSG7yy5WcgJzENy
2zDnqevycZb2SeaK5ziBo6zDVhtMax8Vw0fkm78MwpJTMz+5Hk+mqTHkpZ0PUEp5CwuEN3nsfoES
7Ig09HufGzi1d/MTjWuvfWdSdlNC4+tTLRSGfBCmRbKnKJDXWakqV31aCbK5TP3L1GfnDJRCLXu6
d/uS57WzSATF2Wdqek9j330LQSAwygEcu+mNranL7Fd3qVvdxIt3BgB6HZLcDxzBCSn2sHZ65Xzr
5ROo6cR4WxYX14DvUqFY8v3TqoesyU567320qfM/2TuT7NqNLMtOJScALZQGIJsPry5YF5/sYLGE
oa5hAKaVQ8iJ5QbdlS6Fe0QsRS9jZVfuEj/5+QCze/fZ552qhltt9Lt15DV3buO+TO7wUZvuLe0A
N5wEj6BLJApsHgHIRvGbXIVdee+AgWT6PO8xUVRHO14mj9yBp0Gny07wjFQwLx2FTHVzWVD3efKv
tSZmsUdyhrnCrmyKuy7sT5DVKbSiGR5D4nasC/TQAEJJwu8O7fNAC8wq1SpELxp/A1tt3dZMOgf0
F+4ipMod67WaeEhpTXYV14pQ+pzQGOL5J9ej2cmPSbf43OhXzQyxn3o5T+iWYrE4NAM+4SIYk+o2
Mfx4T5MMGeEqzjdVvVR+cI0ImMScXLOkpChl2mI4+e1QsEhPM/bB1nTjTrO2Nuf2rRaxvhYivA/N
7mCwaKU+QKgNi1u0TG7rBUy97jJEJccinwOX5r4um19Cz3/kIYiQn2VQGo9qhQoqBI82UsIhXbe1
ayCdKXSbnd25JydmCmDoyS4b0ne4SLW3qtC4ziGb6ODQ52spqVwvjfnRpGJ7ZfKbBPzEj61tINXi
Jk2vxoSobNqOAaLKNPCHjAEyvPKGvR/99ml+G7p6fGoTAzi1508iCtaWPcE9jRfPCtAv3Q5NGe+Q
ISneNxN7cqsIOpV9Z013jQOWfNXg2GdrToCF3U/CgDtpak9M0GqexOF8Zv5DcxXsilZy9m/5MDba
82gM29khT4RQc+s77N97AIDHiJ3Haz1RR+pb8pqfFstu+ti2AEsvasD/Arf4mvpIZXuF07CKHTAD
ojPrSgu3vEw2//+c+qdzKsfCf/+cGvTFZ1y8caH4+FcrFP7df5xRdUenMkM3hbUcN9EL/B6x4CQK
Dmp4CwL+5xUK4QtrkRb6whQGcmWshb+vUJYz6lJrqxvsV9H9+X8JGLWXtsV/fUa1mfU7wuMM/ccz
6sgUsIp45q8pqpgCy2na23kshodOjjiDTW96GkAluZPmNGPSckGOaC0Lh7dNxjn2OTYjneoYp3+b
x1B9AMC2e9G4WrLWQ325XC4fSmm3Dg6kOEIXa3T1dqgnb0d/E2UYAPOXiLfoXSKjcWOHJUdLuTQn
eaq+l+EsLwbG43YdVzYoR5PHODwtSLx2PQonOVgLeaWV5G8pB5wv3cigGa9YrZ9pk8KuXNsvMaK7
iy/oEmJ/JXdxpY2LP9un9IynaouXbhWaZnVXstHfAUp6kBvYCqzJ1eFObcYkvjTv86FTW8sxwjd8
Otp9h2YPA148bcbEZMYVTtOuSrAzhT6nBRpTyt0sImcj9KHhbJHix1qqDqouy48+cpWTXlXWlTFL
4xipRK5NciMf8ay6XVXp0U3MMpfEZds7v/rW6V3iBKW8HSfHDhTapUM5doI+WQ8/jlKU3zmz/mzE
vnmK2IdlQdzLCD9eLR9MsPRAJsN4oJ45FcRTSIuDBRj1ppWVuuAEGrZVPMTVLeo4mlPIap9nq8g4
i0bFxmgIsmrTxEGz1o38HXltcsFFlNOVNs7TZxRj5V0zzoIENbtsUwK/X7usbIAtQyO7duypwdzf
2GeuHNE1PzUoEiL46hxNGXZM13YRcMXc/7kgFDZ/dxb3E2KYbTfdzHVyJUI2+qOOGNnGowKt0BJo
oMygeagjvYGQkWQWIfjmbm03c9JQk9EbX9VsUhGUhTpECd+aDxwTpxfm383GS2pmpLYFdwS82bMR
nGyDy1CxXFnqMPEfRcnKnN3PYNwgl2rvhqJmr8Qccu5XxKWriAixPoIROEQ3SEPF9VqTYQ5oWYyW
z8t8HppV7dD7e8XeTo174op7g5RR4ErnYpUmgmJBeJQTrbTN6kXL9a5+rqTuHPWxtm6kAea3IbWf
X6PaGH5lnUFmRfaj2FFDa13lWsocK9Vrho2QLOKjsfrqtjKb6qzFzEiTHFNiMEauuGHXYtBFGU/a
a1cz0qNyiIFcrQZ1QuGj3KCsQ39LTjbfd7C6z0UZNvdNUiR73ndxh7hzjtClVUshaOyZAgqQpVLA
2D1kuNoLLXAqLrVq6qMrf47Trc+B83ooQrQ0XuSfu5okTStEFwXOMBq/wig2WMx22BqLofhMIxMN
FK1TOQH2pr9zJr1Yq1na/BmNuHwLI88/qNrAuTfYAwO70UdMqPQj6cTiIevG/CqhefA8AUy8mhIJ
yMrSmpJYiwuQLtvu1RaleJVe6CfrHrfO1WQWaUAraF8ygkPsMHSRCX4d6oiru+ZKxJO4mLlevBrK
I5NDS8BpDNmSKCGSRwpG2KqQNIsUrvnU3uEi6/VVL9Lkl0SouNVmLkZbuCpn7+Zp9KC4sQRD7w3n
qmBQFDBucu9m/v8Vf3F++q449v/CMV89iMjj4jOn8JWAkUSmbZguDBV43e0VuxjtarZRZHQts/8V
MB84JTfh4Ra6k5I31PAloqwwP4LbxFzDjPp6Sk1z29hI53sslHtrOU8hb0xvTKtDS4pdDB0nJ6pt
NZQFB8sievVqrQ/IsKFnGlFzQnvp7RWB0/xJuVZ3mxdefAzbvEUz03CiYlhmvEzM1+4k1Q6vSzy8
Ws29S8+RzNwXUtMRKRWfI2bTWz0SOi+/8zKD36hEuZKc7ZQ8TrhfNoCq/dkytJ6Ccc6IK1H3/Wef
2jZgE9wbuQESFzuhR/o1iyc0eG0VN6clsvq85OGtPTY+KDhIHogqxws3wim63Vya7mvVZ0Rs7TIH
jJcTCdIcjQXuOz8+uVbJnYUEc/wRaRolJJbZFO+9UsVDNPnTJc/89DUmmL9hcUxPPM/lT6DZ6a3A
Rk7FSWxa1xXB+G0na/9UiipZSm61XxV1mzX7R6PYik5nsFxX5vArVFPWrELfK89upXvXNj+Hx0TW
YmZawK8sX7J9zWlceUI9UNsrOy9plkJpy9ujy8InTwvlEd87DTolkhOrrxX7qq44kc7ud7x+p5pP
q3PNH6v+Gh0p3rSFdm27btOJ+tZCbf5LamytaVeNbzl/Mh6QgtAyH8+s22SCCUyfpfMhc8P51OWZ
dlNKHQjYcWJivU2zTD7op7+2JS3fTdqX11aD/qIveUsPZXkPzN8CfXIfJcNV2SMdao64gea39uPY
jHBTtnqKF2Kd9vDsQgUpL24519k9kWLnv9C/8t86xfQfi7bjD/n2+a+OpX8Qbbu/2cw5mXaClnJs
+WOOySDJi9kKp5oQtv7j4P472YP0ioQTGV+do6xNP/Y/yB7zN3f5Z/RhuXzaeX+6f2l0unz9Px9L
+UOBClGq6gpywD/kzx/IHgnIXHQRTRM2rPaaJuelf80cSHzQlL3PWapeZ5VJTkDwHsI5FOaXIk7m
txqyAG9arF8004C7E3526YcpvjRcAA8R3Xha0LZaus/o0e54zgquSkXMhp6ADk45Gnzz8HqejbVi
62hteifGP4nX1r5pflayyLJYz7LUYFVLsapgxWBp2RzoyzK35Oh+oHKDDa9GA98DW94aNjV3jwy8
GlpGOu1sp47/y7NgxInhaN7FS6d6H8o6eoa8AV3R7WpXt958rMp22uZJNLHnCtPnhqak7Vinxo1N
/Oko6OH7qrvUPLCxhXpcEFyzbPQbxAb6nkesOEdtziinX1bfYlmC+7o7vollMW5nsX50frbl2bI4
LyOXHbpjF/ODxeviWJtmfw5lRykNMaruue0qFMkhx9N+NKcTx3l51BMLY3Kstd3ehz+ZyDGnOCyH
cCyDOMYzw8Nc7dwqth4gzs1jGhbWXf5DBWSR1p7iBRUAiIYaaBeAoBskE6wfqoA2GROnUFTv9AU6
COsyfGfUlO3sOmrf6XMuUlJaC6nASTC+bTCGnZ0fkGFBGqysafbpgjlwDod4QJOof3kVmP66YBu7
jn7oCPRl8hWMSQZlt9AT+NEMDJ8a12prwStKX6pXsSAXjmKFy+sNDoO2yuzNKsr5vQzHcGXqoBtg
3iyTxgXoiH/YDq3L5wP5LvXgLeiHWiAQhyNKEPX+GK+1dIB05iDuX+qlmjlAMpaefJyR5wHf8idT
S9gSZ8FMqgU46X7Yk47ANwQyiRQOHMApVeSmd74bWc8zwdddkkfZE4twcdKqgnlSYS2US83T+91a
0Jehi81Vu5Qa73tt0neav1Ay1eCnJzTJaBwXiMbgMcBIKmQxXaKbvihl5t+oXzMuTQk+w1C3hjMu
Bx26NWHcqWgEWjeeW3yrECJ0Rbt0S63ZgvYwWAbz8RbiBxcJKoeFAsoNiy3GMHjFbkgY3xd11RLp
mPiiuPb6T4jX+mqY8+ym/2GMmIID4SdD1q+sJjJuuZyRXjDG8WK7udMC/QlAkFwUbBjofRkaQiD8
0jDjme2ZLWNmOWLL4yz9Qi3E7HgBopaQBu3h4LTbMUUK1PywU9OCUSVuD1D1w1YNo91/d4xo1umC
XimHPC+j2YXIMr2BhE34Q2pNVorXfcG3BCOtNzUUIwvuBe/KFtBroB7zsVrgL7FgYDyvuv0EgPfZ
0I12KBjqHmFbIMfoUIeijVrpAK/4/UnQWHbk2tqclk312svi4TVeYLTkb1zaD6PWajSpDHpvV7d9
qpvGwdUlCjB0OfVekQvUggRTA4dI4Vh3bETDK790yAAJfURq4lradBVXyKH5C3e0fdp13UfrUgq3
MgfB5KqMcjLRKKVuh1zPQ+7IRGiMaMQOShoQfRrDUYzxaLF9a+PPLOI2GXU7ArEBg/EVJv9OBX1t
1ESkGpO7BbOqL79wikPSclVxmmHoNwBcbG6xEpXP/Ny1J/xZlOQaRTS8GMSije2smy2FymrBp+vR
0R+zkbZnXH6u+K4ZucBLMZn/IhDJisltS+PZ7fCQbdEV6pLSZb8PA9dU/MlR8JhYzj3mrTBJxefU
lsNjVeA4XQsnlQcUpvxPegn8DYilFZ+aFRbxWihd3CoxmWHQE7s9tq0COZ8U/GNQsaG4hKD7H+Vc
kkJD+4Z4Ssf7rLBbldTaFxo3Ntwp2L6vh2RIOzIfNCU2fk17FEw1pRAy+mLWkVcrEvYVhbS2tLyd
I/KRY3VNt53pFlw26ZKgLtzt+d1lRtJccdFDnRbmY3qjMZV8Ddt4nCmiaJIDf/81M4zYIzCjq7j/
zvweaKk0eILyxqraz3a0vIe0tmfSJSqPXvvR19BoFfTNoG2Xr1FOJJBBb3NDjCPfcVUx6hXpWnmB
eICyrQtL6UAmRn0flouahoycKzedaUxiXXh91zHdFNVBLGnRlaO36uwIFLWcfx3zpUyKKDx4DF/F
uqVHk3JGp0RpWrW2MwQhs+4v3lbel5oWmF4vZTyeimmimHlm03uqLNhUfljZ2K8m3bMeZO/n901s
m1+kBCbzqE++ZL8kea+4kwcP32p68agVdINwzS/de5Nb7VJ5P036sa5Lh8opb0Ln5yatc65aEEpI
Fat/XeDM16Vh6KVyqmaDjKq6TNYCqcxVGfrBSBkByvABn9tzaPmhvjEwoSfHCIFEvUkLPdm3vKWv
RQQRFZhejyJ8ssmPLdFphved3sjqiIK/dKgFyvwm9tddVHkIyI3Ef7HJzDx0olmizV4pOuDmJLsF
VnD3Sar8R9/gz9PqIt6RbOFiSleYtXfj/AufR/Pk1zq7gs5m5CFSQ+f7AlDxMHPviqZLd5lf9G+G
4eF6M+M5qKpB2zOvNm8L1tWvRlKAPXSe1wQYSqwkYEdIia2teZ9cYcf/wmn9/03E3voPDTyBLD/+
9//6Z4Jh+bd+nw6L3yBWfgSyPxzC75Nhl8mwxTHOYYngAiRwzv77Edz7TbiOzRPUNSzoBl/n4Px3
uB4agggXSgCH8zdjY9f8K0dw3gJ/OoJ7tsXxWxjw/aaO4hs/wZ8nw43SHTaXtUntWUuptadpNIOX
tvNh5vx2QXVn7Pqi0nJu86Qo99YY1yc3jvwb7uQp69Z4ZPvellbxi6Q5fnQXMJuprOcHJslqDgJ5
Fz2WLOGIkeRxz4q71epg5i1I4iwlRyJANQGRkrh5DQtaNECc++jgoe1zCFg38tlO4/p98rVyZ2qD
/AaWJP2fOhwjmBGX4SlFzo+11U3DjU5PQ7VSiT0sOUkLM2Qat83GzesSAVql0WVIe9bM83Y0qSLI
oamzDVvcsSKnnk1XkprszyJFqrViD9t/OLnjf3WchjtaK8p2vUQW1/NoupsyTiwmmL2amUFlJYnR
VPFCKMG7DjziOntvlQN+PXruskurId/PXdGiuBn4U3adulOG6OXFZHoOBEnl6RsHSP9aocA+2eC8
N7qmOw+OrSwWlpafAE5q7FCpmTVv3dTWWfTr+Rm02DyY5JUpFZGIAlqT65PKt8pKc96cwBF17ffP
eQcdv2uhwXe2LynLkSjdubvEFUe0Mtm05tzjjbGIzNPgshOWx4OwEsPWHJx2F07dAFrvmGDanaqe
IILnLCiL1LsqjJZMVNM3UaBnBrT+NOR0dDUe5+8ZmwPRWBcXW23FR37Rkm/I1e5MFivb+KjmvjLD
9d/NWc93lVmE9xrHx3xFq47Pmy6LdiO/sWd7Cfa3fl4f06hu7jkx50dTb5O93qnmQdOsYd3YJHYb
T5AlIJq+y+bOBNbn/4dbFQQiFZgC+JWND9yUs+1Ml0IWOE1pfWuOV76XCwKXU+iQrCZh1FdMTL1H
OgnjB5lH9UH2bCtbOkbPGXaIQOe+diT963z5NJcQdHC7m5wP8LpiHbLxuLc+9GhlkEh00Ysh++IC
zGCxMIDz9SoKqslkt+wntNBlZFzW1wkZARk4peXvaSxWO6oiinc7Jk3ALt1RN0bYtl9p6FQ3looh
DmlTv4MqoINYmypwbtDMFRNp8ypnWXEqs4iPa+imPmrhRhynxmvvWn4RiaqomijLPAZkX2MyYOxX
HrtakUvnACXeuhqNfhshw6mgIBmcjtrRyagWGBi0FqtRt4yPQQ3ek0czY7gL41k7V9gcNlpcwwg0
Q0/nBLAxI0s7PVkZQ+g1+rdcXyUQkM8w0jldVcqrGRziMdqbMxvj2YJiwaCDhj6umlg9Y69gBaxK
kbHk6OeWQqxMwWRAezxnMXz1XpSeHkG2NpG/AeRLv0dDb99nhL8vDV7Bm75jnMgholkiaghLrzKN
BbCTCVRffFyqz9g3pl9hVhNwg/xkZlwhWWJ03SRcbmyn1wxQd1sx1sSkjw8irCukQoKPZaloemXT
FVMRw64nV0P6RgNDz6Gh9x8jxmdXozXpBy4wg7cdi1YdHUoF36POnC7m3HGG8lKuaOsao/dtHXnm
hcVOy41JN49uQRywYzV+mZj6L8HA9MMeBiMYKDL55UWac3DmWkBcURZ5Flbh4jNt5ju7nOaLlVHx
KltBx6vNUfVei3vjoMtq5Bdbbz6o3iCRp2pulyCP4bANe31ECZNH+7rzupNPvuWlaUiztmT1PqXt
lMzh8xALitI4EUfiFPIB2kbYPC+s7Nx9O2riMvTx9K15bns3y6Qd4G8KeS4xI3DP5vx2zzciA0N3
qrNKSTr46I+ufcIU26TQ1WdfgH6vvUZFz7Pw5tuy9fstp+rpkfPiLNGNFtWj71jDsclphp7oGz5J
w6cjTVT1U9dpDaVolHZY/PDGiWmqHGPvMQ/1Zu/YOYISm8dA7DAqr/3nyMjkbrbb4uw7qfOqN0sj
OG7kbW3mzldZx8XZs3qDvT84RRaZ8t6qVIypch6OjqlVIBP5eE2uPndWXNLNLxHO9jqDt7jGYOJw
om9E6bBp8YtjSJcvySwzujJ6rTy1fsuFstVRya3JBmRfeSMRxikt1N/9BtzXq324rUFCHWW1uhGZ
dHZF25sbK8+jpwh345kObUmpm8VfGHeGijY1oxVXTkbvleaW9g0IGtkBNcsUpi7lORxzg+J3IVFZ
oFMsA/0719wWhNxk0hs3sNyM/su462/NEVINO07dccOUllthW+MBscr0yTiMcWOtuWhQ3TT6yXfj
x+55sgoLFKgt7uiCK87WULpHq5yQ2Pga8RNlRafBmOrb0CDwu5Jx2vJFjcLmWM2hm78bybXEi8ZD
Ohf1AcpBHY2wdihL8PVH3tBYjfikGb+stNeDrGrEzqU/9aqj2Qdh36D26CTanWE3WMz5+BLvKSjw
wDzEU7aqBO/ZKbnh2Qh3kzidia+IjntRZo9kuq0n0aHbbpFwnIkS9jtZkJtf9ZoTXw1UjTJlm/tN
wgDnJMgZbRUbPcnsfqi23uwZjykvnoOjjE6sJFLC9UALSkObRspUvAqzQ6gRQtNAlFWgo1WlM0da
37kTcSuass7KA7vz0w00nBLr2cn88s7I2klfMZgjLw+uz/HfezSM1PSgaVT8agy6fCphHzcEJWiF
I27HWDJV82dEBmzdky6+LYzJ2OUGVgMvtZJnmeG1qP1EJ8Q4thvNY3+ccKC7NhNX3TRiTmAuqzIB
/aKcfguoGG3S1mk2PJydO1U40zYmlr/VPOYfEWh1WO+IDFY3aSWjk+cj4mZWpY5mt1gCx25fhNmc
rvggh2dXYM1rrRKve8erl3eZZNHv6gxfc17CbZ+NXwP6CYfT5izv01ZXTzYC+m+KBtz9bIQDqjaR
9e/S98PHJoNRzfin67mYsk2fh+CGeI6D1AC3UlPjryMxDr9qRyZrmRSoFv1i4u5siZB0nyi/6DrJ
Nykc0yGvp3wfhWYGG5hUWy3BY+NZjv/Za0RB8Vo3MJktO8oiWaqTCVxAE/jqpUm9bmsg6uZoZ9fX
orK6TylSCgAKynBW7Bv7o+ZbEfFCXbRPVqKcR4vVP+Shmcy7sku6HSUfzIUMpQ7NCJ3qZKqJt3T0
mcWxKHTj1HipewvG9j6W/OQGBnQXmSftrqy7Il0v/Kfhm/GpGdyYSBnuPNoF2lM9MLh2W6W/8TQ3
X1LPVjcYk3jwxQrBYMWDNXDbxjpLbUksIs+5YsVYQkCF/Zt0OA0HedUm+SmrZt0KskmvD17cNM82
GvlbTv/akZw4ITovWcBek88kxUl0h9OJUT4BgdLTJh33khskSQe6fi4WhpgPtzFwNVbO9BlmEn96
oo/L65il16rvO20/mWrvxCZzlSHKLoz4Y16v8J+/otjNrhueKR7XUWlinU14s6+YIzYnx0u5izRR
jo9Gkwvrp4flVzIYaJAT8qtP3iiT/YyV8tJprfHc1JTW9BxhAkl4YjNiI7tJJhKxTBo80Be8xgB5
XWEzK5lN9VjEpRbBivreNW+c+ezWPJ0ZRbFsnSvTvvE0m1IHNXIxC9zadF4dlg3HtlfWSwGd+EkF
k/6NDarnYaBXyX09G537twv0x/g/o6/y5m955/9R9PlNGRddixz1ny5qpmHavC6XtDOPTmChPyI8
zejPjMkxPeT6zLb/hd44jCHW6g+A07/4Ksbyn/lH2Hq5D/75y/wbtZyZFEXK4CvbaHvxOG/1DVER
uaLLTm3FFhTuFoVJ8J98zT8T9HxNj3suJD/fn6fzLf6bb81pFZzl6CFXW2NrCdoguxfrD4anG+0m
2f0nX+yffo58MfyfQNRMt4XhLRfiP+ycaGpHdp9XwBcbY2tuEIU+4o5fG3fWcdyJ9+xIL+lf/ga5
weOT4+t6ghT7Anr96WtOJc3LHUaK8YOb0b7dxTvtEX45yNcELdc/3+Ffkhn8d96L2gQs/n1m777/
aL7+eRyz/Eu/j2Ps3xy6e+gKZoaiL1rGf8B6zm9A8C6REN1mZPMzd/n7SMbQf1vCJwgPHCwJLvz/
/x3JeL9RPrz8C67L8dh2zb+0FQUX/NNH0HEwXi0LMQIWNqTez/71j78tNUv21iVGtuaGsexPppyH
sCV3GSUzG5e0LBAachy9rKu99CNaXk11XcyWf4ih3LF15C+NSTDTqHs7sGDW10k1V2t+CbGTgNJw
8ze+O4zbq1oZWUB3+4GCEOb7mplvoromyaKxo9SquX4Dd8ZONuYm5JXGsiFV1wTTLZotQwmYLfxt
S0/LMBcGSY/kmthHA7ONG4dF3QLu9BplbzYSWkObbtNkSNZWV6qdV/o3ajTTdS0t3t0dWfO5akmd
2QRbUXP5r+wEd6leYEGLzs0MhLQESc6Oq66SgXZ0QwO0A1Y69B40bkktZZAWY3bQqcw7+iR2V+Ae
qBLymfcOP3DmOWBgBgodkl8+4YZO594rukuSGE85jef7acrl2m0kDp+MEf3Mm+jTMSuX3YOpbap5
3EPuv+VM49eQkNeVW3BdNKNoM8iWoTfcbjCEol0zvf9VqfZ6EAnfe9pQ62dlgOxerLZVAqATSc+n
aLwiV9CUxiqT/C3l0FNXHcXt65op1Z07ROP9RK/hWnAFCVp6DlddZyPVmjoaxArmQqdlO7cjSNQH
Wdg89jg8VsznvVU8zem+V/wspY9NDqmhWOl+iWspGmRgs3RYD4Z+tWQndhgzxyCZ1YXVc4hwW3/k
7v2Wllm4oXbwm+obc2XNC+eRjpvQ5FdNQxq30mjlI2SjvsNh6YlspjeZZ9dKZQ+F5c17UxMeBzwt
2molk6EwLSaSRF32AWhzLw0GXlmZGhtSxpwTubTheqN3uhy8Gyud7F3fjf7iYp4Dqgjmc9Z53/bS
czi7WDwHXHa0/w5sZXsuURX1rQnuUdoylhrYBvEDEadhbbn2cEwqTogGpkK4OofINVU4e+bdxboP
PWDMobxyzA6/dR0/RbIUl6wWz9w324NWaQnBeg4u0Kcf9H88R13bbyRx64BE0rQJyYAA32UVSm23
PSGYK0+omy48PyRSAO+Rv5bjAPFAVcNIJ0wTLQcDZydKS15VgO37IrHwEGWRveZiaB+1CqwqmiJ/
6+hldphDNsBgNA4YWHVXD7zxHUb0TPk8mM3Wfu46X25yOMESkCzQkqmmYjWhOULqKRwDdbpkn4EE
fRK2TQYsK5bvyB49WmbrO29y79Ocj4JN3SyI7XTs/PloKq3YoDPk3qRYPVfsDxmY7cxOyu3gsZgG
aU3WIsvRj9rZneNLFoxd7a8xP73RZGBsKnf+4L0rGZaGD0Zpk0XQZboSbfzCr/WwLavui1AxydXe
pLDCILcLxMrIwuhX7Dwle6H0Wo26wjSRu2vTHqedMBZLbDqm99TYXFPsdeCCU60EksPVPNlP8cy2
mUtyFmgMRXaWXp1nPB1rm3BAKbsiiNsIOZXW2bcUD2jBnCf6xtYGc9dit9loodY+9HCMSGQKknuj
Se6iK50DddjxftYUxkleBtCQ0wXNwYwrzZy4x+c3AJUZJ+io+QISICjNVn1LzlwFqVAtgx4KW5q6
IWhFcPnglLJZsxHdWG7Mws4u+nuz8g5m6N6KMblQtF5+tBOL/FWbqpDQaveqIuMajOOJRFd31PWU
G6NmnVGhz9zmsZA3U34hKNCvKzb0gT2kt+Woyl0+ke6TERGxQTgRbgWq2+KEvXznptGm1oTa4r3A
rzCwubRiD7SRXFAAZHCLHgEfhQRM9NsOx4vXGQdFfgsHS9Kv2rG2UbmYJnryvo3xmTaY9lA5bKj+
xc3T1kTHU7azxzyy6GJngn9MHSvZY8WYtmXa1bvCJTIXDXp0FmR1D5M7VzuleySly7w6spEW2yWu
uWXcmuzYNvfAKpa1ywiIEL7XGO0uvsmeMp/D6Nn6njwKPl0u5bzbmhdnMrWTNGsOkW6jAr/BjZe5
zpvDzn0tmBqtRta8xxLN0SrNx4b4hT7tnNKLz1VjFoE/MamghyhbD2YcUpcDrqwMIidlNYRvvJIj
hI4F8/ZKp+AsEvWTPlFhGYSmzz3Z8kITWyPr61VkRPO5cttu58T5QR8gUuldvrQMJbcG6ZQND/HT
MDfc5Eni8NR2v2QYYvHlcIzWXJPffJaRpyMj5vpt3MR59cW4EmYexc6Tm+KNkWEz00w3zGtjtHPs
pjgKKhGKXdkCzXNl4dUz9s2WlLPFRxmcslpKk+BDbTJPc3ccPac/0XazlMGGzUbvpdqWU/KOD9Pa
DlO1q6bwceb3f607Lf08wubinj1rFsFvt6z57zn9qwOX5BuCS3PD8KuteeEJoIdAEahe4o0mVwf9
nkbUdvkmsWlY4kHKnEA335lJQ/bGVGUd1Ax41nFiTFSbq/Q6U9lz5XI1iwdipVXtXxJ/ULyCDAHa
XD+i9f3SrPqKjFgKOp7dGjPlPD0o2cqhAy+Y2QSvKlHc9Iyu161GwGxkkrEh79BvoI9528VeuOpE
NQVJZF7iwjhP1cQOO7UwtzVTum76zFpjp/ukZqIPiLs/xUuXniOBsxDXTKu4nGi4MobxSuNTs6oH
5u1mf2cLVa9ro/xOk6JFwNu9duX8kUmF9cGm1AY5AZWtTuPfDXGKNTelcGFoqFdn8B5Urik2nlkm
Bw1cZJ3mbrrrqu5RzuqKqAGrNG8g48MaZMePhz63jIMhPxVMxgV/eireRvR6Bk0xufnajiWTIP7M
U+fdyn6K937XvUM+vadNM9PSaJYBs410r8jFYZ6xD2XY1Rsvlt6x1CwmE3yzjxQMv7Doki8hwkFD
7yMUk0a0Y2f+kWmFvuZvLt8Jf6blvXdfQQfdnd1UMqDTje+nbf0DSmbOUpEIMU4pbDPzCMGh8YoY
8VJvowV91dr42k17cQPnC3BCHdmh+j/snVmWo1iWrqeSA7iqheh5LHpQbzJZ98Kylk4IRI9mVOOo
id2PiMrKcPPI8MzHu9Z98Yx0N3chOJyz97//RmsT6zwHiVdnkdsrDg9lUj7ddLkPtKKXMUqsyqe6
js+OgCEVQD6+FtKCZEtd7Se/61LJ0+b5UxIBFmD1vcXTIPU0sWqsuiC+zT7XGn+tWnwsqaId6N/N
M+CV/IhIOrsbq/gJtgiwFbHfd6pyvXyN6nn5qZQDexwJ09lLJGgE3yyFxZ4RYLnSyh5sfTGJCZCM
Ltg1Z2kII/owiAMGteKFn4WGZUKvmIspAx9lRd8NJe5MERRES02ZZeH8Ui+VDblRrmWJ6o1NuYic
oZBe5Ob2EN8G7mmUcmqP1PAlgKDVLxDNTCWexIsUOFIYmiCChbRSxYRZnaEGUY1pKArM/TnVHxZ1
+yhchDvm/IWVTlMGIUtPrCmbLZcXBSZaGssTB2cqALk4aZQLv6ML/781/R/bA/kvKbvWZ/Na/0lr
+g/Crib+B5NE2hZSXnWJtw5KwN/ZAvJ/IGTXidlQZE3/ncv7j9YUjwOVjnYpYz/DCPh/W1MNIgHj
WqBKGL0SP/VvsQUkmSCFP6BDtKak/9AwozDH9Y2khW/giV7WZXc+q5INnV1/mwNG1xz0pcE4o5K/
VGlBaCptVW8pUcUMaUIOZiEpWryqeZPvOnRbJ4VYaq+NlIwKQs15eZdSEa0FI2XokKJ4dtoLCiso
NvrZLAX9Ynhx31QnQoVGan2M77EEPpP2wlQ+dtM8aSIYjiol4QQv1+sG2DYYEuFACnfqTU9wUWCL
0I7MPab1slMBtPJm8XgeDemzz67Je4LB92oUFeERgLezDTWFbjhUze4C+5dxdE3DNCnq8gEXlmzd
jovRHWTxtlUvy8Ir+O7Uc5KcPEpJqZeWtKzLFfT56DQUmsz23uZ046hjjyNJCz5WgEsSRy5jiOCW
0lgbYwLiafMfcwPkWCfRdK9Lsvi4lBAAAyp1K2PMyd+Rxxo3YHaOwT8v5f5JQTCA9VKvLNwbkCVs
jHPz1U95hz+bTpxBLk4Uw5GoH+dqFvmFdDvvI2QAvqFd8d7uaTge2PYw5zLSxe56yWXJzFpJeExL
QfMFfJsx87uKizBWe3FVJAuE2ASxUWpiWK49Mr3DGQBGEd7monhZR+3IRo1LY+GctfOSGaI8vSlj
jTgLkli/llEa1na2aIYjGjGReVc07kkAxriiJYfME2kpUVEY+eVeW8Zy7zfMPpckaA76qR3wasG6
4lI91Emcu5ereLtn4nTeLa9t4ZfnrvKgnBThFTAXc/ThvPDUIavf5AtZuXJyrsIhzy8f2YRKCSeB
8eIrLXK8azamL9wxOjSlk7q1Tgl3WHQxlrNlrWKz0yhy7pPz2R0lNOdsvI027nvpMvOUI9JdMoGB
q6okwtkWsyV83zNG/3eLc43EZspGqJG4rKL9Axf+Eklu66zFDc5bHGni8SKmxZshtsANNd6RHCUT
nh8tw21TavN5tlURm6beSty09QV9myzN9gCtdsOQRk3yB7yysacVRMYTvTwgHhxaw8XwF30z/JU0
xIE6DhaX+Q0soePgXBjFiNz1Rvwc6h7yRV5Hh3rWU1nNxaAslJhdirfrDTwpFweD2lm8dLYaJxdE
15xC5L8vpg9ZNkAK+lZcE7ugnc6YFds3ZUL7ccVivW9yMlDzxCh9Upybk4Lj9F7vh3TP+CzyOni+
eLxW0zbi2F1pC0pUjEaU9aLIkbdT8ZQOBo8SpyjZ6HPGX4I9wwWnaEh9dfLEzkL9gGizOamMNN/j
qRDWYkeg7jhGRlBqOgnuk7iuuum+7DHFnGQEA4lNU5/vFlek4gRv5VZzrvpV34vPs9cgLtpK0VpC
rtAhwFmPPQXPDUcclWYzXaihHFHtdLcsiM41mVGrUHFijB8g5VGo61kaTPGip/nqKAgKnbxMh+Wq
PC2nmEBcOASCbLLOjWI9JGg0STqtiaiifVEZb0JpuC+jlPM4GrtL0BdU5TikpesayAOfTSj05dlP
VOREeDUl+WPP4HWL4r5v3ayQh6dLqQ/PZKPiUix1F2oaxL/Z83TrO5C2omlx8S0N5YXuXF8ZKsSO
mGxAxY6n1ghiw8BjTlvirHKZJ/AJobRRoElRgeEVFkgD43YnnlQsK2Htb4oCpIQKTr/awKTiqS4E
5VW8VcqzvGjhBPRFdnvHFhIyprZoJrTzFQUmzBGZt0TLKvmQKTUjYfjHt8ek6THmSAZoMRSemWjH
dZTcL6pq+VIxqSE14hotnlJl2R8p7Ovnjvv/iMHXWPMnHapfGdst5F7aqDDTPCfBVdCi/YDP5AEJ
qbBZFhWONf00ds8daXQeuUrwmHsZSpYh9BGTO04g2FIIkhlu62r3BDxWHvQxyra3RC9f6hLndQVS
rx7ooD+CCWWq+0JPVqyqRpWoiIvoadmCHf376P3/mzxJhbLjn+Py/1kTYlyl//1f59e4/NvH59+O
r5e//eflo/7v/2r+z9/2ddmnH5+X9/T1b9P8R+0r5lBYQyG//7limj/p72A+VEleFeD434IKETL9
b8WkL/E1xoyP2Ag6j98toP5eMSG9x7KYiokpEEj7/A/+3bxYxL1YIJqXX2RZkP8t4f1sW/VDvURd
oGj8O/o8/mHY9G3wI0n9FZBjTFy6gH6dVKbUWww8czgHm+g5+kivZv0GzX7hYNPKPmVdL5tqg+Nc
CRKIN8bqD7d8//MMcTmzOf843ZPhjorYi1ALGtKS/+LP/zD8kjSl6op4TN20dgkWt1OHKbBiQdon
OKq5WPru5pR2StqE1akHwfjF589BXD98vqLDEyPP3lCXKrXsd7ZpJqlpCbdl4RBzGIgOtAYvs5e5
1e8JobKweQqWX5e75WtzTF5In6t/MUOVvw//fvt8/HkknMQYmqvzn//h+6sMe69ZPWFP4/XQAV0M
gfs6JL18FC32aVKK+vMTYlPlES+bAUd0K88clTgYcpwMwgg9+a05qhdTdzNnge3QHuCw+pQfh8dp
Rt0sSA7VBkRb2Y/gGFb0Ig0HoNyj7vz1g5R+vpFLDTIx3hBLEjwhCv/4RZQWh8MhvsQuOyz+/oJ1
s28BPJjzwhqndYWPrGaeH5e4Fj7Haw2nJEvb9I7kUCkZtkx69UD2iNssVtFW3xaP4q+m1eLPd5oL
pJOR1CUjZVX71inAjqdXuHGBiKNtmZmu1BIya6qDBXY5B8muZXsiL96M7zGQmDC5V8zlPBF1I2fE
+elyaiP/r2/aNxcM6gj9x2uiu/rj0+/ltoUHVsYgYgdoRS6TJ7t7plo+f3ENuklohHOxfjX9nSfm
f3znvn/qtzVXYnGUqBWf2rt6iIWbJ3nzJP1Xg22RPeunz8H5XxQ1dh3avm+T+xp+7zi0VewKB47D
wsbfsv2I8IEgc+fYrzRrcqN3RcdZF78Zc7Il5xImzpxuXf4+gf6nVIXlfCO/f+U/XIo2r94/vGYX
KSYVvbwCaW4gRXkFMdRm35qc4LbhRab0qcHSufvrp/snK47ROkG3gqyw18rf9xZ0PFI6tXnGihsc
bBOuW7g/L4tdeVc81AHxFk6xQSNljU6dWgzFZLewhTecHlL3f0bw//wGzPv6jzeAa4HxzwECXZ9x
8Y83YGJWN8rlb9eie2S0aiudKK/ITiazGuymswxPNBMHOLyrLCjrTeWUv9hr9eWPc+R5uf94Ed/2
iFpiioSAMHMbp7dv9jXEd+5L4OMd7V4MsRODPdnvcca6Wxgm8bZnY3fWgyVmuwUZWovl1/JqV+/M
PObIsYFW1iSTFtlbMSfemJmBMdjzIgoZId/E9Zkwi2BUnHSrHqRdTdtHrSiFNPEUt+IX3BUL1Hhc
C6HoocbK1uk28to9cbDXbQ3s6pOnWWzFEC3rOWjX9f68173F0qyC29pYLV3FvOLnVzuYktEtWomF
923u92ux2jbEglP4pmb00GxhS4HWXhwYdEyC3kXYRbV/2/U212CgJDUzctMWqo9UC6dTMSwH0HMY
1Pv+PZnwI7Wam48cH23XYKpb1ZlQS61ExawW7mU92mBueNID8t7lK60NdMWdzr4OWw8BxWi/DK+C
dFgm4N6eVG9UpvQAHMY782R8rMr0aal9aCUooFdsL/sLacMxDlZrpd8O46a6kkLFZm7P09Mrjsag
fW7N4OW6yiRbvW5jPzpMCOdcmg9r9GmK4pca/adHwki5wUw5c5PG42YmH0lC2BkJ8Cukiji8ZG1o
NDw3m56qyCxph/qseMUor0cBDTlJ2CR0X5B198reWCtHqpUbBbGHVHFy4GoZOKH1Vn+P0YCGS4jx
JD+I/Rp1JXsL+T55vldKO7fOK/im+j1E+zpoiy8GO8nCKdaL12jNwi8C2H34BDaudsdovqQp8Inh
SnhbIy/BiWJ0CidzI1w8cpNL8wUGjT5g8rYhzNHOw8XjBQAfXZRVvzULM3XeOkB7f/Rbf7y7Hbqn
T4Dt2lTerqYQqmEbXMMbhKLrV/6aPMNsCDUmLrAGPm5mf995OOMR8nOScDFTbMDs0pM0s7CIErMW
hYVZowdCmnLIH2SY2eZ9efZuhjdY0n3jTPg0K864bk4L84YX0kO3gSeREsF0J35IJMOFpfV2/lhG
JFWzTKEeYv8biLz9DbGPdzD1b8YpYkncLH5V1LumeS/6N5i6MMWpQ1aSf4X6V2GCEsSH9rHDLER1
LtVjdI+UPVla4n5xuuHXY8u23vmYM8kOxig1d/dZ5JKb/TX2a8VL8h33GZdgBHjzqsUJwkSArT0q
hNLAkQzhdmWMvh7x0swHYpXmbfpGtzsHOfm9Huqf9a5LfCmysFKCtCQPj9cnMpHEY+deg3bLFurL
for8UYWlaEVP9d2wU6hqvW6FU5CNpHTHuK51RKzsYqd1ms4rPCYOm7awNSvf1H5FYp2LLtkCdyl0
f7SWB82LrUs4rQgW3SVXi9giCxvnyJICA8JUsUvfh0CtbeK6wL/F/G4pH6qwZ02JlBlkcnL9aEZD
SdyUe/1Jk+7H6lMqV4WwTWIYz6vp7OJL1PenWHxQsiPfp0UbwVdsnWqL9O99krZCF2ALWcm7NBRP
2opRYYfti47ln6k9Jq7iDOJ6DJWJW2/DEHyGpooAZE3QZzA61z0+PBOOosMK58s293OZWED7/CUe
l9vaKe5j5C3dXZrairU8Xe5SdAvOuHDENkx0m3sJKaIJYLlmC6cdbJXAYFMIJrcTObawdZ2Ouqsu
93G9K1JnfFhAdh7WQuECqp7PfvV6Vl3jStUX6IlzgbDyfF7601ph1TKZHWwHiO+8bfbVHI9tn7H/
QdHsS6d2mwN5ZndajRUQAXumaFaWfkcW96Fw86fc8Jk+Ly9eadefKJwc2dUO3Xvv8G84LXIsPEF9
XL2w31ccSV8tNzObLu9deD4kylW+mlvLYj9jF5ewAzeCBVoyt3SvRmCEZ7/ZNZWdvw9YjPcYEzhl
6yCNzwYb2m7vKJbop4u5xMYw1i2DcYsx91NxL8UuOIWKoe6m3p5fVTfRrBspjNtsy/ReOSgeNccT
Q41kNRxzOyX3juS6yLpljlCvmuvxilo59rVnSs7NVNk4CEjjptE30aOMUfSc7q3Y0KzMQQk0GbjS
aeVVIxyRT0NI8joXHALsOttesbLx4/ckrD6zg/4GJNPda0VYX5z2PN/Pyc0ecPC28HEIJoaB69pa
jF7MO1e9ioYrlr4yBOUOIs/IC8SwSLbxgBIzquRAXzUBGW3e5HGrfFj9tIgtBxTqaZhdtSl9wF2O
tsLb2TPWt48yC8tHYy89Q19XT/Vg/nWt9SeVNL4huiJgAwLxBP7yj/VNRoZGkUClcOGbqSzR4/It
5rIP0JurV6bN3RF3Jx8wWvs9qemfV1Y/V7l8Moi2Lip8OGS8Hz9Zz85pJF9+q6zSLVlTDiqV/dmE
y+Si9Hj8xff8sX+fS6gfPw0d5h8L2ayX8MKP6syNX7MPzddDqTc7j3iuNc+zEP6VMl79uXj+8TO/
3dtLL1bY/5D5zpk87rP1aJjxVrSUdbyi7CKHoCKS4sQiGMMGt4j35Tt2qzjFUueMe9SHj52yaVYG
aPzVlp5mEYwvrYcXHZrAkxpKdnMqOHDVw/Uh2xvui/BVB1FYhhlr3ExNNVS3V+rFyEMq5Yz+LmKL
f0jvytWELeZXQVNhz+Wj4haH6j6x0E/d3lAXZW6xGVnxbu/0r5wMX7jV8pvNodumDlkwfudKX3Qe
JzZUr13hOzpslrCJTLFx2XOgM+G22X/or9eX+CX+LGARYNUGS3fLjHS+6xTsrxiNqVQGQb8DtaOo
oshrUwayHja0/EdWgKjeqbo1rokq3RhbHH+Rv7mqPaJ5GklVdcTnyCV79jX/0EX71rh4ukRH40WG
joPZrQm2jfuSuE8GO68Dzn32u3RfP3RPyxcOQBj1zi3sX5ch2S/WeUfWSbNZbDWns3GM52gi/sOR
vGo+7Zj/2zf0/9YFApfZa3Ze7jgINDL8Xtnu7Ri/bR++jVPfYYc1YAV+VzwbYfQEc0/ECa/EGdS8
QRx8YpsUenMhhdrrcjRvIyW6qaFY023EJShl8Yjl/ufm8EhhvfiABtAzx6IIw/gbQoYFMxHRlfHc
ET4ykKDND4KYJ7k3ysdRsSsMWs3mCBPoX2A+z4v1x0box8X8HQCbJ1oxQmCaUoEzygEJ8BhcQ+nS
VjPkg8PjGdQdTYsTA6f826+vAvTGFBtODyJM/VtL3Eh9kYxJWbjGMV1uoCnSBHK8Oq10z4ze+he+
78+N3w+faHzrfNMKskE0f+LoNleL/FaXhCVYvMRf+ZmLYwPu59uRV9GJHn/dd34zVJr3K3LmYfBD
U0bXDy704351RsudaF1TzLAQm8UZ17BX8RC/EX8FaQGhiSlML0J/ojxC6cqRaWY76S5duFeJbgFW
HU4sZqH6yUOPk816gGyZzQBhCVRCogaHZuXErDRxNa7iT4wadzev/iKm270ep36/UPbL3MG/AFYl
dRqe7ucH3DXoOKpfnEB/0u2rAkCeihBCUQXhO5J5gfiD4mhIQVXK7cXLrLnrTw2r2yp+6nS9E28o
uF3cE53LBrpn/pyxwuBvOs2vYKWfN2wuRZUUxuwiUv7lt5teIBrEB1tK6VHjbbLXXJjLFtzjg+gK
dm5frMj6xbr+Gf1TWcwCdHNk1zLj+B8fs4wDhQy793eoI/VRV/uQS90k/BWo9CcLCi4CBld4dGLj
h0HPj5+E4WGhTtBR3csThoIXoIOrjV9QHW0IWM+YuuvF15yrea7htzk3sJ3CEpjW0ciWVo9hYQVx
21VTB74zpjQrmaAfdjt6dZOKrRi8tHOWy00pklW2Tm4O9a6S+VN3XxDIDkCiuO3NGXpclczURqxr
rOt3NYIS56HEZIdDg6WhlAY+efvreyz+yVNdygCsiipJCmYL3+6xINYZ9GJKnBnAJAzABWOIFRd2
4l1Jg7Gh2UXWuR7xSEwstM+h6FLonfIjRvm/2sjEuc74cRs18O8G3UKKDStE//YYsNmTcOCh0o1O
iQhNws63Oroz/7LP76rbqjuUL9wbYh0Ua/rI8W1V3JyMUg1Plc0i9+rTgsoAldxf36PfUOa/uqxv
u3syqVPRpFyW7MV+d4eU7bnzMpc+e2ZSWG141swGpJkmGaOmr+kpubu9EjtTH5BXXTz2B1vbaXDg
Fy5lsLDtCbQLjEC8q+1fvTN/smHwniCf4s2ReFvFb6OPgbzbM9KK2GV0PQKHEWnGJBHS9X0hINx/
4cFC1KJkocWYE7K+4hupd4dr9bx0YFfGVxtvRs7ma1T+Yi9bAov//Hy5IsByeCZcpPatzpy6aHGF
H5C4OPZ+GTEQXVJt+tjJAr1wCMmLahOivyEhubfafD0lG8hti2qXtQFCznTpD4QuQml+xd2oDmKI
62EdwCDDuV/t7oQbia5WTOhGYcuhRnYvfEmKigZKI5PXmwk8gmvNQ5Y6LZL70RZ0CwqDUQcdBYyt
Y/PhKG/yCWAqJd76tYhdhAHFciN/GYbXFy6aCO3sToLfJw5/kQyQ9qO9J3kRXiLFXexDHF5PYbU2
niDvxXf8lcHDqn3mTTOQjbyGQACn2vc9RgIEJwAleMY7sNqAcrHAHcE839dotFJzsSP0AKkelLml
D9UgyZ+BMmQymm1M+r0FFkhblOqDttJux7Lwr3jN6qsCvrtqK9CSMGLjYIJE/wmsVW5Lg68tq2Yd
eRkhUIKFrRZW1pHg387rWQpSeqB8Nb0gdW/i4aNQgrJ8LBKvgnJjLfEdIfewDw0z8oyFC2FfPoih
DPZ0BtSlDwKEM0yAN2QoSQAdswuFkJYNy6PXJrXEc1iL5pBYi+NYmnlq8W+qogdwhFn8uzqDTR+S
GR0qiunKUtzrdYsZFggiLgMtHL6LPWej3wEkpjfQT8GhzHiYHGm99CN+wASIdOPenmvU7hmnf1d9
YH+u2XvDp6tPftt9xbvQB5Qq1y1A0ZlgbAxJbeFsVY7hXDeEAmMzfMGOtnNaw7+OtviQO4u7aief
+gCyhX92xzdEos9Ygl63TBugcFZudzNlqwo092JfN5dd8qxaAgliz9GD5F9shm6VEcAqrnCsSlHy
YvHfPBkz5Gx2CaxHLJD9rAHc5Zkk73y79lg/EyVhYI2CRB/fFkdZBTFfbwzPR1LFj5lLJL3iSnai
nBao8V+6w9mGH+VBvNR8Yg9WyGaqI26r53vxVXDmvkX1BIugGrtwxhVRxas2iA79miQWDSPolWCR
/r4TXlnLfdB+3EQr98e15lLy1yrIH/B2yxdM9qywcmu4o427WEgBsnjEQPd5+kzeiR5vPquj5i7e
lMzFkzCNzZsruXRLmtsZlvAACZdgVFA58VTiFWEOL7K1nGPALaJSmlN8uJnMyyyAgAZQenBu94Vz
9coTymv8XNzJnex+6xWf9DkO3RCjyMRcR/c9jhmVqcHPSma0h7C95RaOv7IFqTq+XwFq/NmIeIGH
uiVseAb0z088RBvrdnPxNmyrXe43r/GKbq9z1A2j2jB9KJ0lymi3eJDYpJtV6XNyw1t6vz2L3u1J
uBMUc9xh5BtZ55NEJI1dLkFwmOHqjrZmmNu6yLOY99HsmZd1Fqhh9pSHelA84ViymQ4cUPQ1dmV3
zqU3Jw8bNfu2bnmjfX1bAXajwzZVLid+vR1vLndKsPWDGoJ5eoMXfVFg7xV3PA4bBOfpoSqZJyzt
3EETQQMU0Ott6ZaOdLnDfgz3mQ7EaaZeH7aPcr+qIdAAfZHLfvO4xd7FLc3Gh8c1mdODsIlfxOd+
FVwPhLIFJI7cNFMM0sDwJEd9v67BPZDLm1i2fZRg1F/73FNI4dvo9tIfj/W+e2Db8pfmfXMaafqS
BxrEmnnKaNKkWt2D+HANtcccgJUa++y2lbkEf1Yc6gpLCHDfsauveCM7HFsuaO54vAJxExPYmNew
X9NFNw+XPeS22732BJgJRGmiC9tcTulj9/hVg72jNqOCanwcG0x1aU1vI/CBP911zIk3JK90IaOI
z/gN5cRXane7hTdaE+jkuFny6W1j6evONWozP81z+mZNJ27jwXpfbNJ1t8lPqZPYdOlubiWuECh3
rWN4Hg5wdufi7ONdHGE1rRb38C9HIi16Nz4STRKtLu+Mlc4896D0421tM0/nKSNcSVQ8oczL5msA
31p1K4LON82Dgqs6Y4onPCMo/EeImc+Si3nzQ3RSDwydGHz61TVQvZlbgGLvIHNXfd6s5WN1XGwh
ifMzFnrfIb2Tw3JL/ekbmDtiwWSlN0dXTOk4+7lQuprZfbyFHi0fMHrq3WWg07mP4IXW+ez2T/HN
6jgls9PlyeBMaraIqNaydeWpLN/JXK5dvCrd7qE7xKtlbecPRqBuBGtigBHlIT7xOQkpKdI3Xg7+
l5OjXpjnxqnXfI1z0HwJEywszrvkXvD0Le5sBRvAcLa1gKBmexmcPYSP/M3sXrFvx2RjKBaEpT34
JXOtI+/hBPqGnxvrGv09u9mwrYNSNSdLeFm+N05kpbuYt032apY1dfZ63I0uiQ3b4Y6DlgVtJQcd
xXLz0Abtrg+y+zZQWZwNfRYEU+vmoSeC0nrScHRhmyXf19K8ff8oreTBSkMMYSyUT+txZTjd03io
3gbOqWxLNZj1yChCTcaryYavS+F6/cxDJBqHdAxvnXtjLvCWfXUocPLYP4snWXrUM4oTdiw8YlaN
Ch3D7ao1AfIXArLfh99OckcPpy/FPWOuYM4Ak8eLUbFfp8996oqynaqYktnjStgPvb/AJaPj9ZQH
Z97ZARL3UCHnc6N9K3GIcK7YgAbsoylTgXgPmE8IQgUbE4/Q2iTHc3hHMJoXFkkGMPyc98FOfMGt
dEs/Rm70gdW2K9eByLyD84WNlDnAg4oGAMhpjLZAYV5vlcEtPFOJdVa2BQjpEpsUqclut0wlEVbx
37U9h74QS9N5La5gpENW22Fd7i9b+V2BK8MFNHaPZ4Lg43JLG6++jxObrDUjlPy9nnKks5ItwH+x
vp7nn+DTWjKycl9+ai8OVp9NkDGiZi4nhnpt85LjV0KuQYcezxNqjIWQ4iDqgWFtJnfRrtoSpLnS
RbPkhS8oE3FOWBVB4utuczyfV90eWauR2/n5DmFOsc/30lcK1mDFXMcQZCEcvt38/3rUV1bsXn3w
bt71reSc+53kcOFN0FrTioCp8OqWe2pN0REftzlwOxwRp3qNuXxTBVbZXN1H3OAs4n3M2CrdpZPu
eZvdets77MFsoIRUrGqr3bavjE6v5itPxSW5SYjsLIQkcM9ododb09UMsYphnoVAI7fnP4ifZoAG
t4r9uC2elbDWLeklFk39XvLGh8y/RuYlJR/FnHWiT/k+87UQN0oPYdbSE9+VEDMJ5igd8cg2A9F5
DCNsc/VOlKz+ilOkL70iQ8I17Lo2TinlhMNk5aa4okEUOMqV7cLrt/MSuG3jD8RRPCieBLY7TBPx
cXqY1tkdWcEUy470xcJQwute4uVSRvxdsI16FyEM9+e9CsHMkk6MI3SOPKxyBHBT8+JQOb+m79wq
L7aLx6uT+RnjFvPqT6vqJVI8mMjGPn3MNqpjPGdhf6gvtnRCPCTPU5UZ/6YhFjkCnvUn1i6TEANL
IeZTI3KvFbdYdQV3THjm5+1c5GKhbZIKs+n22WF4U1dd5F2oxGICaC2Bgau2WjDHxG+J64+e9MEl
tpkhmhHkexbaSLFkNve4+XMTSvuGrpVPkdfiY2mL6wVT/7W47l/jfR27gLY3Cm/danozgs/Lvwwb
AGY2h1bvXffaV3IOFFw9T/XVLMEm3/SlZZAIyAj9wHzofLo+XrBJJZTk1B4QBdoJ4/KKnhSJvS0/
JqeFT7l69pIDbSuwSCB6/XPm9Zt4p1GD+rUFnO3UYBN7Ptim87HzlvFMglzJipzpbqQ97p1oWwhe
ySzrtqnsej150abUTCWIXlaVheI+t6ByvV6gfXPksk1om2Ev7Nr5BdG+JsNrAoCUZIuRBIa/98mO
7HZvWJ9DDIV2qZ2ZCy+bH/hrfj8EhU0apX32AMP8ihmRdMy8mGWQ8606KzTC6chDnFHRaaW+FXZ9
19xcerPN6LC+uceP7SFzEr+AHdj5lVWFyYHh7OdFt6tXwWY0d88cL0AvuLtZDOEh324qZH3P7Z34
Frunwe6emD/K78V+WkNLWxcSajMMAy3hPi83XdDeGZ83R3uV3ejRCHEceyLteFXa8kp6mI4dQqnm
Pte+oL8vFHv4WMSP2kODj7FuovOsTlDadpWnu713Ga10iX7fNHijLy8Vcj5efzbGzkqfy+fswLUt
vrTXLhBQt4dgTgpvVR32Xrm7uswJ9VW/5eUGe0/u8h5pLavJURJc1szp/nqvcVRvpatV001I4aKj
pH2+vfBbF++avgpuabzp0/zvsGleP0Rea6yh0bZwDLMFGCaD2YXX8krkO3gTFsj/6IkscNzOHY52
VxqhF07r3rDyPb9cg6UzEEu5i7AKwwbhWfSrcIZPHC4M/jbRbMceL7KQPdG5cSK02yoU+Bl5Pb4y
P6RyZl2Pn+zJ7YbNTfD55Gf9EcvKhOmu6l9OxVH1c9uwm7B45O1xVGA6cxFEb+0n7JWvite1dBkw
dDuWe3XAlGWjM2uGOIWrNRgntxvq46vIc42uwK1Y8pftdlo6ymIuQcY4ROVS6053dayGMfsvZoJ/
AtWBfTEShLELgKJ9R72lhQDug7LQzdaljzeydwsgtjpF2HzORkzcYB+vLPYMUqB42L3D72zrDUd4
8Sso52fUkEuBVAzDVsJIRPpG9tOTIlnisAbh93faI1JuzGWAGoKJcS9OaBvlF0MO/ecZ5fyRMmwz
aUa3hPmS/kC2i+pS0xArItJ3F++yRTtK2ZW+zlyl5lR6zBwoZqiGA4WOWn8owvGYOvkGc6RZG+mX
p8y+uKTKvopfxZ3snI+ltyxM8sWdyc7JlWWS1fqRH91XjLlGR3VLu9pEVhKcWVzWbYMp0EtrxR9E
8ni4JN6Jm695Giv43SOCzHJ/ZkUUK+05OZy3pd2efom//+oGfLvnnaoK6QKjNJeQb2+uUMcVgUR2
sY+tyvo1n/NP2I0/3vBvYB0G3qkgItF1s6AFA5FpNGQa8CU8AwKq/5U51p+vqn884m/wrxL1U9K2
fCLCiCqAJWVjZOANbr6JA2Ee/h1+BfzP0cnfEWdWFUpDSQT5Z339uKpuZyLgsvyW0LTjyASpKqHd
Uyniun3l/YqrCKv+Tz7NQB4mYbLDFOUb2N63YhNDZ0zc9GuiL3AIdFg2IYf0E2h7GOXMBWz6Xkhc
monBQHi+mDSeG4a2064EwLi/BuPrkmbzfuhNjcPybvya1vHH/6Xu6nbahqHwq1Q8QVuEAAkqlRaN
/ZStsFW7NY0FRvkpacyUvQ2Xu+Bi2iPkxfY5iRsnNQ7UplIvmyafzzm2vxM7PucEHv/Ir+Mf7Ovx
/dn95G7y67Ztxq9/8UMSZ6TrQU50nC7uNs+6HvYOo25wgL7BunqKwFxUvsReOJa+i8/IbTru/1yg
DOSn7hgHxmViqTfF075XsEgpxBhRGOdhwpJ0ymmcXlEk6UuWg5PixAYWmL6X/80oPuW//oaXATo0
b03UEj+oKnPnDX1PF7RourhH/B4QD+mRi4ri8+RESK38mf9GfjX18VKxddG1MsmLF4zGqAN5l+ba
pqWUlySgp3sj4ntkqcapIFIWLFQJcrpXE1P5zGLCvWIIGBbYEkoYpY85ielhi43jiiyoAcOFirqQ
tsAz4vsUAT4+Anh4vW7mvqg+ad/CZRQnooUiTij0aCwxhX2OEQ4EIpGXxBjZzPqXJGbZ30gCSWx4
WXlpc+wJufWIT+vBTZAc6b4cjJtR9i/2opta76I0/RECt+1FX+tVICNS3YHYZ5GfPT+SRm8iUucI
HtZ2WA4TP3sCs8wbHdpH+JcL+ID8jsI6CfTw2ol0NQ4sg9OfPCBpTfQS3YHsM8IXiMKTNhYDvQTH
e4at3UfkgdMke5JICjo8qS36B04eGdEl/Os5IJoLzvzaJCrM0ndAABCchdmzDr1nb5YpZ6GXPWvG
S98JAywYQjM70ulKeauuFXGQtl07oYnOOg481Ki9rHP+CrI5vc+MxfkswUdkSULtmO87mFHDuOm1
y0HvYD6dRSmZ66jAhUs1FmKxNPkQz0cPnGkG5L6DoZ7HOzffYwqz7zvgd1NKVEvDmFLaWEJ/IR2Q
JMq+aIyOhYE1vyjx5x0SemoIugSvCC2PODcqpFtVDGrLj3PxfH2Z1HrDaqH1DRM+TDQQ7XfIFYwG
ojRipafYWlvF8Oet1Vc6Kimb6VFpTUKIZkTPoYHSWspNTcOUEQEvqf0mpUCLJqWahLo7ioGTTYrV
uXxn1BLewKRWw43sjl5wFSa91rzM7mgGL2XSbM3B7YxmJV8VbKQhxHUvtQOq4Yj6cUuPDYPsT8zm
JN/IuearNXmh3TyCLwvhkJRuV7hcJXwkURdbohgdW+L8qsEXO03690KZhU9CWmiyJRHbBtUoQsLb
m+ptUxqdh4nYgUUBpfAVhl918pa0EikG860aExM093jed7a0aY6XJ3HL3KckHvwHAAD//w==</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_xlchart.v6.11</cx:f>
        <cx:nf>_xlchart.v6.10</cx:nf>
      </cx:strDim>
      <cx:strDim type="entityId">
        <cx:lvl ptCount="8">
          <cx:pt idx="0">10106924</cx:pt>
          <cx:pt idx="1">10106936</cx:pt>
          <cx:pt idx="2">10106929</cx:pt>
          <cx:pt idx="3">9421486</cx:pt>
          <cx:pt idx="4">10106933</cx:pt>
          <cx:pt idx="5">10106930</cx:pt>
          <cx:pt idx="6">10106928</cx:pt>
          <cx:pt idx="7">10106951</cx:pt>
        </cx:lvl>
      </cx:strDim>
      <cx:strDim type="cat">
        <cx:f>_xlchart.v6.9</cx:f>
        <cx:nf>_xlchart.v6.8</cx:nf>
      </cx:strDim>
    </cx:data>
  </cx:chartData>
  <cx:chart>
    <cx:title pos="t" align="ctr" overlay="0">
      <cx:tx>
        <cx:txData>
          <cx:v>Oil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Oil production STB/d</a:t>
          </a:r>
        </a:p>
      </cx:txPr>
    </cx:title>
    <cx:plotArea>
      <cx:plotAreaRegion>
        <cx:series layoutId="regionMap" uniqueId="{4E3DC997-3E87-41FC-ACE6-F30E991338C0}" formatIdx="0">
          <cx:tx>
            <cx:txData>
              <cx:f>_xlchart.v6.10</cx:f>
              <cx:v>Oil production STB/d</cx:v>
            </cx:txData>
          </cx:tx>
          <cx:spPr>
            <a:solidFill>
              <a:schemeClr val="bg1">
                <a:lumMod val="95000"/>
              </a:schemeClr>
            </a:solidFill>
          </cx:spPr>
          <cx:dataPt idx="0">
            <cx:spPr>
              <a:solidFill>
                <a:srgbClr val="002060"/>
              </a:solidFill>
            </cx:spPr>
          </cx:dataPt>
          <cx:dataPt idx="4">
            <cx:spPr>
              <a:solidFill>
                <a:srgbClr val="7030A0"/>
              </a:solidFill>
            </cx:spPr>
          </cx:dataPt>
          <cx:dataPt idx="6">
            <cx:spPr>
              <a:solidFill>
                <a:srgbClr val="5B9BD5">
                  <a:lumMod val="60000"/>
                  <a:lumOff val="40000"/>
                </a:srgbClr>
              </a:solidFill>
            </cx:spPr>
          </cx:dataPt>
          <cx:dataLabels>
            <cx:spPr>
              <a:noFill/>
            </cx:spPr>
            <cx:txPr>
              <a:bodyPr spcFirstLastPara="1" vertOverflow="ellipsis" horzOverflow="overflow" wrap="square" lIns="0" tIns="0" rIns="0" bIns="0" anchor="ctr" anchorCtr="1"/>
              <a:lstStyle/>
              <a:p>
                <a:pPr algn="ctr" rtl="0">
                  <a:defRPr sz="400">
                    <a:solidFill>
                      <a:sysClr val="windowText" lastClr="000000"/>
                    </a:solidFill>
                  </a:defRPr>
                </a:pPr>
                <a:endParaRPr lang="es-ES" sz="4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regionLabelLayout val="showAll"/>
            <cx:geography viewedRegionType="countryRegion"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JnxUp9Kyji11wy4lTuoG7Q0Pp/9FzrkuyY1j2/lV/ALUAYkrIxyOMMnMrEtmXSVVSX8YJakKvJMg
CZDg2/hZ/GJnpbp7uqWe6fb4hyNOOObPVJeyMpkEgb3X+taemZu/QICd6qwNJ7g0do7nGBpuZJ5B
ruCEKbkOijQfmnXcz5Gm6qpRQ3FThjj+slK6AxRgGV5IH1TbA0CU82oqhmjJWkq3roae0YXf+i6A
Q6mCDjutENaue91aqKhcM7Sy+CXYDSrGswyVb6gobU5rtgsZDuhs6iwTu4qorr0ucOQq2Ey8NSfh
tCpP/Qod+IXzuuGnpbfreppq3n2aKrus+NRRA28ktKH3iTbcpTlQjdascw+jJY9fo87zt1ygpkg2
qITTdVyu7b0qXNCmE8SitBrBQKSB6jdoJqBFbEKnWQ0HTubOZVOu634XLdCQLm1M5lcWRLA4yEY8
yZpi+5AvsU+4GmCjxmzDjjHX5dd2ZXbYDXNsYygIHQUN0saxfwhnFNSkn1t7bSOqvsLk8GsK+Meu
mc1zADhEBIrsR5LXJx277W2uVzT9ggzEZEEOqutA2kCqXbE245AFBD5HMpe2LLJ+aYcjW3y0Ht0Z
GTmg8h6rc2tWoBmt1ESvbT9BLcMa4n6/eCaBPIg439YjC2wvH6XLZZAta9neDtAz9E5oIBVpqxs9
3tqSarrzMQWQIC0EnoNzoE6O4xzE/NrW7XAn13yjaRuF1zOO2QUdll3rxwo133iKrHYoaLYgArYj
cixDGG9LgLK+U+CRVjIYfJ3VNiRgoQCOLCzGThwKFAq70HW03TsZhCu8etPGu66agq/FQAg9DoBz
oHyEDnJSn5vq27rJIk9m0dNU8QoXanp174IeAAlIHeGA2NQFTbGCIUPWZQxbqSV5nKeDX9ZHoEGT
Rtvlqw9qWyN17/XSfKn4Nm2XiywK874F+BDuZxGgnSeTHoqkQtGWf2xEtLansJjKOXH4KysMs8Li
jF5zOqEMcl37SQbnEogFha5QhU8KAnU0Cf/ER07KlKilkFCqq1GksimKj6h1qUpMUBh9L7po+7YY
m29ZG+XAb+ag3J7rSsA59XmnWDLNo/0Smq2t07ItoBnOi2Tj7aAb9wb7s6qTvsBf3A3xNq1JGEr6
cYvaFuWXNDhMB6gZdQouK1hfCVwks9ega+SBxE4XKSmUkHjACteiDq8qfdVElX9jLWiHSzo2TO36
oXFx0vh1664l6bsxbZYBLFXHK9bsXTwXIinbKvro2ML8wTDJ/U5GPH8pIPLazxyQxnQ1BFU0Zrri
Bvu4HJc4nVHuQDAO2uCItrzsEoE1Q5PYyemhcyO58X3e1lmpg45nkx97m3jbgLPBZo6WGrhKc7EC
htpjNxRpSZwb0rqOKjjhHn0har2W8qMwqxmzsiDNdNVQHTNsiyO2T5gbcCnmRoaw++Hpd5mtGNx4
Xmxs3efOGPsED1O95DAaoauGTfQ1auPgKa/54LLYNwyNPhYHHIEhZu2+d+vI76F40Dol3NfFpckn
yY7VEoy3rBq6Ki3LaYvgYbMxSudgWfkldtqZXs8xGohsAWI2ZXOnucEZ12951oTC+hQP71wce5pT
IGUrr0+Nxi+u2zFsy7Q2voY/rdSKx2KYllvUdGu5pxMF6FV2QTNez8MGlSwc+q1H3Unr4jhBHtmS
XIn5a+tN3+47k+spnRpPeephpJiDp4aVhwI1yoyr2ZavM9ZPDHGNcHWIyhrAVKH1OhzCvM6/xEwH
2wEMVKsOgWVjvBeOwPbdqsKA2hrXDnWYLfoyXcpWQCks3HgycUnrnak4dzgBl+12li5a02ZqZJWM
zI8ATQaAKOige1JejVE7rztQM9g5aDWz6XLrZ2ohf43xtBO5lT5t8Vq+Y1AFp1Qu/ewOkwErho67
gSFY9BDnUha1Q8nWxIAX+FD3/qwbBZ75VPZT6K+aKuJBkSjWaDxMrfDbTSiZqQ4sXrg9bylRi10G
J7ZI/gC7/hN+9AyH/g6PKpQ0MiahoJJHCk1MBFb2B3i0wwbZtUWEpiof8TTMU4itiY57ZoMhwTdZ
X3hz+Ov3BPz643tKwiXw1xD7uwQHewZa/wCshpSVkOZrmjHZkgepoDpSY4Ck1v20hyyd7zvNfFbj
i0gXPm72b66Z//n9BY04zE/KIknoT9cMFa/YPMf7z6bb9mFZuAsZefASpFhf//pS/9lbMSJjriQ4
YPkzm7stKDyHYqBZGI3NTUTQkAcA5rJa1+rhr98qPH/sH24ltjcFHhlgpADewOmPX6su8XQ7SK4o
MzxIWwtFURsUmDzLTUCOlZ0gfNUjSiCPzXeABJ9YIkj61x8D0PPPn0IxBSma4LCAiPDTp0C13lrs
GjTTcxt9qVGYunStgyYZTNPdT2jHtr95xz8tYYlrFbFUESjoUIqflhOa47zEM4nL7EWR9JV7BXxD
MkDAz8VI7o0GIPjX1/jnu0o5Y5xKKqAfquj8HfxhAY/tWjDjFp7BlukylKRbQhtAQkS6+W+elT99
nYpJxYWIqeCMUqZ+fCvqwLstdgbHHFbmuVhVdbVZFiZKQ0nomzi4+OtLA87+4+3DmzEhI8ZAu1MW
/3RphhZDxXWHlkAZWu0CUwKAW6Etqr+5a//kjWRIz0s2Vth8fv4O49XiuFl7gAIjcY9gYoublTm5
++vLCf/8NkpB3Ys4gEEmBTsvnj/cKusBx6+aVbuu5XTf9VV0qENW40iYqnSEdJTqUW0JPsRH3+l8
B5KjS2rWFalUxbkjWGFQy1z/zQo637YfnlU0tX/8WD/d1q7OcbGOVzvfFYA/aoAIm201HsugTvnG
51OtdXXX5HH0NwvqT18I9lvcVjwyNAxD+v0L+8MXMpTgCSitG4gstDv2uY/vfEnk37zLz08IU9jY
VYRoBFYtKuefro9Ar2hgsoXw7kFIjKpcb3vUeYmq8iL761v88wXh+VOUhThTIoFPTn9asSMF3Y7u
vYLsHMIp20Q9AtpfB7n8zVr6+ZqwUpGvwMkhI6BdXJAfl9JEQL9Mxhb7cPXReOK9qx6YWAngHjAn
7pfL+o9fMjB3vyyGX5IeX/vBj6VGQfo9pfKPH//H6bdszX8/v+z3/34O0vz+0+3w2j3O4+vrfHoZ
fv6XP7wQf//X9z9ncH744U+BnD8GZv5Pf/lDHuflW1t2WYlGofw6/zFdE5KQYD/D1/evUzkgQF6+
/u//9c9f9ms0R4bvYtzwSCkuGfZ+iRv2azRHsneC427hMORI2ZAYi+bXaI58RzhTNBZhiGKQCYGl
+Ws05/wirgj2I3y6CAcK/3eSOTgQfnjIz3/qvHUjscNQXuF/Px1McDYDH22VzYowcs/Ag+IjSlvy
kYMIi7OZie0KEPaQcbehBctNn98A3YLC2+hKYUPQIrTn8Ail6di5IFu7XNyX8fx+DhucqjyoeZVY
Oa+X1nYoyIVszWGVVM1JH6r2q+ThdJwbCq+k7V1xAN1CSGo6qAwZj0YdH8uybD4hdTCYw1wqGh6G
cBSQqVqfP5lN8GdnOKdZMHsKBi/WSO0416ldLXj7XPZLccWlhAk/tasu97Oscp7kAYmKXdkMU4sT
2fub0Of9zjoRfNFbDuSrZ3nILtDL6JsRX9yhF1Ydi7iF3mF6XezpsBUMLkU+ALZDCwU0jXcNvgIa
H6fFA4Az075Y9JjydgX9io3U7Pq2Gh7qsHa32xBHqSv70aRzboqM8hV9OgX94BOcbcMLEQ5vBWku
3E+hMMBjV5lf+wh8yQJ6cIJTubqjYtBkqnLSl6rn5mXiOJviYXSvC8jC90O0slNYbvkdJEFzZH3N
113RC5L0wVZDSy7Wat/Nsz+1C4CUGkTKBXpHmQzaBlctOsbdVqwz2HUp3FUn/YZmdzQ5JBYQZk3S
boF97+uhWJDL8MszXPboxsWttYd6HqK9jCHBgLlr5urChlFRIXsx8DcI/HCowirUQEICKKNPAx+n
0xjYvM1EoxaIN/MS6RQ6DSIJWxUfVVXMZ8eBh0851PF0aLS+sVvfH2oxRpddGXSfV7Euu23Mqwxk
LMvQVtr3/SrDu3zVzXghAjCUqbHGZPlsiEt8iCIQjFMFES/iHhiLCfLxY9EXoMJ4xBCCor590S6q
j6RjyyfEFubHkmz1VQ6J6QvpZqjWE53LKS2xsm+dmepvM5wJWHl6fsaxrT70TavuC1XqHYOBROGc
KLR9pEUTn8w5z+9EVLV6t9khiDO/GXa7RluXWkf6D440BsZBBySn2Lp5jxRYe9lQr6+jaMWTtEwi
/Nat+E3QSXnfaAJXDLTjmMSzJZ96P+orT7Q5LhCTJKjRzd2jXzMZW0RlEkAteAaDrWuegrCwV+2a
90Vma6tr3N+mOhFfRKfAoVbPgaVcwEl39x1UNRjkOGaAGw228olrR5nDAWnHN9KX25vWxlRJk2/+
vE/kNyXv/IGUZX0sgLzvrciDjw5A1E1RG3sSZNNbEswc97QNIN6p2Ob37bRyaDzSd2/SuuZDRwrx
ILcaTq33MkiL2EE2GsjsGRQeD2MWkuZ80VjX7VwXhk9xm8M5Vl6FcTYWIO8SEiE8sfWBvkbGoLqW
foE1EwrffY210x9xp+GEb0HTfEDlVTRAAmb3CbRZ7y/MFNfpgKzAVdRBADxIiyAcq5fvjBW21pTL
Ot7JYey+NQzSSQLGWA9JUwfFIR8j5K4iyZ8j5x24B77gCbbNWveJbtt+pwdkkWJWkCkJjW3fE4js
ZbKMsromW95+3GqcGwdeWQlnprGnpvb6skF+EJ9ekuqgsX3vJIJEHxsGd6FhxFVZvZbBF976KUhm
9M07O41oNeJg+6awZyd07DgiDb02p3WOoiib8B6PLRo/kTns+CAwY8kuu4Kv2H2A/IlkXXpi4J5w
89iYrn7g3tMykbYr4qSqYSokEEHLJ2WL4QlUH3hir5sSKFzYvy9tEbyfy6KuMqCB/ZZ0SJgB34Zj
0SQi4g3WYmkK7BTIbm6pmPW29xFbAYsYpFJ0SLabSobkIIsqz3d9RCxE4gBW8+YaBeUnJIokbmzr
O7m4Mw8UmTuoPAZoE1YA1lTQDXiaIP8kshuqjzSqBe5oQ6abbtrg37UBqd/WcoDFFYsmY+ib9rBZ
6+uctdg0GmLru0WaPkHaSiTQZYorui0SQc5t3kXRWNzFCI5lc991V22z9dmiSWcz+JfN/WCF7rJp
ygWOzHHQO16Xy41sAiQ1l1ojg6DpOi0JlGhyV8LLB9+92OE9w/7y6OIq+DZxU8FnMLV8mDnsx9Ra
hTTTCHvMrYt+D0KZX+RbOwz70DEBobaunivnHEmCtWYH20wahC2pANvikV2O0Urz14WMzbGBJv+m
RVwiqAHD58YXc/jZzjq6wTa0nRAeRTpOAChIZ9DzN3Etsb2ylorPwSDmz9heg0MUjP3e6yo+pwnb
8HMOc/1Yz2t7U2CBv6/0Qq4oKMx965g7LJ3Kgbmo+NKB4v9cbqqHAL9EQmc1sRxAteu+1chs4R+V
4TVza/g8CqyJdDIQjPOKqqOQrDv0HO4aUW1wFVVd/Rivgn6awjGGz9O0E0shM0YCvECRv+VlbgEn
l3m5GxGUe5wiWT5J/LMLqHvxvm/Eit1kcct1zWHswhMsHggchQvVQhJLhs1HMDzCqj9Z8IpTZqFH
QfuDzXBXbgzOoplMlJQLK0xCVcNOwWzNAYmhQf5f1Nv/RStpdDz/upJ+fOnml+7b6/hPamm88Lda
Onr3vTvGbvQ9yR79UEujsxIc2wBjMepsFMy/1tLqXcggoRHk31GAU4j2/6il+TtJhEQtLUKJElFC
rfqto/ih98E8gF9//m9/SLkjVPhTLQ2MCKIEFwqqnVLo539svmwVUFSF7ZZBaWsusQcUAygCoS/X
89bdO4hZdCDKXqAEVPfLWNfX2/f9npy3fvX9FMBJCr84gJnWOIEQpqGDH9JCFnTZN+eDJDgfKaBw
ywMZWryByDkBDQXjY7+gR47ShZmQ7KhRzSn8fmDNuauufMfrNLZzu1xoMFsvU1tV5QXCPvWH6Pvh
B/Yb4DWCyF+rgNhvAJDVyZ8PTDWBxDTfT9GIzwjNIqQK7XmsVfuxPR+58JthZ38/h5sYT0QCHw/n
M+utClLKrDr15wNcnY/y7XyoR5Ce4Ut4RV8KWU04VxH3WIsAyVPXz+BWjByPI3jxWyPM9jiahV8g
FYgS4lxMQPUHyw8jH3UG9GLxSvNZvDaKGok8l6GAT6p+RU1a2hm1yhIhp7os7DPiEQxWhrN3WxCE
V4PI5WvLQjC6+bkI8mqAdcm/10bqXCaRc8Gk9Qyk05sQaXKZz9Un2Cg1wCNZk9u+UO5RVnber+dS
bBnt/HW2vD9150otbPCLuBIo3yCVgK0+13RqhfkLcKw/+e8lH/9e/nFsJbdTvMK6dit5MZMDOQss
daJps/Z6h+ibQlhxVR8wY2B+hlJp9gsPzeeQzepe4VZOKckDlKPBuTJFDV1DrS+Ig9EatDdxW3Qv
7HtJO69u/Sy6QNzDUuIZtzL+MpkS4GkPvB2Z/+6i7GeDrqH1yEgiZRgrwEF+Ifa+oZW9ghCtT/Gs
m7utGbcqEWEnv/UN8l0c4xESiku9tECxOrbm+3Jt7AUo/PJa9+F20Y+TwmCMor5GOxSAMiyHI1zL
7bQRzZ8FnIiL2o72MCx1fkur1eADVfMb6eL6QKshAAo2DSeTh3SnSeAS6XrzxA3wETgUtWOZh4t1
4f2AwCSC6/MFG2mQdYjrI+7SUjj+EwRwBB7oECRV2Hc1CI8ebA2idVC/J9FH92yoLEsCZFK+yaos
PmtkvK6qdqu/oFPJizRiEyDsLeqRlF2RgkxahKJPSPKarwuiv0j4rjCfkBqzIequsc1RJQw1YEIj
JEKOjdwan5Qiwnc1WiSTULeI4FkVnB1JkYdL2tlYfDbYseYkt72vLkHuxne0N8PnkOfLKZ/L/D7y
vXuGS6PbBCpyHaU5waiJRIJ7wcODZzxxGOFxMLVlTyh8HLLvmgzPlqJaTnRYnhMwcVRvCUADc71K
h2RENeaSJaLvGhTkRbvdrGiyzlR/UNwNfavflyFp0BqMVaMy2VbkraR9jVyeCbZXChPxaPjahciY
sPEe8EXzfm5huA4S8bAd0EPkRQitPmzC5h96PhosB1FwVPFD/bGTxWqumrpxTxOc0T6LdMdfOjd3
T5Vw7adt5qD1S7AooANFgdi2DtoFXFdIg8sGgMZ4xR03oB8HWKw3cOFLl4ETg6yxxZ1H7ELnBR5u
Ui5Pc7yht6zVEj0ibofKC/eIazj8GxBw0ESjSuY5qK5DTPtAuFOSfUUKr1JuWUvSGpGlt7bicQDe
qVJP0DD9nqnRIOAYSkSYo24MDWzHbupwhwn+P1pzFL3T9wK4ONfChWLBB7CZVQDkHrUy7TtwVRWH
nFH1ziQTK+yYVl7NX3S3bXewFc5RkqWMz9g9qnHaSCv2piARUiqo1dF+degfRdV39yXcE5HFzBW3
69qUb+XSv7GqWzBmAMnlPGgI4BP0BOx7e6DcGnwpgmWpsqWy68Vc+vI5sviT34/zf0so/K9ZuERQ
5f514XJ6nV/+XLOcX/NbzRK+I1LCXVNwf0JGzsbP7/pfTCksRgaBEELgWRr8tWZh72LIgjAeMeaC
0QjlyT9qlvCdICHEcbw0gjEIb/LfqVmYPAvCv4v80P9QK8UxljF8TnU2WX+sWda5dIvEtJEMeSFG
MjpLMLSuqpFnVZO0TYrTZHwxvVmC3egjcRdD7noreswTwc4+uKPLUejOe/Bg87WYqL5b+3J9avlc
fcPcgfwlcuv23reRbcEXACskbFj2o/LxjQVv6zNWyhZBxdn4VDhZXYE4mR+jMOoOBMmhCxO6MusJ
hHLkxg2cSTPRved5/nUAef6qMKtoR3M73rYrna+3YiZXQSfW2wGnCELEyHUTreXTZKXcl6Xqbmcj
yi8C40Tg3q/zc0jr8lb0vUxRQgFoLinCbInWiwd8z+ipFMrf5j3HSBQWl0h5MJD8UDtAwFebS+el
aS6d5tWF79X0ujCtdzpi1QcgYkD6mrH4vHKLCSxFDrpRMHayXSseqgp6E2389KnNF/ESNj1wtn4A
9LNB2Ue9GIiPtS/ptmujoj/O4cCuq6hsHitAhhUQPTEgJ2L0ocYMoMtyHsVVUEOq1YxDPhgW0r0i
jD8hvYRc2g61MSY7NEhqPoRklKeilJDybBSsd6VtHdL4mHZx8lqHd1Z2CPtqzJHK8GXRq9jV7bVf
lP2mLKLTIDqa/BoZ7vbQwNBAJnNFYjT20Q0trbkREfon1K7mU+e2CKfA3Hwo81mBTiUYTNSCYR9C
X3/CPCd93zZN+w0ySnO1xUV+AFuv3lhTO/SRW7xiokFdAY7uOvRqgYgJ5gaE7gh2AbMG8ppcrjam
l2W4sUcXYP2meibdNaKe8SVTzgJNdO4RX0QAbnkmy0WkwvAB5wgAR4z04V8hjsSPCB+UINCmaOhT
GkN1S3GOmfdk2Za9qeRwYKZG/CRCmJmzRX3stIU6GdF2e5Sqr+4xjcffwROF/lF3UjUJIMt8B9sZ
J8w2BiDVkMO24DgV5tUYMfInpH3oTvqhu3arbi9MEAMp7zzCSphLY55w96EPIk8/2ESrdURAmEX3
BjBbIpZoMxjPUdZXga71g+kUxyirQMJL9yEmxTCMv2mv2mIJ9ytC8R/iKVa3CpoEFg0YFuT9+jO/
zPktm4i4cF3VXHsc0aCkJKcXirOqRXwrWjO6FMVF2BXzTRvN6ptCVm1fayKvN68pUrJMy+slxxJk
uqI0gUOJ4IgkQL9wxdqSsRiutrpBQ+ICdxwgBZ2CqAmvcyzr8KoPEUzcGraxvVpJVaKmGvjdEii6
E3ERfgs7JcGe93i+95hEIx6iM+aTQmKA3zBjjkx7BaZ6wteENPdzAYK/SAHaI2sTGfeJNRgXAMSl
m3KwKOGMUzhuVhyqm0cwbVMzhqq0PT6vBuDzDVNokJVp19g+edeYdY/dQEZJs5br5xYRNKDfc8M+
doRORzLlhUoaXPGl5+XyIkXQvrKeD+9xu/UFxgKVQC2n/OgRWwY3UprwvkA4JcR6HroveWCWa41M
whFtLN2HgRafupF3c0JdOHgAt8B4oEQDT4Lovea7HNJrWjYNP8ZQUg8Yj9FeIp9YpYCRumwAZw48
3dYLXFiPZIRYnl0UFo/r0KLq8V1/WmFfXDtW8c9rJWnae+Y+C2bbCRj1KqLnykMNy5xhGPhVe36G
p7sl/ByhCxiWFLjtELxHbtqg0l5NiNEIclkvRm7L6gY+B8Q71bdNkUkqm22nkPswmZ6i5mmeAlTZ
ti6QEmjA791jxFV3PQ2rKTOskenBoby9M4g/QbzLq/hD161I3Zm1DFUSACldsa/0xYdpQaWKVF4z
7uKSV6fFTH2M52DGPtR3qrrLRxa8UrQhI2pDwEsZNGU8Pqh1xzuMiMAMqjHkB3BkEaYRDbkFUqef
UNare1mWbY/LynHqVJPJMU6AgHrGM+fJOV5GlyOfaoVyns36Npcjwjbgri7VMDa3IUJBW+ZR7l2z
XNboosb2wVtKDw1UwR16arHLN9BTbKsxv6Vaq6MuIoCiHHDnVVCBEERwcj2UkaSXSAeoy1pUgK2D
aur3FlAfXqgx5wEjHUwmcyeuAGDBWWt7aHeOIR0xYtTMWszozqbGHQSHsjfN0OOTcKDBHpunvNIa
AmnRldMFmPn6YMoBFXfYDOFD10iJTnnwfZ2Mc4tsTMei+NgtvgsOdbNOGpM/pgqzIhAHRkiRYPIg
GG9i+4QPekJjzoZhp1BiIoA90uZWI0/4qVvstCXDpKIV0aypeVS0b+5mlAB4vhaCZxQ2hPH7oC7C
J06jYgE3aySaFExsw3AD46HpyVp9kflUf8FX2MVZU5YWe6wHy8ZbKBNJbPyWgXnFss2bqb/JYwVc
18UTh0fS2Op+LFfs3LYmZIfncesueG3IRdfGCHoOOe7nlK/uadlogyFBFXxD5CqG1h3ymYR1hlk1
OHYCjJNIiG5QZoD4S4FDL5dig825C4ljD85i/lYi4JMdMZFgDDHZycDCCkCCpTXGawH9HmPaI4Il
tc0wbcfe1M3S31WIVwi8/wAeGP4ElGAgh+egwzDjIPE2v+tEB/izXuGcZiZYBpViKJJFi9zEz5g0
VX/RJa45LIrt7UwwYaufMceD+eUwCRI8bGwwQSoDcO+J7tfiWm81ZpD8/1LIU1S2/7qQ/58Y0omR
ND+O2PwVAsALf6vm6Tv47lydtUZwKagZfq/m5bswQhVNGGd4HXyff1Tz6h1K7AgVPlVUKjBn+NWv
bj5/h6mYIoqBM1GU9SA2/p1qPkSf8WMxD1ogJhyfAB8An+SnYv7/FUgURz92GWeCE3UKhRgnBYGP
RNHP/JFwmnlrw36wUTaMbZsfMX0CwQ3j/Txgc4iHr4p4lEyYlWVPK7CYDHS7OgEH5teqUwsqpGn7
soElvnZdgYkmehPYE864f1pvK4wZzC/jH7vcwESPLSIuenUGMmobDm96qaaL1RfxLhiQ2CWkFJ9t
Vw2YM0XdQ+gD8jmMESEwiK08cOLUDlFGvVdjvsKjXPVdGWDuLCwqUj6PmJiGgXWUDB8iN2NeB9JI
Z5tJFOMd1bw/opei1/1WMwFDJ4Q5hWA39mEU0OD77DhP2w6jSfWOwDW+aIDokH3vO+WSPHJ5AGDO
VW8w5DuSTuUwrKlD8v4S/kULUjCX264DsYSC9rtiQWo/YwhKEzU3Y4S5rCk7yxudXoHjBwRDnlIb
6ho2FBggl81IuNNTvPYw+QZbiBGqVsODS51H05JJbqvTjM3zovpFZPkuuCA70H7qzyoM2Dp9H7oC
ha4W2/gVvS7GfuX4oAE6lqAcUuyf25ep0AJj4Mb6sg8I/aihJu0nDDi9wcQFpAmoiEIYxqR7MWJw
CG+bMLooqKP+Mqjn6j0imctROmKeRW0rjGCMhEeWazmXFAU036num7e1C6r3biinGxqiKkMCBulU
KNKvABCnKxT83YMA6iQRkS3r66BqPdtvk7rBPMb4G4ZCkWukmYubsOVbWszc3y+yq977ioQP3oGV
mCHtY44KaQe895KD8sgBg3wJadFjZJ0kb+PanOVzjKxKMVsz/KbGeExpOfmTUrnGsJ549k0a5UV/
CaoWQ0xUtU0Y2OTi/EE76Fg11Uh+VxuO6rVTdYXDFbs1Rp+26EIaGeEYn+Px0o+d7s94rL5yGGb5
XmDi1l3bjcjuLzDjlNPCJKupcQJ6lPnl5TCSBROsejQlmP+Ifgi5RTn5fctH+hoV4KUlgeewBw8e
nKC7um1XgmY/TiH05cQsy/CK9Br9T/bOLEdyK83SWynUOwXOw0O/GEkb3c3n8YXwcPcgeTnPw55q
Fb2x/mgKZXi4VBGl6q5udKISUGZCQsiMZjTee89/zncesJBL4xK4B4iBP+9Ll0oS2SZNeeoEibhV
J+fE1+HDER+Fjvfc1k7w6EDNfNWktj+XFKd3s6gyt3g7xA6AZgkpt84JmMc9+4lxKg8BIwnQpcBP
vwp10m+qoTLAUoZBftlCq7y0xrI7n9tyuHWsfL7D6ObsFC2w8JQmWnM+Sk5yLgatvJOyNu3dsJFK
sSFh0FzrsWwm5AKTuHmSguWIFJKVPkSpRlB1is2WfIQR7wyjrldIcBB+JqN/YYwxeaYxVxtya0xd
1DkxuhWKnskDqo+xZIROmlxhcJJXWkWmMU76ymXbX/pSQMRlJZza8AFQQhxQDMWFxlps2FOELhNy
VGG4FvldMtb861K1DC/nfFS20MGMazivb/2MWBwFM1Ybi/DmMZVr/DYxUh0wppQ58dw4h9HUR/KQ
Tbp3umr2+T4nt3M6w7VbqD2jhA5pZTxJckNSdHYfCjzLPpo4LQDAqIIy5pFGKkt2cES5uGyilybR
x0NnW/UjSAz1QpviB1IjlwFJhGXUn7IRHpoQWlkE2cMVkTm/xrpQzxI2zze9UDESlaEeX/MwA3A5
wbl8sBk4EbcPDaVwcYNoXt1gYU9VDcxaKnqFoF1tmc9G3EjtUSU2+g38YjSNHQPfkHW3JsywS+Qk
YDZmK7eq0lnicu6IluzRHpSjVje5s7Y7vkQTOB1gx6o5DnOoe21sDuvetgJl+zsCpsxBYxIWq5z9
X3FgkAGs53qUr9QwYG+b4EQRoSavJyw/j2Flql+jAWbFz6Aw+Kja29mIFDy5C+4gAc2phUm8kzoT
Z9k82ZtfIWFqBK1VGXPE/i/AwIC266Cl4sVWB9YXFoJsH+WTvBF536MYRPHmRHJJQsm+EHbw3PUI
IgNP9BXhMxXs7rDrouHCFCngMmYq7tBhCLah65KinCvGLXByyxUrDz8ssSTnwcOu58hQ3z6xXMgy
8JslGnP4b4TL/3OEizqCRTXb9p8L4WKCYl4FCYnTcsnL/QXCBaGzvJ97wGD/1xEuSmpsMq36TyJc
SlXG7hJ3Z+noeJZZZd6vAC6YaKAhV3F7Hf0luEVqIZuMtvlzcEumdztcuOfKPNxGTkfKn5E220sQ
+LUFl9tQGz8mJLmTYFyjBzu5tA3TokLKi6tLkenaFQPyGYxPiXunWHap5qw8zkqn3xDHkw/lwhcW
GfPQwmHXXNmQ/sJe5+GZp9qbjR/LHYWIjmqGRcgKYmeR12+TNMEw1GEd67UhsdwOweQhjENgSw2p
ei2tJHa8/eNAvPkqT+2n0F5o0sqo7zVL4L2zjZLgMmnWFbl14VWivw8Cu5ZdSQ+GC6Ms7WsoN+Gj
HqfBdaS1cIx6o1T8FvvFJmrzYYc6pG7yoYYc08JyUh3VmqHEoU7BBIE1VOiDzHqSZG5hkk1fjUDn
pH0cEYt3cTc3XmBZ74whgOppw+UoN1963WJqGdjVTScPxJ9SSBFsVoQ7KHODTxhaPPtFcGvCfomV
Lt6oWoNSkLCnkUUnQ3EfkgenFeY9D+XRjXTlWDjStcK28MFqq94lOY5Dupnvm6aA9GOA1u7Vosck
6NiwI/SLio0HDD/5PhciBSQBREVDlltHrM9b3MnzKqu1ZxPrgefgpnGBFKQHE5nGQ4JCmJRIqUhW
xwqyuCISLBmXChy8VWXED7jSbi1Hwg2BWo+MijshtHr1pSlagC1m2sU+sH0Ye3NL5HsS9q7DaX1R
2mnGK84RelQ/zNJNA5D16Nja6GrDUG2TGDIDV95cZ9BpDplmw25uuFHzNHQaXkcZD20xq8eyjDtI
3wAtzuzBgDaa5eI6GbJsOxZgZgx28e/kaYfLsFKtYRUasnrDrrT2icNmXlKZHCamYj5tfKuLiOPY
1tEaxksjmj72R/DGalrUG4Kz+cYkFfsMahATtDoR+ALzUgGccmRvYqW8tPWw9luNYcEKj53ixe2Q
vZbYWhjNdKRewzjfOMJoLuO6BExYkvteiW6az2pOOl8YBmkoQM2cunZBkQX24nhHoIBbSZ4oPxiE
1B+TGYCLwn22USutOmB5HkH7T9Vrn1fmwUIsu7TCcclsDOCk8hhMh6w7Z3oTdn4ZBskj+CnZZc/d
wplw2gcDM9+wMN0zP5S49wpzHrf2EI5rEOvtmZz2ECKQRJMdOBigRZqIe1eqbALBytxumnYYOMzU
XR26mdKUNwO+oKNtTRaYZlhjD5OQ5h1zqsh2E0tOr1I9uVEDgu6Z0ZB/zMqOnOvcbSyzFX6mzOWa
PE0ChbrLyg1FGXK4KQHHPZRyBiisFsMbgouzqTrRHVW77HBXq+qu5rs+hPrMLJP56lXBxB7TDL4U
sW2EOrNDGgrjLZzq4ZB3pnNBAqp8yQammaueyHF0ntftcJ2LuV0T+Cs6nNqR+JJmmfWSZrF9VIqw
KdwKxzt7ol6MK1o7MPliyHrOmKM+dbVeelYegZrKg7nZlXYirYVtt+c28vg54NQ6geWVYe9NyEwc
jUotgaVh6JwrSglqPUrWFSkCP2qYQXgkr+TLfhiB32MFilamHWAMr1FPJY49GI68omm01zpytG2U
EUr3WiXA0ZpnIXrhPLTn6lDKD3Df+wPENGub25F8xUNWeZN5z0eDj3WX1A2tCHOi1Z6WACog6R9v
dGVqn3NmJSlatg4/dYoj/aFT1fbhgwz3F666JYT1fT6NcmQzOTBN8jGK4SiavOR0P0TB/itDaMTf
SE7iGDSh8mnKp1cWHDoZJ8A7GxX8r/UXMZ3/fS31nzk9pfKJ/URxrV+6178yT/CnvsmtpvMbwTyd
jJJpEzE9lRf9YZ5Qf1tS4csXtISjF6vlP7JTeEAXg4Shqyq6o/o9O2X+RshvyYuqtk7818bs8Df8
nqq1qJbf702DfLhFKB36ErImWVv5k9zaq4ZCwwNsRkVHgPT1OcI2jwWgwJXJybORjiMIyizYZbk8
Am7TO1o49KH0E0sr8AEW1gwOrZfJhejliGkuLYynsnSy83wk0VRo0bQd4kq9ZrYcuRXSqqsBHlox
uBghq0GWTzEwH5xS097KRM2+StLQ7IPChvfUNmD67VF1m2mKXaEWw9J5Ugd+OM9CWyI98ltrthBS
c6N6m5scka4P9N2MU6JYls34DodY9ZJXIFoDywnPCQBD+NaD7ksjxYM7YrHzuOJpk0wq8+upGrBP
JFaebjutirYq2LJNoKrMFlt84AodHBdR5IRnMbUi7qxbAU0tU/KeY8S8GHuT4eeU5sFxDMPYsyBs
bZmwh2c9DRyQj4S8dpLKAutAbCHDZ9jOl5Pe5seiMCwvEcp1nTlXtdH2zY7sUHDVGISCTtexVk1Q
Rxjl+gRGNo6qi2nMiZeMMZu4hiNsj0XtDRe+tZXkVLmaVRvRTjNs/WU2Ju0NWXGAFtkyXxSKae6h
VouXySpCwx2LqjrDxpodxODM+Sbux/qpIhV2nzHuBZRS1UCpVmOhZ3hVBzMUXniKQy3+MG0VtENN
JsoqzE23ZKc0mFSP1ahg1wdg3N06U0XMamwMh0SNlAsLK0PaAJmdmclmYcB2NE6lvZ0UbBaX9JZa
RP3OqBNtXShYX3hoqwhwspgk4n1dma5IvDoPMVuWQ6t2+lWbJQUlGkqjxWDk1fEdQUyScLoMWbum
asXQfJw3MDnKqJL2kVrXlxKohgYeZl1xnBHckgtUujo6J0MsKvsqgpn8HBVjtsOZiRkmmMx9FeqB
V/GbPepdCQRqLmQPfpz+0Co9YJFEznwZt9/GcSptLVdqCrg5ipFe2iG6mtPcOFPmrEfxMxg3s//3
U9xxiNmO8T7WUjKtcktMW5iN2mWAY2HDWqVtO1RMsPDswUKAMJvaoDRkJoxB70LWuzpjx008ytC3
tGmq1lZcLojNaAY9gEuXeHVN44fiAO/g+4CkEpngygS/qkTV2qtEnWNPVSC2T7pu7XuMDWvb0sUL
HCpEzpicxRGlzXSlyC4ZRppZ/NRWenkTkc6F96o21SZLzA5HX9lvcXDPZ42cNdc2XtidqlnBxh47
sU5UgyF5x4RzPTlR+Wpy2CHulaub1IGJxYlQB9gR6TKlYEbS3rOVqI9aOXYbnNEd5WD0aWjKFK6b
eC72zpRXVEDUnLi4mZJdz7d/VpEL8WuJbTgQH83xGrspaesiGLbpi0SWOEvz+WPi5dWEGnoMIvN9
WOKVyNhbXEM5US4LNifvRltDS9WipUlDzr9YXVLfpDko9iK12iu0f+Mmzozhhc9Q3wdVzCNt6mBN
GFJgrpuxzy6o6ugeYMYYrpM34ipZxrjGXOoQ9npHuc1LHJDpMIIQVUu+UEZBX6QIRYnynZHDbhba
yrappnbXwNJ+1IRF8Iuzihpv5kkqEj8eLGnc/P1F/P83Z+MShGD1+9nqDBPzf/5b/1J/NDf+4499
n4ZaOrwQVjmdlVg3Wbn/WJ7N3xRGoWQxdBbb30ee39ZnRf7NJnLPsglvaVm+/zEMNX9zyONTU2jw
H10BuvJ3luc/DUOtU+WgtRAVbAwFS73hx53jd0pEpNHyEkal4hpGVexx/LfeSJ0dZM7Q3DhZ3AH3
dsatBKztG0wC8Rv2PQwjhafM3PsfPsq/2NMuaf8f9g2mwp7FMGj8giqB6e/Hd6b9n+VlsE/h9Wx5
4Q8oFEHybfz4enPWGQwVg9Q3Bgnry+zjXfF+fkmkXP7iothz8QIyVA7ZYTT+8eMuMXwBiM91FuM5
2SUd0yE7KOWXUMknxrTd0DErtBp1srf6JLXv5cn+XXRztZXYDNxhtUvuaDazLnpiCY2fy4b6ZC8+
chvTI0v7Yi4XWd+cOYvjHAAgzhVjlC0w686g+eJkT3emKbyF1R9dEt3Gvi6YbtJ2p1ex5iZtpOMA
mbPqNppKzizRQF6GTKDOZIdBXOzp7K5e6XcUl0YVSI9hxnHbZUdjJ2Tbgui2JAGiemkbJ0ze4IEC
CR1HtJBRgdBvi5IVlYQ24Wayv4t0EqD7AEpnTJsw/FV4XE+SvumxRNIHYmlhthjT++eY7DiPL1lq
n5Rs7L42BSwzfJnRerJjiK2wHrJLzQlKuhUYC62aKQsvzDLUbrGUtE+llVd7QfefT1tF6nUU8FxX
GLEeHTLcl1j2FD9QmfOpMexLAaDzqWV0ejviUN0lQ5rtMJmPDI6QdK6RlaQj0qJNjlyi9CTTo2H2
dYawmccvytHIpWjdGy4tdjRTgQ3fS2Fcv3C4JkqP0hhuRM92wh/waj2VdgZXHj9cc672Do2chKIp
uRCGfiN3OlDlKdCpMBPpk0Enyd4gnvLSlDA4sTmYF+k8TztMmcDi1dYCPNiRoBi1hqqDLh7y864a
A8QrSlyIN5YVnzicLyaXRpipb3gGxVkhujrCbUMhwKqwtfzKmZryvmphX+F0LjKAz22Iyw65sHsi
325vmKCym1Ew2KoMxUP5JsBHdCHR+TAilobV4MmSk9WXspLHb0HMcueOBBLezaUSKSAQ2q+6nP13
HQPbYTdcpvssx95vLd0ourM4htWO+Vw5hv01DXDVnv31CJ5T2OcwvmBt6m352ihcrj5jjBg4gt9F
ZRVdq3IPd163xvZc1GobgwCzujMJKRH4o96dwAmMkiEDX5t2A4Z4aKHuubQGQSIg4wktexwLELK6
WT9oZV5SzJlRhDNIbe4jAAU7cynCYRravJ+qb2w6oDB+tWVluaeym5aCDSybCtRndTA2p6IbWoJM
XF6xeS7CkeYwDYh64SiWX9tA3E5NNUiBTUtWljoaktW1V0xjyihWD+96qanB2/7RJuPQBul9b5JJ
5sFwE54CPjPy9IvqZJWLXmIdkFjsQ7c0wIzoc5eBMOlgW4pfRCrnN6e6FxJsGEROnS6D1g5A8+WB
s0PfchBQIUj6/KUANlT083npXcEfT2tsHeQ4RIslvRQE22mUtfUwWIBalmaVcMq60W01QWnHP7pU
pDnQDyO7ZWuDOK4jp4zZ9Wz3ACLaKL1JjCS6pf2ruYbLTvR3aT5pQxt3a9hZx6SCv0DG/FujSabW
bLY4BxKD003aPmxysclRmE1ASGVKwBnKcla9qm01BysjbHtscWSizzsnzc5tIRneiAi/V3Lw65uO
75qOE4TxVdtl1J3kkQ13L06fUqVPv9r9omnRPSY2khg6vyfEnrn0xIaveh7njwnQgp1GpA0nf08P
XBvrVzFhhkvJnNpDUKnaWdymzt6MKLygy4f0URAagKKD2vIoEB2f4pHHfmd2jCuM2q7cAdjefQ4s
8TmIwm4fNOXwPtdI6vZsyrvGLFV+rqU4ZnKhb5vGkDcaQ/tkhe+S34vVZFW60jH+f9HA5N7AhoCw
b3BEPmJmaX1jmpHBC8we9IX1Qf066QFo7LGA06a1PM9t+J1RL9oaXS6iZE+hXfQZizs5h8GK5SNO
GfO8UlvltW6DiDordToYshH7caDlTwU7TM+GSPtqd3FwGBpVEltOVB3nnWlKHiNNIbiNR6B8N4H7
X5BvEPhya+yBs5Ik8ETatPWbLCszL+7m5mvA0GBwQ50CTqOwRuwFWucH9QKTKxiRhkhyl2ks5CtF
qofIa5usPq+jxLoYhVyc1XJIi0tM/KwJ1V7FMI69RmtEtBcNqbEVtgfach2ck6s0rlgx6rBnyYGr
SUfROGfHvM6qq3QxTXT5HEJzcvog98YpLi/BQsIxCZTxTIU6tc2mDjvkROjbzSENn+e6wkgBTxtn
QkW97R1aYOBfBg+D3BPZiGnZYZqN7d3tReZcYBMtrsocSqmCK/Qa/INzWw3UlI4nd4u8GF3Uk+dl
OPlfALpEB0LiLBMaE+t1QbEzn3GamvfWyUbTCr15d0qHlkYMNlGt8m4xMuBpMEM1OzYagNt2seXE
BcoeYbdM8vnWpRudZVy4tHUkESiYsgN9jE5LOxvwMGZYWRFc8tkq1yG3w224GINKGUwuJqXoiClc
PpBybV5Vq7sLTp4i7vTkYMadydQLO9s15k1m62rXv6dU9/oKzVsEG5uGRsQ6ua0X61JzcjHBItLv
HDgZJuMjDE+QmcVt1IzzXqe1UF6XCqvKLgCAfEG4L38pWM6U1STKeUcFZnoMAauua6Vr76zo/ue7
OHVRrD7vTD9u4hY19oPaCm1UmqCcZT5sAQ9jTXN8trGB+BT/HRjRjW61Uz038SyqpQ/7eC3cn7+B
P2/aLaw8aHRIr5b6512kRa8wJpsm82uPylCPWNL+NjzvXcV9KtbO06+2rUsi+/v1LuqyDv7I4qgg
yxZnjuWff7jeuAjbUBog1/GUW8V6tTLsY4V2//Or+lEn/PYqJ4sniBoy6J+2xpMt0fI5dnR8JsUb
FZheLZXrtLBuszbec+f9Yi/+4058eTnweATeZYRTdNPPB5+WTMzSRZ36lfU4To8BbEo6FZnDbH9+
WZ++rG8vRIRNdzhlYZJcrvvDpxdR4iVHUpv5ja+k63iLpOESYXjNMlf2alfyfnV7fLo//3hF6FBI
rpxo5E+vKPpm6Pgxp75Ad5J83ae+1YXI33qBspF9en08y2XhHf3Ci9bMhYNzfS1v6Uf9+aX/aLT9
8/v49DvBG6RhJ+R9EPghSEb34Yp14hfHROUvv0gYhwDdDB6pn7N5NUpUiqch81tPWTMl9JMtxvdL
yy92iq9S7rOydj+/LuXHB8C3CzNtDua6ruIh/nSrktFvC8XKMl/ftLusdMXa9hpP2jj3wRdk2V/c
qQrO50+/P1RjWUXAR6znxP/p5aD3R/CVw8xnYx1u83XgtSuCGYiqHqcJ/1c8R/VXr7d8rx/uWDDt
ILl0Xq/xB3+8ZUq/KdxdfEi9bOO45GZ88xBx7xAYIqvyi8fAIjj8+LD58WI/PWzstKYjeAJbaXbl
msLlF8CNS+egdtPopND7zjpXMLetkzzTfvHSf3G/gsbg0MT5nKGIvXwuH64bKAINbSl30lxV+BZH
h72Hlv79HwXpNRupRSPwqpmfvsz/JC3zT5dyYkNai28elCK++R8v5edsyL8VWP7nnM1pOiXIH54K
C2XxGxPx+JK9/49/vX9J0/d/eXtP/8X9PKH79mf/0P8Wfgq0k99Hcx9oLDYhZR5Z/H2L3LN6ghd/
U/8MRnDQT5bVFj4Kzxlukm9ZCO03pClWYnQ//gs459+azn16tCxgw4X1AoZFsZC9yO7+eJ+YYU0u
abI0r3/svXg7b1kuVukLmML/wML04z7i9xezIIkCa2Q3oZifniv1/watWT/9WL8/R5YX0wlqw45k
bYdbuoRQPv6YdXNoYg6as9eOICzIEtFZKFnSuuxGPB510PsxHqtNQyLZr0OKPM0qib+EkRxcxHRx
0PHdVb5FzZxPCJ0yBQOkgDEHnNEnrcEvPN3wnTLiJ5XqdxxkqARVoRWOQ3ekstnZOY3IsZw3tDSl
hDEwkueYfSlIbwFMb01RKtvKdigOmr7Wckb/clnIvCeRMKqautltyrnzwbP3Xpia9npo5G6jC2WC
XxOJ4zAy5IFBDRyhhdikN6p+KI1MOtiSLG9CM7UOOIzwKs3ORGfN1J/njWWfZdDh7wzqTy+k0qa2
LrD7VD3KbPELsm6RA9sZVzLmiGg0t0qdzO9ONyo4oTml7LF6FK+wouY3Mx7juzR3qsQb+864VRrb
OjQgGl046uammOfwa93Mceamqtn7VcHEiiOe1QGoUiCprEbVZDJpT/quNIRDJjXR/FYMxTsE3/Er
oV/4NgK03oG6IVrMpNoMKboL5fo675tIWclVlaz1ujeulVHT7iROa9dgH4fboociaJUzKxehyZpg
eCoe5SCdrjJcYeuBWa7jOlE6eyWUwWUZ7boBd3slHVBe534Ln6VDRaIrh0NhGNwIRZS3dWC3O8eQ
2jUQ8/xQJ6McrEx6t58n3jBTx8G8Jm1Etfc81p5h6cHWIX79lluatC05gqVoA4hRlR2oV6XpwNRi
NEYEkNIiy0srvbFX2PRSxSWLUp9LHErjlZzWYKmpbdlKfWfv+e7rFxwp+cOcZimjTrVEmCyt4VBH
5vjGcBeMEG3oa+ZPpYeHHndWmY0ExDmFkrXvgIgwaaxVasb0ngoTTHvOuss7WEilcu80pVd1+uA3
ZVVfG40FNCmLs+BZkEX9IsJIegjVcQIW2ahfER4pN2QYBoEsFR24GSSLGy3o621aO9GzkxXUqEhO
l2nHBhdX7YNyoa6UzEWlQy+sNBz+tLD4srwQ39CQ2o3cDWDqi1HLU+rZ5qldsbIVG72eyy+5EoQP
VtcEkMHzjtFfGlJMHtlz9cxZcMjdxCw4eseRErg9UB00hiy3KZ3kWOp2WRsimTdiWDkDPzk3twoF
EGqmn09yaT11YKawJYhAzC4mMedS4GE8dD0JUynXjCtD06Qj1Bk7J+gxmzdzCZZuZc6pBmlkVlpr
jVQhXY0ZTCBoNLH8lf7V+M2WrOYmN4vkLiz5f3gcTMt1JH1JJtHleTkFSrbvbY0LzZOmv4zA8F0U
MSyplTyrw13d5jq11boCITDhYXaVTEu+n09b7BgmGYdeGZEPkiTa6JKpXsdzV+7HSMCRMwrpPuHe
ImER98W7pI7Et6U5xFenDkAXZXzptGEy7w5a2Er85uvyykmH5rVNiQLL3WgfUNW6p8q089LNplh4
oglTtyNsnxGvylOkANmkhGindU71dZCoE65EbWGBr+gsC3RnfAokXfI1dG8yRku5rTyznYpoJ7Tl
FPWr0pNdXarVAfZq5ef05+07OVHccFQKP6mt4iqAtbMhl9K6VE00POMAvFYSLUZ4oPKt2nf9GQyo
0uVZsDRrRrnLcCS91gnRubjs073BsOEMefxL3QeNW5pU1Le9VYELoGItimgboiANFF5OiLQMhLIb
cD+s84TaVN1s43WHkdHTAiBKvAHLa/qKEUXKk9aUxXyu0Ovg5wnh11LDcjGFMshqpW2fs5xASUl0
gGB+YRwsve3PW0yc7tDL+t5qdcvXxsDYg5ulrFfr5l3p0H5GXQyFUnna+WE/OtCRIipbkOWdaD9F
WUmTQsNuOx0Z3Msd5xpqh656FkA/BxviT2XX75pO5VFjmLF0VhftdGtymvfwf8bHWaq0cznC+KKF
fbEZyyGg3rCSySaJbBPGOg0RsP9YxEqbemxC3vPc1h719YY/U/Vy0NIeRYtg8HVpVcBdYx43Xder
2zEP+7PfC6OCKUr3tRRJz22rAlcLzMHn1ZGhAaj4Sap3PHWLK20kdzZ3SUM7fV7c5Uk83dcMjehw
1mZ437ZM3j6v69syjOGTNqFdrSwoIKuE2tmjTD4GOJSSKW4axp0rNZrtxrRR2XMBmqEN83KbqY5z
yHvLoQ+9n7VjrBmVti2dCqn/VFRl9pVpnUnl3J7XFlUgozpR1xHI6oArmt+o2yGcXvLwNegSrhHO
Ieu2+yo3tJ3FKoGhWuQjPVSD45taRV8fjEWC/rKMTcZoSIuwwPRiErd0ZopL4aTxqzp1ks/fkw5j
FuRXcx/ld9YU44+1wnjPw/BVyors3mxpy3VyWooExhAoHyPhxMaWGliNju2nQN/5/bLdANIVuspk
Un1dJSRRkkSTsGY4VO8WJtW+i8VSnUFYRPRKracgm9aQpCVATnXhUjgsMWNppqdiAKzMpHPwdTXX
X+0hj96npG0u50Fu3sNRKA/SUI9nY0yulCoqHraRrRCLGpNMcmmAZyan6gs9aiI+itdWqeBfsaMg
cZ/M4n6i5HJTYmC56odgZK6QDKwsMwycq8yZnadCwyAea328laaO913VhrknutmtMYI5Zx+26Je/
7/4+wgdPWsv3TaGtGzIT/aU/ANMbpJ7PJ7ygrANk1TrlZJv3q/o28Zu7XbjV/diX3HnjXMXlisTb
TvZAVXrNdhuvf3WaP/EN//QekD4MvJoLAvHTljsaplTQvskT2BFuZoebDMXVMfmfbtfI11mF+7x9
dSQF7C1BdwaCNDrBjIjWQSyuMjugR/qOIWqDUbUI6eQOzjSoppU6e5VxVyTKL07Ff5IDTh/ahzf8
6SzZDDR1MtRLUTvAG403zZ1xkR11v9ikB2Ny/ZX0UuzaowEXjbo/V1r//Es7yYs/+8A+HRucIhB5
vXxghA0L0Gau7Ofr6MLcQVa4T1/o+t10f1e0+3zNn1WIOsuHQi8p6zinQZ7dCkJZjPQhrutjsZZ+
qXosrs8fZI/TCy7ATiRd9IfPxxVbVGUy03eAiiVdtMg86349+SbS0kWybdzQd47Yi/fUhW5dfc1Y
Wd6Kzc8/6D8JaZa8VCJwWy62PXNBgH48MeWh2cfAULBUWgezwOC+cHijt6qZfqGfnRpB/vSNfvgZ
fjqbKXy2tc5ggYtNXh4pNN+ofrMh3HIcXhCzfZ7YZ4OnoY/O9y3om1XiLRLm6XL/W7z419+JDIul
9983FrsvzUv+Ur9/tC59/3PfrcVU4mACNoGeWYb1keSAEGFpKlI9yB1MSovx+5t6Yf6G5MwejGkB
2w8qPXjC/aOXQbUX7QLYG38MgM3fUi+0k4z1/UbikI8oisaFbQk+LZrJp59pTJyac7JReyQQYASp
J0aQILhD2GdBB5lTrK+jBScEl2s4tLWefwlPtCE4PMpVTMGa5tkLjiiWWvkwU0q4HtS0uqUGOn5i
r8luPFlYRjg8Mrpl2oa+d3nS7zOF2qkVCPHxWZB3J0WcWRJ9IvQvPkkapYBq7bQHQsT1m23qgJRo
C4COI5sVm79aRzmN1LzLaQsWbeDiQw0Sl0Ry/0SV27gPT7imiKaRp6TuIS6auZGq+4r9uHADTe0i
VwFmcJdkDDt9jnXG4DM9qdaKCo5KT4TO9l4xLuUyYqslCSAMG6AJ80WmQanaz0z+Dk5bpeeVEabH
bILsHE/sH2NigZQdmJxnV22kicqV9Vq6kDHsboyyrhcuQ12DyQXSEfkMhTrxBPk1g/ZQFgGENKAf
FHubkbZPwIGtCYMkTxJZn2ed/eOzEtfUElQKVXCehBNXeNZIrd+uCseJ6TmSyEUSqrT5UDtR3Bkz
biYq1Iwu9yuG5Y89o+TiIGm59t4OZX5jZqV+O9SOla3qumZUidalHmSjCgmOJLVqvND7GF1zOdUb
GX9sju3ieExGk0B1iAtSnAyRsFYxR9IpTA9dp8tryYjas2JxUVLZptyaJ2tlEnWyryRBdh6JRPG5
mdRLZQxURtY8Lessjjct8243DEya3ucsz3ZisXFi/DNuysXamS0mz7zWqxttMX7quhlutEbS9mUk
0teRrctlvlhFQ1mMa2Wxjy5VHJ6+WEqrxVxKGfkIUT3p9lYlwnvcFcTT6FB2PPoYufnrxaI6z0FF
RTbeshH2N9PbxcxqkxHbl7qVu3qstlujKY1trdY2TqjWuTAAG97Eizk2Sci6Lxtwk+K4mGYNAPqD
B3eufIXSjNU8Gca3Ji3EWlu8t/JMpUa7+HGVUJ/OmsWjqw5zt+4X366CpQQL7+LmDQLQR+zlsfga
AyWWYvH9EvfDAty0lXjBFzBsRg5kO0AK8fWsTIvkY6dXUUGhoHMyFdvVvOTfUJMowrX3dT52fhRi
dKEYVJvO7cWYrC8W5akXuJWNxbjcmFiYtdCi8K9Ss3WcN8od0oHwqDLD+VzSNsiRQLusY3vcTieL
tL24pbPFN51bve4ni5c6AkZ9Li/+6lqYsAAa2mTHPJVHaLDJ4CdgWTa9ihZm6cz0pIDmzUHLgg3Y
KQv1cXDWwizrc2sQ6aaIK3M/UR/hx4v524mq9Dn/X+Sdx3L1yJltX+W+ACrgzeBODnAsPQ/9BEH+
JOFdwiSAp++VbJVUqm6po4Z9b4QGUpRYJA+BzM/svbYShMdTrF9o5mjim1J6cWTarUM9D38/HNZE
3A55qp2o09GZi5Fja9v09VyiCLeCdCsDu/vO9R49Vpe66bgffzTraevad4mUyZHDWio7JOr2zkai
BsXJWZ6GvFvssFY5JwNqxQ0qrymOSBQoaNIy2M0qGwXim0pJ8cYv4ZCc4qkMFd5e/vRjM0YBgEOc
cTFy7RlVX+gw1wFhly08bEsB5YBwyqhNzf5rWqn9NzEDW9RMejnjPKb1SDxbHIAXm4Te1P4SUh5V
d8loNfdW52MrGvrC+zRcxCFt6+gnHiqMayPne9vQX4SaozVE5P3kzDB2jNkYzUxnmqz0LztPk9uG
VJC7pFx0+5D+ZNZMP/E1epk9kHpgOlFFnZ5u524MnE1rFomzbZqRDi/l8D4VVV+9SJWTg3hBiJA2
Fcq9J9i5REKl6qw/+To/UTtenZTdvggYqJo07ci2IYyFhJsjJpJ67F+2hskvmHCCPstBFGJjtk26
739SfSa05Zc1DdqvwSyYS1pD1+417gxGHrWZlrTjtT/S71k146FsJcsxAbbFZ04IBiKSzBuACtgg
7lqtxdaa/5DqePug1lWi6IMQkrOsX50fsl2tIHfGYFrhqMB3gd8CORwFHlBkzFt3cY2bxm2+pFsn
CHHc6ar54eiRIE3ejBG3WyZK+YExU79HdAJ6T0H48g7fDLUlg7i/Xqj9bxOP/2cppYqif12C7cf3
KftvSzD1df8owVjzBEqVbLBr/lMJxlqYbSXeKgLaWA//vQQzFRrXtyi06HLRHVDK/60C00nGQoeO
8QtpAOtraqe/oh//+Vf9oXGhBKO6AWrIT6imvrb+p+5s6gXq1bJMIl60ju61r4YoiCvLriOt1dsr
y1UKWWKTzC2Lof4Vgo57mWhW6+P/iAsClwKMO01ZxvGmw99MDtYwDXe4gIKX3gOcr5VOEDKELal8
Vmc7eyXr6MZYLgVQprupICcW+iSbkDbjB2ipOT+JBZEOure0u2jHrHrSvRXgX0U6qd8PCJjtYb1Y
gm66KhjpHDK9cLZMBhjSi4KhXWzFr7Ic45OBGnaDsdaCdwO7pU0aeTEXfX3tlo51anKnClN+j8iR
q7uxayfmXS3ogmdWSphRvmIfb3Vqj/01QFm+ynKm+7av62eN62GDrBcC1DIQCGNljONQopJShIgz
PxllbCc42Nvs5IuGIie1/VNR1B0BuGSxIIvG2vOIlh0iq15gfMU6rXPWFUYn9iKD971lngV7Uqtm
JLkBVVaUipQpcGo7xTPOLwgDAprkqll65Bo5dNSgrg/6Qi5By6jM15b0yIfsHao0HTmYZi0KdMzn
VkqxZyGsIVweg0A+SeOiN808aqQcfyV5OTz5ZB1tENylKgmcPUY2rUm0Jq1UM6qOmOG4QHRiEcbL
XbZ+UHcad07a1lf9AFiwGYR5Yqg6I8FFCg/BstxXgVVCiSKfuW6Bi/KAA8iySCaZ7NLjFB3mAwBc
RC0lg3yGizB+mBiE7UpGGh45+xT0UoYu1sSwhdm4q+N43QvmChubxB2EKbMbJdCaDiOu/peqLtNj
PYoasfBAFwoj9+CJWH+jsEBpzTrsLGwWTBiO/bc80bt97s3LoXf9jOvJyPeT3fp7SnxQ8+u6olRb
kI0bWnXUC34qnNnaJuO15ndTodn6yBzcmNeDG9v1tShlDJE+dyL2XCx0ePHCdipjUP2rt0tkUm69
ceCjHVk0GQB8mAPCcEVf2obzUmPeQGPUFCLfkiddR0aD7ztFLJ9Crw/5Q6PlrmbtlfL5qegLd9/W
5JzXpeyOjjlyuROcdVk3fXz2eM/oHJoyMvWCz7yTQ5hCNN60sqr5aPFHA+tOJgIB7PJoJqVkYZN6
dDFog0HaLg3oOMYZKrHzZbUnY1u4+CwxsIEZtWBc7fq8tK48Jn8nS3PnXWsN9f2S1nNEkEO7B2vl
beBzYWUb43ifBE73sTYtjKo5dlkT1c3Bz6iUeaS8q35yzJMlXOdIRRiYm7RLjT3lOKHM5HyzbDWH
Txep4NYYrOIwaka+q2oqFhhE6TW7P/B1wq+PS+W0Z9/1JX/HnsGpWckL9CLL1pBle+ukrBbbrnEO
gYbdrM6Fu1d7zP2UDhXsrjUGytxCL9x0lYyfjZ6KqdT1wtro2OG3qPmStwqu18OU2OXD6CHAEmbQ
0eyxutj0gAq2NVavrc+qaW/mrAszc3GemcrIa3oQn+YBjfZQVqw/W6N5g1LvRRWaV+TfPlB/NzV2
Yirat7lfG8QylYn/3ElZi7nD+AtWGByp1M9HJIq6eJnTMj7Fdh//0qyhum/5WLcVm59ni5z1Pe0P
h4qDPjwaiE4IWw7pB1T09r3qWm8zWoR108jSP3kEUlwuxkKvQafKWgU1u5ce5qHqL4bJST5TjCPq
QS7qY0z22dVkOW2E+H86we4kGrqa82OT5eu7SXAS1H+gAUVrcpyjVZ/JpWi1JxPp9M1EoHcZ2ppR
A/Motau489avNc2b0G1XgtchfvsirPuAXtaEIJtVY33RMWB/dA3WMVCJH+npiI1pBKTXAtv0nqTD
+HZdCgejHRPrTTLzccgV80zmauVrF4M/WdEAv1gW1OzZG/xNjzjj0KCZuLbKVt9rYuSUHV3BMGA2
NK6oJbAPwpBwaCynMtAE9yKmHflBQHsk2cOJ1lnbsZhcwbiQJF3A0GQNG3ufrW/212h00wNUjTkq
RM0+o1XU6fUHQC0Vi7qv8wWK+aRfE3xfYCNIFu7bH361kad7yU8KnhusHKMZ41wHJEuG/UoJG9rm
Sp9blGXBgkkBy37Q2Iwaknu0JvnJ+0Fnd44GFBBO5V0yD+QyaoiAoZWQ3kQr7hZnryT+aRMYVXPl
Jz0nQa1nT4JZz5aFlLyBTAHEu+kcNlI/aG8dGlmC0Rr+YK/3CAxYScFH7BUT3GLNdWf9cMJ19i2R
q+jhlVu5N1KD756xjKKNhDLONr57qAI5U36mbvsqG/AtUPWgcLF6Dc79ONu/dDwuWHHASNznRi8P
zQ/WnC4OsLoBzaOvYvuwZKTwYIx3zrFd6DkBJ6DRA27MY6oIyvpARCFZ9tMlYfM9NJuZp4TfnUyS
vE2TDd94nsJVQdjryQ2A6QFmLxWi3auz5K5T2Has7MvLrElYzbwgRyqO8lEEtXkXj233uiR0G8LO
u+txbMzrgFv4HKeCIDsVLwKAJkNgzu0OdkxdnkSoWweXvuuIAc8+GPivPqxgNVgi512218rAPyJN
MT/tunDeHV3zUTOUneTewxZU2kAwghR7LGmHlgsEZdHyo6Zn1Adj5d9owqoPc5EZlyBdmjOA4/ka
6G79UFuiuwxiJwMMXuIu7pUZumqJRaMLNd1t31TN6ywzcZDQhgiyFCqPr/Rh/C2aP98D3LexkNjr
rTelzk3reX2ocp9mnnnNfbY9KXHAOSMq+KJBBAJ9mkTnIYCnZmHaXscGkE5HkABZeFmYuv5yAwsP
8EtC4sDCchDc308QgacyCdrCTW8kcJUny1YCfYKvP4jmsS9qXfSnQi7uM29Auu9U2oFTzcbNknYD
5opxuPDqQtwEKh+BXIrqa1WZCYIh+M5YVZCCvRpyu5j8VTqZ5ufVS5LnsmshUPe2BZOkXEInU9EM
sYPKJpqRbuxWRMD3xGu2uMCWJAirmiHcDNv1UdDxgUCRxQeJa2KnJaRBzMmamo+LOWmjv20bx+cw
om7auNIAlxI0yYoA3pbFptdQ8G9yLSfds5iRCoGlzLY9MuaMBjBJ3/gO6weLtfUOc/z8wI63Dv1x
NCKPYvqYZTVJpT6UvzwuxKkeRsRPdTW/tHLtjrlmFlxu+XSmiFaLxThJjisyF96oUo5XbSytd4ML
YMNYnwnEOi23jdEwcJJeA0hdmjd4ped3nIcpM6ul22qUeGFnjtbrVBYy8nNAnmUTpwc7Na3d4Ivh
tFJ4fuW0PkcmMMbtOq/iKhjz4mq02CuV6hKYV3iOMjPmm4FUuy0zsIx0hiS4kZOPBHWS2TWahmWX
OwIQywBjNoTjr+9Fw2UxVYYZ+l1fXgSLvd4PIDxvKa/lsUkUprKLhxdj6qZnofIFauoMluqVBh9g
rY+G9NZ3XEb1NTPhfKuvurN3icW94daDwe2byTssh/yxHgwEVkaKuCdlKDC3PqIaCoS3dZb23gVp
hKkvr0jXlfmVF7vLsSl9wDVkUtG4NCSL8yqv/myHhmY0sCqGNTs1cc2mul57L0oMbSh2BmE0NEZB
X98YXpze2l43P/g4HjwYlhbE+wZY0mYUa8wKURCBSIGFI7KbYsA0+IVYyA6FMoQHSkc0R33WNLdl
K/2Di2Qiqu2xewRAMXxwTMw3Yk7k3umH4UVbq+B5kJxMFo8OmnHdvV0JJ7p3uV6NcIQh9VHbQXLv
jLO7hQZuPvvaWH/Kom5P+lC3X54ZB29BMpKXCWAc4AVeKxz3GjMF0qguiKN1r3BvWu//v8wMHJZh
/3pmcPn+fxgb5Jng8/iCxj0sx8//+7eFj/rK30Wnxm/ArXGco/CAqRb80XRu/QaqB4UznGlb7XZo
2H83nRMd6KiljuewuqGyZZ3yt7GBof+GLhpyN4J31Msk+P2VqYFay/xxbeO5jAyQxCI41Qk6Nf60
aUSiUdaAWZJtI+7jYgz1Pt06tDF/+GT+m22/8WeeNtsG+ijPYy4RuHzLPy2uSw8+PfrHZCuHhBo+
gVFs7XwuxzwpYbpZ+zhZdvHEZrX+H4QGf16l/vk7/2ko0gTJinVyTrazcdkPEc4kuHyYfP/9L6j8
E//4GPnL/en3+9P2y+Avpmu8rFtqjc0SkdcVBdH/tH7/57+V+iaIEA3bIxMGx7r9Z7QU6x4uiTkA
xL/1nHrX9GKbfv3734N94X/5TUyildjk8WgBuzHVP/+D8r7wHX9xmABFupN4e/TPu27qEGZSk2lj
yMwFBnnObmAjxlHo2yEO8jfS46qLorK7X8nSM4vQmUk+CI3oiYUH79KZLfObeTaWGxqsK0JeYfjl
9bIeVocD3ZUxULPC65Mbl4BjsgqyeL3ySCt5RQCpvZDzLC7H2MxOJiBfEGZkVpJEYnkhBZFx1eda
/+mOHahA6iNlp4TwcUOg+LDvfLe4rc3E2Q+mDwDWGhfUXCKOaSRXxd7s4rIkOGcemhPe5rI+xLHj
vsnKNJPLykGES0zKIkX3rfBh/RZm+Dw7oTHEJaFrTm+EVlXOOz2IY3jDtsx2XM66sxtGmoYlkcxu
Bzc59CVPdZWa+kmsjb3t4OOhKXZjOhrynzjPMxZ+udFp3YF4Qdjk3P5oR9YCh/JDp5kTfUwa6Kel
1+1mS12VeQwQ0vEom8LtGEIHZHWYAwvVmUXHhdcJCfQaqgrVQePYjyZXxxXSsyUkQHp5LpxeJ35e
s5o4nJn5fc+VRQiJPViHJLWKPlw1NkCkl0/TSjADsjbuPcYQZWXtKH0n5FAWOrCRRaixmTUD3xbu
5POSTslbOZTNVdcaLDCCqduXc9ldTrVWXBmFJq/9OK720mzaiPq72TVBobOpEVVYFfoSFlo+bv2J
YQdj1J4lXkEwqfbpdIy+0TLZkda7pFpBJ3jQEovmXZrysslSbbcwz79ktducidJdnj076c6a7hQX
MieJZFNTVuWKna5oUaL8LPRkuNDsZm0fTHjnh6Jt8v2QTx7QJRd1NQ8df37bXI6+3oh3Udf2gWWZ
jGxEw/dFMVe/IFPHx7F2s2t4LvaHTAdwxPCjb/CyGHTmlbsrJqJVQ4e2+Xa2JhF12CDb63lMbFIy
RwMvLLPSIZxLh/rF1kvE2iUr+6tqcWfjpFckc238JXU2RjdhRLV1/V441nBu6RRo634YRA3NzZHs
L/sXldjMJDEoho6FEhk4aCTz4MMBS8Tfdhq85egRsjRE01i62V56RW9upLlYaCEzaoD3fpqH4TIf
DPTvWFubV61crT7q5sW6iQFrFlfDECeERQH8KXaNlbPvqzIi0Nkim4DAuxUme61Z5sTKzSvPgZFB
CJDjSnB9H0R6aZPu6aGgTEAfhRbjjuvRthm3wL+2ntuOJExSd9Jrp8/mJyZm5i1MTn8H2TE4gSDo
bsxgkXBUE2Jx2sYah41h8scMC6I/WWD1FqVVLFi8hZoZsLG1MieqXQ+DwJQMy5035MZX6/fml0cA
7Wc9mOQegbZCFWkP5MGPxYIEOMtOBiGi+NT0Ktil3TiTVaibg6KxKA5TSvSjPSHbZuCtsKha9mC4
ayN2yZA5l0XaLEe8TD3Kyzw7MvoKDpU9LCkeeqcLfSemzZX4n895sHpfhqYDZCR4oP6iVf78Ocj/
kqTmf9umxnFUpOC/rrjC9/Lzvf9jtfWfX/F7pWX/5jIuwIn7E0zys4T5He/jsIUxVZgHEo+/rW7+
bvDxfNhSgU+uoc7z4FOa/F0i4+umowceqhv2KX8Rv8dX/dPVqnwwLroHKiC0Moh4dFUk/eFqzVhF
mzbZ7VFZkL899Kgz4Sp8zn3wJgz6iT51yy0KEG9Xkg8RFr1bXphw1LZwDfTTClBmFwdlHbpLkpIi
PkGHMzP+55g/chNMjxg46iufYMJDOWhnYnk8DiH9vRly65p/Yb5fq1WE3Upsbe3fUaUhXdb0LuS8
bg/ljNa3SLPxGr/3U5tNYHzNNmbNACDBCcoUEG95l/nFnVNrmA/X8tfSdoh+h6x6gDbbHSuNHUji
YkqcS/5LjDCiry6zxemPMEMOXbu8dhNRQUapJpZtc7Ya/6jrXQ2FGcC163TfMBHQmfjVYyEIqrfI
Jhp8bvx8Lt5o/8mQSoLHWQ7vjkQ7LlNNbIQFLcBg/Aow+dAig2ZiVhML1zo7R2cwz04UDtjMRmnw
mMcHcf3tDtUNQ5InP2PwNybtDroNp1QZo35NhkMlndMi5XlMpveKU9kOtAtLaB+O2+/Qy+9ZUg/b
cQW0wA428pl6byTpHuClmT1YiHbB9GRMoi0kpWAEGLLCgRsD5rD9pV0GiOR7uc8TiIS1j3gwrn03
7MGoEUTHNERKjwGX22x0h2/hFTE5gtykkR/Iw0wGVw6pjZmf+audJbWBv4vt8jlvWxEljcdW2rDn
bcsQKNSq8VhkYjmhOX6IST1sujo9xLJ7nOJVRLJEhMON/QIcjtSzwjni4XnWZXzpZsVZAFSNjWw8
aL572xr21xzHRzH1j5MZny1PeTuCIELD9Vy0A4kVhX41l6nYdItTh+tU2tea3tdns47bKwYX+qEX
EtWFdco98kQIP76ecihp48BvmwZxwF9QGlvPz1mO69mznqxiS/L1O3kQDdHARnXXT+mDTgMe2gQX
kFLlPnc5PGe1lRSLY0bONOrvY52uOMBc9ivF6r3WGbuNdmRDljAOuwD0bEbx2PeUZjrm2Wk2NpYM
CI7EeXbZs8OPLIsInFl30DF4bJjyoLUPjtA6/n8IqYQPEgYMs4thR/0VGBxHGTOUbWdUNn4r+MYa
GnbswCheCL2It2TSMXF1S7ktA6Ja0rx+6xv7HazTOWlSJuWElIR+3gMnJ1JyU1s5uA8V7lMzzAmr
prknTsXdZC0xHs44fNh1/K0l3pfZ6Tgh3P55tNSKx3P8aEIbiBwZKFQO4DlcULKo/QWihYLtGmN6
Ev4SEtRgJ2EqM4qLAo4JQo/gPnPr4nIyYC1NIAc3ABU+a1eS1KwvMKDJ097YTlc+MdpHkFG4D2vC
J1UjLOLlGhjtJJkWWdCXiUDUWaoVJVHpPT9wq6VNyBW7MoYztEiXWhMNeglraFKjOJNvP8oFrngq
rS1yoxvSKIju68ZHh6ounJim65MuD3YCpKgQ6SHIQYXEa3XlJMWpGqW50QZyJEkt+fAWcZHI9Rin
WlQl+tkV9gObWp7senmadNiVruCRSdmaUb0yDfOyExjNuz4L7uOJfD45MOK1C6wMXDHzlrUYGIkq
7nZ4LJCODUEoQApcFP38Pnost/RyiKxqICCNqdOpWpt7wCfklhi5vAuYvnAwpcNVSmb3ppiChijX
2QpT9GqMzu9GnG6PWV9SfxOwHXU6zPSlbdmYBhIyppAk/bgpWJ8FLQnmJrGpGDtthrbvN9VQXGmZ
me80r7uM1ePPG+8a/RaMt7EVOisBnA6fAe0Aq9/+ObaUDrC0vksPg485PVvJDPBgfU4zZvbkSd6i
7hGRGUA6F2W/ROyH1hAwFwuKHkTzQpyPJlLS/MRrAG9+dsyzPdqEcLrWzTAJDCC+dsiG6Wl06mNR
94+im+EpiIHoHOl+s7jtN4SS78W0IkwwMC3lehvNMb69Qpeoe0S93Or6rEEQH4yQTL1zjt+MFWbK
SpVrQmcvE3plz6ebFyMKPOeRNJodagIqtMSKAs3Uosbo9NBNm2fmwESR9ugIOKtI4BuAk2LnY+rQ
ObceWR+zYFvE0futNfbe9sRlGrQfi1vd6ZVxCbToFi1SFa1G9zUWxTfBtQnWxDkLHW99hgCC1Mwm
IpOkRnSeOLZkX8vDwMi+8kpnx03VHh3fEJsgs9tjyq0VVat5HnTpHGTOmzIa2Ztu5LcavpldUvK7
xIxESHBxN7EnkXlr7bMhTHM3CADkscP82XTzIaqILtaq5dlCgRZmGmGkrJuJxW59bT+hPNrxET5w
6t6lGoZJL00fVm7eZ0IF2p2vyPJLkW0h3XGPY/VBX7bciqkl9g96937NJm27ptZ9Vmj6ztLRdQRi
3M0w+A5mWRxKksjDxp/XkBx7fLfARncFEWohwe55ZCA/jSY7+3Jci27P3U/MDvh+aRFmTLciO7fM
beCs7i6u1jYCFN/x8pE6D1g9B1w/WTuyV16AgENMEu3L3PWEA+TyFQOTvFpsTV5Bu2Gju6wfXc+e
cGAooXfbtnQvuWKB5Cfjkz/UJ01y/WRBcHa14ug7KW+LU/zy1hgfnLe+NnEZhKXDhtIMGjNM0Tuw
RoLw5RVesnEIkA0HicW2sZJvjlT7wBc9M4xGDc9+f+8Z+QOdEsa/fP5a6hkU2dy+w50iSt2Xn9rQ
EaW4qss8w8CkNV9qU78npQcTToYqdfabS9jGt5qffolazHs9ac5do30UE5pRAjQpZBKTcABgbgcz
Hp5TQPMbZosTa9YRKS6AqqgJzAaMenJj6XjwXLVCBDvWb6ZWxZ5q4loOK+BkWbUf7syWyuURrT3B
RHrprmAaK2dInrDByOstnddzMglJiG4SsK7jAfGF/JS6MR68QZ6ttidgO2mzbSs5iIyaIAoGOG+l
M9pbHW0QgVgMCnoXoAksZQ4MsGS8qW67A8DJ0p5ZzmRxJZuj3e9ZP7Z46BbWLG2+7WvUe5DytsvC
G+j1T61cDklXH81peUkh3+bBpAFcplDG3aREwe0tjqgMiyEMamB1yTYeWQobMr22mT4wHj/lEiBO
XVj3ZVzHh9ZxtFMwVy8ZK97I8FslwZ1+lSOfiGlzf85D3uxH4vu2AlLVRk94a8eMXWgrL6c1A4mm
+ayARjUhMDitEGEzPCI1I2zWOAk90b2YlQaLjZhunp74uu6KgyWYALo253m8drglk4Emfti7CzeW
1r9mHNpI/E6xS4kU85dqW2zpMKueLCDTnaguUTF+c0s+NunyzVynvfKy5LNUJzEujfs4Nlvq/yaL
CqN4nOt0ZBGjGRvKEy105gBctjAI9+jQe0CBXCNpsU033CAJ03X9Ngw2wE7n/EpL+0oNpFn6mUD6
xu6Uke7s2Knk6VbLPyf+7h2v3o1d0G1j3mJGUO18RdD1zgJBbVf9i9eIN4K0uMqt8mlstEPlxSgj
VgQrbbTk631i9y/pHFwa7XLfpxj6nHY8yDQI+BTjd5EVdzJFUl0VNbrHmajiVpt2k21Ob25aeltn
It99QWYbWlrwyN39EItyVxvpZd5kt7k2XzlpjrzS/7XCYqapcqPaEOepmjgu1lfD8y8yxMHh7Npe
WM8zUYuxed0xLUjsFsknT3HkmvM3DVG+gXDkRtOE7XLBQMtGut9Py5xvMRfo0Sz5EJeS2lBFtdK7
lPpGs4S+dxCaYBibg+sEuT/r3upklgi322FgPms3DQHImX208QJfL0X16LTuF2HY382A2AtLI/t8
DYwdPB3tAlLftz7neDltP4v+358GsJdw/q1o8z7r34UaCfxxIvC3r/p9JOD8ZrF2wRiDcpOtsUoy
/X0k4P4G7tqxQUHw8UL3/YdrxvkNSIiuVhWM9ZmrWfyjv48EKD1c9W8LGBlwB/yl3ct/Nc0wEWDz
ov4T2A4/zD9PBGgvWJrknh6hMH81ssm7tmE57IjjBn0Oce0Yr/ZtaXskcgZuupOSWdKSxDc2GLlN
3xlWWOHoMIKEAGDdK3e9XnihX4zeHjWSf+xTVq99KyBNKkj1tNTPo5o6tGOFrH0FFlh3zHhJesqe
YY5XodsEIw8vDydilG8jC75W9dSqxzdGHse5STQidoVf/SQ6ppjOuVNPuqWe+ZGHH0cCd6BrHO05
fmoRjSOl4w0Bra2jgEp1QAKJDoWDN2lR75SDKiuS6j3T1BuXqndP8hJOoBKiRUfp6fGCWupNRS0t
8BJ4aEthYGqc34t6r/OfN1zGFzWvPKbxKxz1L6NjT1HBwUD4+mumDoskuWQdsVu8+Lya3uMCAQ/s
ojpf3NhlacOZU6nTJ1bnUM2BxNK62vQcUVObfszqzCrj/jD8nGJYQ3HbKrlj8qKNXeRm8nJYJ5UG
c6yqTOwnZ3hzOCFtTkqdE7NXR6ephGzxYHWgRIx6N2ned6aO2qAFCpur05dTuFHHcZd7H0Iu92M2
yo3aXVG0yG8Y1Fim1XE+w0iN0JeWwJ857MvG4tgv8e0UrW+g0/AgNw7Zo6euCU1dGGaT31fqCgG0
+StWl0rL7dJzy8CBQe1vFJcec300b0+duo8SjZtJ44rCtkHL3l1WsgM3W5z6rt9jxUJf2NhduHD8
2uq+Yxp9cLkAmZ+iT0yTd871jsEpXVyv7ks0NhlhVtyhmrpNVx8Q5xo36c5WVy1Xbo86fjOJAokD
hdWWgUezr5i0giHmtta4toHFg7jSaTpTrXnBMqGdCnXLV1z3mbr3M7+5pke5nrv8ejR9TPSqRugC
NI7FKtgb1OK2VJVEnGHZJwpDuzSSZida687wO3bxzondy3nJZhoA6hNMGTigLStaO/xFqnYxV0T2
UtUzmapsdGCT4M4A46mqZ1b1j67ZHQN2aiLfl9OGeS/ANwomVIkYIVQNZapqCnOGHhVesXWr7sB9
tgnmTu4hJ3+WqgazVDWmjdRlepO+MEqulUSIf7uq3syuvxImzRlnHUP3Ei890zseF9YmKjHepwRc
LUozkp37jYshnbEKUGgERDdeUQdhYyOD7JyiAjhdI2JRxSZv5hfJmGx7xqJk5FYzIaAu5fM596pQ
TYL0a6VyJbb10lClbK8BMzXtVafz8Z8HVfAKct5jVQJ3mf1WIyaA5Fu9kxvabAgg/Up7anqNIQ5G
CkrpoONXpLqeAtwgLfU2qgWQNaoEjy0mQ4mngxJQBbqlSnU0kArk3AUhX/RqEZxJbGjxSzQ9NA1u
35yaf7WDOgzoAtBcPQHw5CehP8jWFimZsxP0DUNlftSqkdAsjeWf0c9UyovrHXlRmAswAN1rOj+v
36bDRTVNhHWlxnHuMszO1TDtoDmA9vQKHqZsfK0oLo5aOsCvmc0Xbxm0HTas4QSygw3WLN+XCpFV
45fmxWLPZyi4xX5chiSkG1s286RP0TI1+YHlU/6AYadF/BYsrxJjd9zDjVl9nVGb7LZmYBk71nXV
PmPWEOZVg6QYJM+5J+x0x8dVhLoL+QfFzRY+rsL2eo8ITr7pN3H52NCS++mhsFUo0mx9QAWl7rHL
95QplTZZZ6810JZV8a9l8N6cufz2qNmmMruyU1/bOES0YESrfurXcT9MkJJWvakvWxx8+6JrbZjO
nbhru4FyMNOni1ys2W23Zu6Nkzs+8ppO8EwvI/b4Tnvi8xuvAU0kUZv4CMrWIqAtRYypTyM87oLt
Z+J9BB5Ww9y0pqOhxOFz5faMo3lt9IDMziAvurC31xr4g/ZktXpwXQlBXaeXTz6C2aPBCHYjWRIi
Jo/Pi4/Inmz0eQvpIoN8slQhnlN5WeDQYlqCEHjoeZvTkTzdIqbglKwhw7yUzTZum4NdCobJiJSr
IXDBrfjiGJhI9nW7zSJ6qmU/GmYWkS/M7HfUn1vaZqLMGF8EWr81NXHRDs4tqTw3rSijVSgFmWEf
Y2niCKW8znT5EHtMGd1kueKMomUwGbe21cI5Ur/JzmrYIxqndl5eNDu5sGVzGFqipmXRXZCAtUXf
lWBvaq60AGpCMNZGhF+y3unSVQEuXrmP/eZ1cuZPjrC3PDM/cmncz2R7hfw0yNXhQ20KRTFC13o3
M6XZE3InorzsnqesLUNpMGh2i9cUrXycDAi3M2TknCK7ZO14BVm41SSc+aM4466/wK4PRdrk10Ws
VwQRJ9R+IbWAgSLrewcRMwaGTT3X1/3kP/pmeZGwh+ShR121nmNNRi0eCqfpGRrOexl09xP0L04t
vhfa71NBGWQjQOfmg5BrQ97ycbqlYo/Z5tb2g6tRTw5y8P+DvfNKktzKtuxUegJIg7oQbW394Q53
D1eh9c+1SAUNXGgxq7YewptYLwSZrMyoV6TR+q+svkhaMtLDBRzn7rP32luOpoemrndO4RyagZtC
KwmxV02FalhXhwm349rqi4cp48/N5NSU4Jywrt3ggHQDp6OTHTjuK9WUXPMLj5pS2BVxSN5nnZcd
astq8IbAMJpTWmhG0KUc4tuu+mJnRkq/ig77H3J7abtBP1AgDYX+jEF/2R/YX32J6mB52Pfjbgyv
bACra0dT7XVTFiW+dyv9Dd/wb70TZARn9fYXa8EPvVx//Mw/TgH0fghdGMuej20fnpYfpwCXxSAL
QwdTkvB/a+z6fTFofbKAN4Gn0Q2Dfd17W8gfyS1gIYIFHr4sGkGWcpK/cw6w7cVl9Q/70LIZhMPH
WYBfgb0gJ9NfzwEIPbCVQqOhGLLon+OKvMJYRZgJjXq61U0VX5uVVSAs2sUDtl371Z2aMTAEd6wy
j6BBt504hdFA2Y9PXYarRhEGPOn6O4cHeTkVZO8naWZPtRH1l0p02UXI/Z5tXemsS9VZbAszdwvb
tDjWRbl06E32vTZ03ROjVr0pfTd5qCrVnfiS6F8AnNcJO/cx32osVO9xRNC0ZZTWM2mWOBhioqcb
2+qGe8OzB6hszBxHJ++NlwLDSYE+snx5UXy2GzDIrJJBgeyGRx3uYcG7Nykp95ClwYxsb4Lg/+zK
vrsZVUhkdp41oHiZb/VbI7YFWxAD/s+q1Sf8ZM48mQhdpEAWZJueoqHaIcwQxZQsNGoLvKlAmmG/
lrzigZ5KvnOM2SH50PtUDVLM9EqbOn9pxb3tkoWY+U0rSv0OgIJ5lh6V15lq2vMoNP0648b4xZ4q
72XSh+jU1qNfrWmXqSssnfMY0pfIcD+kCunYaj0GYBff023le+HnvlW1e+GRM77WZUFUN4kd7xkY
mtefbG5kqEfYwNirNQZtfl1ZVFu+dHyXrFFPp5kNLrlbh0keNgwTjm1vY5u2UnoMqKlyaVt8hlOo
PzKjR19b4r8X0hfdvtNyUrNpnjeIrNX0ZQBgVezqoSaIgfhjXST4zhgI9amh0AkZem0MxIZWOgz7
m6mhC5dpR8iryZg7bTUUuLo2NZpW9Viwu7DXPjyft7Kf0rucJf1zNsXzBS2P/vMYtuqt9hP2t+EU
y63eF/6Z1H+6jeG8XpZhuuAgvGrrDzYzYpQ5l6zF6IkHeXSKtIKyWjsd2HhKZnTfKXn/5TsgEb4R
sETtHZwYVgtE0Vl4isVCViwXxiICa38e4DjuBlwZ1zlsyiNuDn1XLnxGO2nhhy3MRh1jEgEDAub9
QnQsOyvZNtKKt5B+SeZJV20InGGp4XMBPGueacx05aFaMJE4ReiEMpX27NXLmdXzODuye8NG16zz
UVmrcSFPRjkYvm6hURbCbs8mYUJUJlRda6FWQseOd/nMhALDgZoDvo1WmCg5sBk5Zp+FfwleziFY
5fnXQL9IHni4leuFmJk43K6x4QN3XHiasVPnW7LI45nMO+e6kR2onXYQ1XqvqghElTED91IFvDCf
rCnULnU9ZCPPGz9NWMyj/ETjRAKqP5UdbfAL9aBRU5ISHZlcjZ2l8AhJyTLTKADszNcpNJ2cjRqD
bjjW4ykaE4NNMsyqxXx07YV2+E0sRKvYwMGvFsoVaun4Yrkdf8PCwCJ8ovEyw8UKF0JWZ3JS7hdq
1pSNHUIF+cIhryMS6b22k++MLeZnfeMZ+ONTi1exqKYRjw9HZaqIybaPU0JJ4ZLWq9nLPKL1sRBY
EF/6AvsadC8/W1I1l2ZZahuC4vGX0AQP5gLJu+ezPwXsVJudW4IRkwMOAmGBFsOP72+GBTfmvZPH
0rjyrnRNDSIoKz0W+xYx6atIjNjcmllhfJ0EWDHgbv1rImUEhsKUZzfXafKpYaxvWk2Ap680Fgg2
fjLO0X2nAuGFHIIam52XQ84AT1VZZWtdVvaWfsH8UtAMcu4GPiFuaen7QvO9yylMq201ePpmHMPs
1E2RCgjuENUy0nBtOhNqsB2JlwHmZqDMmtJVnYt9Yp2jqX0ecvDPBhsRJ41zkA1G5Vi7hhUNqmfe
8r8ZYD0ZbKg4urYAEz7nkVV9rXG8XmKoFFkgSmEZq9aekY9szvinEXYpTszIbZ+531UvetQIUlZd
Gnr0F7mae6DXOCpXQvh1Qc+jqT3KhJ7EWMTGbWi8mGKIr6C1WPtOIC5EqTN/Jxycf61Mpd93VZg9
kFnp4KUNeDQHSd5KIEM/c9WZZGGj0jljRcM/Yo0TWEEtbKmybRc/iRPpD4PwoFGmxhhd0+fQv7lJ
LAnKumDdVtSHzUTuq3brW3X5xMPRjhEV+R1k2OzWNAdMn36F4O+W8q0czfw+J2S2qke9prVo1B7M
ZBr9vejY/a/iZnYvZjU4W6evy6uY2fkhyhRRFdw7zb2mmv7ArVrLeZ3Z5QYhGzfkeCv30OH71DxV
szl+FSKft2E/9fduq6Z458vQyQOE/vy7rFFkrAnZbwV3pX2RVd7uPHarVAWLsF5NNvbIDmYqR8Y5
ie/YYaHzkAOnhyhr4rMizKARB9DnG519ES2TjtPvW0OjayRs6mTnaPRirhZL8lsdpiXfOwgDTWqx
E5GyPpemPm4mIhBIcyW7GirsowfStDpjiqxCjnwdVzD2THW0+xgKbDG10csw+/2un8uc3UEkk3Y9
gccrOGUm2n3FpgbDZF2dURsIlfb9cDPOs015oywgm8TzY4e/Yissbbj6+yr5vylD21qk6j+x1t2X
fI3/IqRbv/3IjxHa/sQEzfcpdXf8iW8xof4YoanO011GZ4rwSEC+t7X94a2jhZi5GgYH4rZDedwf
Qrr5idMPBZoe9ClaHcXfGqCBSP/TAM1wzyDPUI5Nz1moDT9b69j5R37FxYmCME8HFYeusSF/TRZX
NdFD39oDhZNk0x61ytZeTE6t5aqpQ50NdpqT3XWn5NKNivrCyHwNvTUdDdJGpX01x0N17HuGThab
1fCAo1gJ+kFTdRR8Zk92VGu7qk48OrlcWFJm75mHAffNXnenaEtELz/gHAmvEj0XxcoqYu16lG60
D7kwrjKnuoIrAyVTP6W90l7jFptFlw01VrJuSna1n2JZGaqCIs4yys8uNN511bXO2qrEe/+ocwNI
tjyZuJt3jYFvvzGK9JFdc2fv8YEXl9NkiIMuBKEyBqaY/PjUTutBuOZDi/fKhV+lVwfLILM3OqV+
xdfeWPNkAVrAl9SZqhQX7poW1QhZgZly2Lro/BsjVjlSTGGqu4r/91HDKn6EhEKLbEbT6feaK/1q
TEV0Umah0cCy3Dyrwt4TzIolwqNjj4EFcjMMCjWmFI0pT+Vkd3EqIrtgBt/mI2HFuC/LOxx01Z1v
F/tsjrUrNvsazCPmWF5fULi6+c1JuvBKRXpor8M4IblIa559zJ2enLbDgdumZxWNxKtjGFAxwl/a
5ABqCz29GMbeeTIL71bibNrFdjq/hrHvPGoGTpJIsDhfZ4XqdvrQFke3qYhtF3O8tXXRBg0D56Fr
M/noKowENejkL8ak9f6qaIbykQ7z+DnOmnJnNZIZy67C6KEoNO/KnE3tYNoOFkZzKrRHthusKrvM
K7b49BjUhlRozxwhzHPsDJCECyoGM1dUt0loxAA9LKbthj32V75As3OCI3qDBpa9kpibadjyivuk
d4rPpl7jQNGy9l4lU/wFRgnbf0Al8VHGbFBjaroOLI+RPSqM4eFKAzHwKkTR8n2baBwsJfYFp/db
+osYiS8aZpanKdXHK7amnOLitBdnt9X6i9Gd3WIl2ZVCNtVSyeuHgRA5SD1QROV/5s4bPqCL5m8C
XFEN8x1cUoAhtr4pmzQ+4slImFTHiOJmad5lHY5MRjM3/iJ81QQE+eU5a2z/WwOpaRt6k/Vq5za/
XZmb1XXvdt2EGTVBd89ZomAdKh3/XvJ5wb7h9NZtrY3g21jq5eeYH6GRbLHRDlRcXblWrB84fTSE
R+cJFmhYCL1cF0U73nVTKQ7F5Bu71K05CITG5H3XVUnbYje7D1rG+njfmaE/0EyHxx0VmsUMTkHP
XTXRgHu3HZz+aaGuoHKlcpvZRvWYkTHl4EvY/EnTzGFdAn8HhkGXH9pYGb45gIVvYiEMOm37akNZ
MiLcaLWH1svc6740mgfaeKUZeAr+hZ143rrwvfRxdor8djQq6yHsKNYzFjh74lncwrsQZHupVQXz
dY8Iuym4Uo9zCe2AJDCodybH8lsPSA0AleMdxgUJz6c/vbSYoMnngM6FBIAZ1UYqBP4FvzLiSFNk
+Zvksc+ziPRuzYoB/BYRx/ihWfj0MOMg1SdRtK8ljWaUi6HGtVFPNgcCQbQcAI0QfbUeGutEztbf
9l6re4i3HBr95fjIjQVD83KkLJbDZc0n9lmlAugxVxTFaCkL1BgstBs/yXgYMuxSRn2JP9nYKFMC
ginbYZGG7QnKQDs/W7XUbv8zOPwWZ1w88WLpif/XrvxLKA1L/cb/uHsr2rfi67f65338H3/Bj0HC
/ETBrWBghPzr/zYS/BgkiENaRMW5j1skEXnkP+KQ/icTT7Olm2hjbO35wz8GCYdBwlqEM1blOp85
mLX/+399Gf9n+K38PZjYfPjvn7HElrXk236W4lzfIDeNUOy69GKQivx1kij0ng2Ho6bAn0AVsSqv
KkBufGWt0Wsmfweybboe+9q5zy2v54u3lmzX2/KVfWy+KWF7nIy6Ci9NhxUHqRHzyU1AVq86gNAn
ss9q7bXSphndNuvPXjfJEPXAZwjZhfRHPyAFsv3Trd4S20mfxYs+t/kJbUwdPeCS08qEOkLtF5Ue
9M8TlHo00wnyemJrBLV90PFP4NzpKGir/qF3DRpI5ymJrVWrOnzWbu8q0Dttz7+L2cNvW4NbKXFq
ZukDTFzJWix3jN1oD/5bwhGZpE5kbdJmcm5svEqP+ViyqIqQ5s04AoOTKfPZJh5Apyxa+6QZssL9
C1SvxiO6hc8n98TJ2IgZ/cjdPTIcSCKtATl94hyptzaIobwChwSLh1EkHeluQy5HVg9lvNZCwfba
LKyd0hPnmSRZRI8G/pmiVYHWUa2hu6X5SOhb0f6GmbRNMrkVlU7ALqnFNipMc28Og+PtcraMIT65
0gd6E/fROicUtlK63QZK0OAI7QD2c+vjQK/04bGBdp98zkajq28TYAyoXFbVb3GLeRvBFxH6TtTw
+0pCCWbTrPU4G/fSqLNdSyF4MHpk9LrSHA9z4VCPaIx4NUSixJPMeuLaUxiroyaxkidtqBtB5hn6
veel1YvF6fDSEZK5qycyFnhzjw2iokhzCzRIBLaWhnhYqamsadoKei9xLwejbPCzu1iPe+FScV71
F/rsO8+aUtpLGnFPYt/B0DiYrYQQmrugkVJmCR8iRgFCYDmDCezhFCAAYr02VOsFYZpZO+FUBveH
qnEpKs+Hx4r9m4aPypJXg+zHy0416rFqhWoW7Kq7H4yhfECVE/amNirvLtWBN4UeWmYHapHG9ipq
H53Q5aQKaHRrWAb2p5Hf97lsjOHCombQ4XZUkW2ZKb866tbSPDd7iz9udm4oThYPMoux+Y5hBW49
xrjXGXI4VJ4wIHIZ0UVVyupukKTyaviQw4qCRfngEg48OiF3snWredYzARsfvrhHt0rrI2tHnj1u
HUYp6LOF+TjWHLBd+oZxp1llenYgUm6tcOiobRD6U6y8/OjGIvqSjr71LU0b7QkYDDGwxm/2Ov2Q
d25Up69G54efZdpPty2o9YNG+/OIMdAsbeakRO4KUCHbvhyYuzyBYsD1q8mvUHvKdqfxJUVzMoUI
Af2o+kZmuX7Ipgic6LCkNJx0NFeEtxNe+dqddsAAR3wtUYoiZcm3airzeG0jy2x1o/F5WGtKH4fI
sb4ntl2wfaeO5dQWafJi57G6UYJy8VXVONaLZ5X5cX5HVSkqF1YKeDD1LJ3vvM6Ubwzrpu7tU1c7
2jOoRpUSfwGBt3KbFvWWD/IXyqFxBUfCmt6KbEQr8TDwRJtqNPD8DmnHIQSapvNakPu9BNtifsli
lRwNaQ/DymwMdWBUkNGa+TD7LI2m2QtSLl90fy6e9dmxT+OQGHcJTH4wvnQ8B8onpUoRAW77YDRb
NMoktgfUYFGGhGl7C2eDBTetTOL2gtRzDyHTInDYo1/iLKr60ls7fVk9aT4pYS23qi1zPdbLzpc3
c+GnO9Oik4er0NcuyiGVV9ZYYB7PYFsZqepe4jnPz0qr1clHUNxpUZRC6G+rr7rftvsZKBDFOvhW
HRVbN5TITXubvehiPgBAZgvtmwVtKVl5bZhdK68Kz6mVdIdwkMh9NqGKXJuba4KL444KgeqcxHlx
kaSW2scZpqOV1tjmIzUZw6Y2s2FfF5ZStFhn3aoeJvI5sCrxU/5n5vnHzMNI8aczD+7U//o/5cdB
5/2nfgw6DCZsB7H3vUMaDO8nxcT/pKPg6x72wx8z0O+KifmJLkPul4wfSw0YRMgfzkP9E7KGcBfF
xDYBTXq28XcGHZSXX8ccrmd4DOg2bFdJ/H/gPiRGOGfYiMygBSyUqREs3l569z+9KL9PVz9PUx8f
5Pe1JpqQydIVnMWHWSqMs7BNIJexU9qEyTO64g5l488f5EOrJ8tTA3HLQ0XyTHAEoBF+fZSJHLrW
CJ5KtQFyux121rE/tnS/0uF0Lu/Cv2wI+HVb69lAFR22vstzEphvlu30z2ITbcwQC9A0yWR8T1JS
g3V5jNsS00Jz8ruXP396tv5XD7cQLn6KjSZ2lsS+MdJGMEycbhkYsMAAWproOel982hburYvGQkC
9DlzY01zfkdqEnMMlojbeYCFoywWTzr1TI8dZ6jbRdm99kNX4C9pw8veD5PbVLjevkO0exqbTARV
xSSjWWCtS+qwEMSG9Ma36I6OFrdfxKZADYO/biYvugy7EsRNjGKhIGWG+nEEafc5aSL5jeyc2jYD
8aVVwzx922LJvbW1wnmmz6mfdlpbq2tgxB4xxyoH4AcQGS9ZW5hXxsjhEBdf2tKTLfP2uKhb+0yI
6LoQuW9sfafLt0BzGiL5ZXwAWuB9LjGvRuA9CrR0vY/v+nfp2zFKjYh2Q0LRXbTxfGjbXbPo5Ym7
FGqbnKUPfUjMaWU3gxYH3rvOPsD9ujeScN5a4HVeAKGVN0QTSmiSETzG1XKOLQLwvuj39Zz0B4Ic
zb0x9Cn6/iL1x05YXumL/F91LHyd950A6J3Z39MEpXFCNqgTYXK/oztNvg0KaNk6ZPV7cHLbuvTS
vHu1a2Ypk1qne2nASVoVym2N1ULY+JItC4zxfZfBnKo/4CKJOrBULDtYXfvY3JcNSDaa6bkcXdEF
sTukdwsW8ACIQ9ulYtmg9MsypSKfeB8tCxb6UObvCXHT3VRZ84H1QHRpeG13l/MUCQf03bMfNew2
wnlZ4GiylO6hfl/sGO9LHtwW1YuJQnJnY7MGyrXsg7r31ZDzviaKCh+MLNG//qar8/qrvWyUumW3
JKpEZ80UwZRbzUXdgIFOhbjHP62YdSzc/aCN8S5IrZuNVZONNelWx71SZZWfomoY75B4spsksszb
Sln1GqubiC77FjV0bQEXhXwEgXLAM1gxcynao290bEYTW59WIKwOXXq0m6I8LxiU69SNvzHg9N+6
PmQ7p2owniGHQwKXrgm329ZK8lMQscINCCYejlBv8UCXVBtUDV1OEbjygNR2+mhaXn3KWG9chKL1
bprGc4o1IY1+leG4PJCghNdeTOI7rU7R4xx2dUDmssUoZRTmESfzeMGLUFwCDMAWOpqEOT1E2H2p
RWPA2s2+jlQ4rXMl3FNOxVLQjbwixiC6G49r783KoQ4W42A9IeIDLuhmXd5OqkjOOjlhDpJ2Comi
sPVvduh3h1Jz1SkbsnWewA4G+aKO0soIK+GrY9enJ2y2lGFQPeWEWHYdd/oiwY1dhU5kXsf9JAgk
Av4XY1wT5DI1bTe2ybyNpqreuxnXXhV6+aMLpHQX6oPaRoMbfm1UkR80WxrfhgU7ykc8qg+Z6vyr
zDAm5G+rOkdCqO1A/EbhFjahU5CYW2fR/CAHPJXCU8OdxotJCAobZKKbMI5DOV3RBJcHyI1043Rh
tJ8iwqZsCyHWQufw7UPk8/7ivbIbxTvZJDugsOWuYQ6/Gwd0/FWEKLcaemBhIg3z08Q+Cr5mo6gG
nEbaOmE7BpYb+e3K1yIS4DG2up1lsBIG5jfvMnCNF2xgfPYDVlm9iWbC8lm7iHjamFyQT2gPJWrf
BR67/kLBqtm3TYHWkLQAMXSHWNyY8JEYeoa7YQHHCMXtxglDhEZW56Rn+Aay/RSnSfVsG1wtoAOb
vSaccmcq0Pss1epXGaqQFsJqiijhBB3v6EqvsBx5aq3RM/XUMeKvyfExercYkS5xP2gBgmN8n8Zi
2TMs3+VeE5OCs9SuGiGt9WY7PnXuNMFBwdmOGz+9arFiP/gWkH4+mN66TP153QOt31mdJtd+JeM7
QYHw9wjOz2dA8xavfOjdtOmEqM8y4iTC0ljSed6pVj4u5mZhzmvQGncFPi+YolQtWRCX94Ym82As
6vTMCsTbyWShME+hwBCocqyc5I3YYAPgTrlMq+Ga1gEir9wLWQmTP350YQlczdhXr3EEFHfCrMhe
cCgJonTWoBHbPWufLvRa4sO+nMdTFcX6dVWU6ReGeIamKZnkpawcHAe1U+D1QFnVroYxzq9S2Chr
bpHRtmltFkMhJLrPfKOS++qRBIjO2ViljL4Y081gyvRi1ITnItZEznYizxKvnbETF25aOt/BFuFE
VDIFnFU2yn3FGRu/qTSbMO62Gg2ElIeE24KWxY3APkn9tnCTQM092r9pHHny+pOn1/NF1kXhkk1O
y6to5t0opZFd//nA8k/ALe89NwPuzAbwbYoP05FriwJtimjFLFroEY+qJiRtb+zirzrNP85F9vsD
2WTWWC8aznv3+k9zkcxju2pnHsg9hjc0fdy69l8Wfv86wTJq07XAAtNysENgBLQ/7BV1TcRkW3Ij
qFNJBA6j+xV2bY7riYyCP3/dGO1/msh/eyh0T7AlBt+OnJh/HfOKRgfPTd4xKCdO60yXJGTO/38P
8eGtQawhF6x4iKqZq3yN/9EgH/RXteEfXzOLNBWOSpc1MSEpcPAfnkgiekVgVA8091b132lrCDxQ
Yn/+VD6++R8f5MOr1RRwnyAxmkFSSYaRmWRQIOu6v1GMSaskwjQyVb895t/yz/57+gNQ6TlP8kb+
a5n//BZ+fcu+Fb+YBP74uR+HXuuTwLCLug9Sx4Aj99Oh1/4EsXBx83LwXeoJeMd+P/QaxieLixk6
Iik43Tf4od+Ntt4niIT8PVyG9m9/8kHL/zNt//0K+kXaXyqw3uk/HH6XlcGvH8xuptmyA0a28RO1
bnEAlNa+MAkepVpQzCymBZ4qdXBwbLZR9aCSBSCr7vM2OkJE31i9vu2Tbu/EFjDzS3xPq2km6G/Q
XqSzorN+s2v/spv4+fTMS/bhK8HyDD7nHJ4t7MkmVolff2FQBg1OJMMLNCd23gxs9o+9HNKF4Lps
2e1KnEOMeccxMvxNZVK/4lmSbEMRtXJfOt58I9gQb6gS6VH58L+OFpkPO8l88OOCUx7mvmiDr5VK
HL12XrFrmpwJEzOKA4eCq5eEhmxzRYlq+d2GRf8K4294BsVGojCOhuTKHKP0KRMLe2EQKNcXkeqe
YR+FE/i6zqU6jv3f0TTMYq9kDOhNTVAK8mHUwL05smTdH0UJJl6wSfkJhz7+XcfrcXORgJxeCnaE
w4bFLxmpOdT6Gyp8mn2hO9F3p6aTdtXRr7QPW9GpFc/M21KPm/cbhceRHEXKGNN4+tbuhnYr0rEJ
RJ83PpWgqj/ampeuZbUkg7BnnDXdWXMihX5rkw4abovBuqIiq77KCJDsjc6Ydkaby72AhRytBiOZ
7+rI8aOVcjT9uSpG8phjXiiYECOgXk6d9PpiyhuXNoME0gEqzAkeK6ThslLH0pqZmDoZXtaAny6w
2sXXVCwn19w3wQVjPr+oa9thbVklkqigHO9y3aZzVo+9Byhu5olmEbk2qDP/upwtWO/W5jRsaNtA
sK1+w6PFIRnNQmje41DN9UUUzc7tmCxMNa6Sa2fhrKXFZF7WdQXjOYSdgfCbc7Czi5kAuPYZTtB8
IeBwHONO4NKE512Su9LaWy9L6nHdmhz760qLXgdOYHoAIJ5BJw55jzI972kVoXXhbbSzHCZRFs7w
erwWR4culdJXU9dlNa3JoPyJffm7TsnsPq6IVGiRNW2bKcVDznrnNjNNcc7m1rsAIheDCfTiVe+2
AuIOGCsFBeqpDiefjk4xBA5T9R3kmfqaFb+PHiAhKhNbBesEbZjChoWABy1lBDH9SJZEnswpLt9F
DZhLQ6ffdHpXUzlV648tzt23kF6mQ4ZNe1oRyAGxNCQtlvHObaS5mhWh3dUiwhJj5QTU7CqYFj1i
clvDSohtt7/yZ9VzJDAbDk5rVKWuuOiH2UtWmP69HrRECzEItAY7JUkGF8uiqPovoy1wjSSEAGra
TnL/xQ+L+cZNpPdATBgoyJRIDA9zLWdYW6kocfG1YfzmD1Z5niJNele0qtChBzM0i+FeVcOVI0L9
TifwZwa9SrSKousy+UaqBgenG9G1R/SXhGeAc1k9Fp5V3AB752MwlpxAHLwVJ2M2ja+uarRxbSWC
rU4jxobZt8pdhcpPyonKXnYueSGLNX3c80NuJaTrU6qf95k7OVe1wu9jaAAHkUGmQ5Mk2UszSfs2
m+ZuNzqa/2jGfBhXfu0PgZ5qxpkyAvhcaU2yKhxw3ttT0+HWLOtwN5lmwwkgB2YPW3lmU2d11FNO
KflMMx4TrsRSJ/hfcnbLAzOsi3ZTwaPi6eAB3WSaP5Hcd9xbNBJWnxECzQVQ6WTfWIZ1Hw/Kfskl
tBrftCo8rZaxiYo+vVaNmT2bER033MeyIC5EszFYPx5y12lfHLex7usph9EBQJ/dHaXQJ+J7xTVb
QeBLRc+hIK6ET+EVpAhypW33EiVsTVYQN4ZX9t1hzpZ4ln+BwjV+3W0jXBIcZyA3mcEtUxfvf/7T
xFyYHV2qCu9HG1D7HOCtOsituzMDtRP7n4aD/0b6fefE/uNm+8+P9UH75TMUxzaW2s2w1tfmughI
oqWbrb0BBMYlTo77c7f1WMEFfDxg+ESrvzof0GD5YaK2LZMzCCcDcj+mq38Yd6l06BtXEKEgK5Jt
bfp5KI9FuVyL16pn9bsmorX586e9FD39OsUvj+likjQ8XYcs+GEuLWfeUtb06UaseqpjI3LHK3oB
Vu4uOrKxd//uy2x/eLwPz3HOWLNDGaJIIlsFfRjIG3M93zfrKNBo2tisoiCFTBfYW2w34Sr6z0T8
O8ebDBk4bN7dfz0Rr//r/9Zfy88fBuLff+zHQGx/AmOBl8XHv/JhIHY+ER7jcQwd/ywsb6a73wdi
/xMRMSzVi2d2QUcTL/sxEbufLJyZcKBxu2DTW37qb4zEy2rkHxcp9EzXRCjhHzDGXZOUya8D5uCO
dKrkfHo8FkB7am4Os7uKvpPL+OmF+W+/DZZR9Z8eCenX0rECOwDNf30kEOgmuXIlAwGd8Db0c7zl
MiRlTIXfPN4XhVOCSqDNAYxZdtaxzJwj7pIGBCwHN72pzw96q4b7Ypy7Mwhk48zQF91hGCDFRfm7
ftcmjranroqISp55+S39Dxo13ABoUxkR+RfSId8a0ceSZMAXba3tz5FRu1+gBmjPVhHFX7pG2TtJ
FVpEMk4DAJH4hgX+i6TVLtVT87OVlCZEpAmt1daU/TTFYfVNn13Qt9HELSLWKUkhg9E0DLMVmYxu
9uttJmrrm+2F3bRVbsiW3MqkRvtArQ/MSLVZxvtmonEadh6BEagTnrrxMRFpayJuMlwRFcdEgWAE
rNZtLhJbRg/RZFqvfuRPp1T2JicR0FGcRdow2VKrDmmhL/R1Jy1rZ3bT8BVLAmz3sGw26IWUDuBL
PHjKb6413BAU8UwUKWJdRJHeRO40Rhc6x4l1rRwKgxJoDKRz87JCdvMGcJXcIiEucN/qzybmRrnK
RC9ufKGidZdqzjXrOMoJGpW+UOpiHYgXyS3mxeI+htKJFUVnNIE6EYaSpl18uFRV1s1R9/XhRoUC
VXzpO7nAvJMeMAr4HpSTljC03/T5U9EO3avbdONtglGWZD4LQvqRnKEKio4sdKYrCGUUNI2XRKrd
+24crfvQqo2tqzlVta7Rts9sYhjKE9fP7+ZZ+UflWPa1NgzpVeQ6YCGxgyNL5mk/M6tV1cnSoVVA
kWySq65rjXuAoxXJdCIWRO8TOmyHBE2S0ps5X/GZto6SWgcCeJofdNSc7aGphqcmtPmcxFKGW51/
DxKvJ/SQlF1bMQYb8RYBaLiMRL7XEslab27oO7e06WYcPfMVaPl4Qf17a251wQEmla71ahZFthVo
2GsgjybTTuyndzZyNE+ujKGsgNXEKj1xtGQozfzkzA4C5IC0cwe3gYX/q/Rp1TvEbpZUx7ChVHit
J6E0t7OnHIXs6ROnp0PG8A5FlHcM/QR2po1b9Nm8rSjZe5pbIFCUH9kx45cG0ijPmvApshPzpFEV
+4UCsFAHjAqsYG2NPq4U2K/ZZpa+3+LgEfi8TWnml1I58f0IeNHcGkqZ1+NUNY+mpC80sOpI1YBs
NLxHCq/Fk94kIMIa7CiKz7dWP5rTWD4Mc91/bhCl3rT/R96Z7UZurNn6iWiQDI6XnXMqJWVqHm4I
SeXiPEZwirfpy/Mc+8XOR9lue290N+Bz16cBY8PYZVWVUmTEP6z1rYBUEXYgRJ9aImFX09JEXPuY
O4tVkFYYrUNl9tUVS7permd/Ikc3NT2gM9/n3t+aGP1PozAv1xHyy/92GPRvkDvq6kP+VQDx59f9
fvd5IUEVNDQUnISC20jL//SMOPzSMiNksrFMGW3+tN/vPpO4DMv/VkAgEcXpsYCZfh8HGc4vtrA8
xJnYsj2bvf/fyr5gJPlPt5InXP4Az0FlZmIo5Z9/Wa1LcBBZGaX5xuyIzUlL7J/+FevDtCjvKqPx
C704JpuuBKfi+uV6INiKprwStziY6vfEDdMfuW1AKZlE/Rpb1pByVjW6XFtg2+7LMPcWf0LQPNeB
At43N3W+K7WvdpEhu4tm23GKBmtCtJwWwZa9KmTcmlTZFQK25q7sefvzbNbXpmamAVIx8m8GKutT
YCbsfbDiTjvMWAr0mPLLB9CeAG4CXydbdk3Orc2UJ93DjGPw7xsmsbduvu/cqe+RUFnmbd10zm0g
SuejiaOAQCHDzh6YKXiPdoYmrO49ZqhdLfAqtwImJsK8dOu5s/0pqwhGcTxM+T3w5GA/OMpmFe5p
H71bFe9xu2YmYKk63EfhkGx7jKst11nkftEPMiWI2kpgWNXedRf67V2QTbJjbUY0YyY99rQB4MA1
UsjiwyiETDeFW/dPeC/IzY2L/uS0ur1Yve9OG/bx3hLqMKunzO6GC8bv+ScZB/BcfbMyrhw0wCdY
dosr1CjTE4wkxhGlFW0ntfwhApkrIZZL1uS6AbPCmr4PX+Dej89WF1cfVS/g4fAgudt+nJ15m2OX
m8lId4u9Odnsltyo9vdGThoBTrgevrUpf/JdQTOqxs56dBJnnPmsjPTNy/voS5dDvVdKW1fVoLu9
rOvgvs6qvl+Z1BeLO76bi8X+15urjrXETxiXwZrfudqyeO7vsq72doEVpK8FthmirUbdkLVuJjvt
2eHn0MTpzUw2pg2pqwzuhJicx8iI7QPX5Xyk8lqI2XnZvEMqwv3CcQ/VRo/pa5+L6SrQFW0zrOfe
R0cx4GRGKDvfRvTbd15L+Ahb246tstftC/DLLLijvqlWIAAMg26uFXiWMCEcShj+W3rA7sH0uuQ5
Ym11DfBl3HSl19KfNER7htrLdo3RmtN1Bo38JxyN7A0H2pJFzUWw8vkpHd2884sVLCBsGLaLhlgR
KnFBQh1dsw7O9ojrghsXncnRmFTy0ZLkxVo2ruNzWjEdzM1KXiKvKZlLlv294tO9Adeb/JAzeWZ2
ENfvXTM3TwQAEALRRzyaRvGpCJnbeWEfbIA3Iy0c4pEyztYbqqlF0BdW13HmKXsFTsm4TaeasDcG
kNYmSbW7byZ7fmU0kz3UZZACDZ6nQ8lncyZPYn7MtTc/wgnH7mp6tOyrwMKAs29wplrgDxOrpEiG
S71Yubvz2BGVszIrh4EXRJsQFAwVXwlUdUDI4GOJvmvDJRdUlLXp4/WsO++DlA4HNJA5FyDLyuht
ht4Ed5lxbbZy0IfO+9BswRXjl3dDUGxxmZEmPUZbMrkSvElIRdGvZSVommo+q24mIs3FA3yYjWK6
INIfrqi53TPnXRE+CSxJapWPyjbXiWPjKDKx6FyNacwuM3AMDbRWA/OSnopPdgRGHlyOc01IMX+F
MUxHwG4U/Heyb51gZTRiNNiTN8NHEJK6tmo8NaD2NrL4nZp8sFa1HhjyfuOwGrR0kKikVG+OLjD1
lngNCXqJYpO4+rLqfh0S1miZpDJfgJ9o8jnPYBExYi2evFFnaEz6fnxUTRU8pGOQym0We+LOJx7F
grPL3r9oLPGkmNge6yjXP+rAK36VeQMC2YaLfR44meFkM5W1OMAG/RxNqKFdsyHH+Fj7QXFftKl4
mxlWOtCiu/7TIisjX2v4F4zHXOu90OSPJGJqqnXeFMMTlirvMDlTd2hLw99UhYWggwnJh8x7uUGq
IY5m7cvLUPXFDd2diTI1JW2PCAwXu7mfGiD+Qi1B6SPKe54bx9zzhBRvGIcR1cdOR+I5ahYm4BpD
3AsSB44ROP5ttVF10MRbaqgIdrIXjs8Q4+W27k20GSLnTIkIdokp4Rz92rmZ8ZkabM6d0Mp+9a0A
bhDsjpuQufqbWVkkqBq1RwhsUVf2qsAZ/dO1RqIyS0PER1M0/mtqu9HBCYjSmeLR3kxg4ca1O+F+
hzdItuvoVy2E96ImSscA6FtXXHorBOblkw+FCl2Azvqb0dP2S49MCSCUKM7kUM37oSojhAdRi7on
sYIDkobwVKZeuUvLzH7GDKD3iUnYwaqNtXFdGCgIGm9MvsKMxzaBqwUv1lT9ishTesYOhfJgN4Tn
4vv8oEJ1aF7iMn4ZooI9hp2n5kG7oyo3hBLG5qqlMWD216beYwzw2Fspv0MwV4zlvKl7l3dU50QL
p2m77wtlHu1sKq/afOhOnsvsdcUYmnQBKY0TnZwBzdByTvCfJQ/3HBSXNDYqdyPnDuBiP9M9rs2g
GV6giVQrFjzdoUMffEB0EJxjBhPL/xlZrFtEZu2CBCtAMlfDcewG+H95bmfYW+aZJ4YzbTjUgqC5
DQ90hY+St/JJWl11Kfhzd1W8jNDnlt6IcEhl30m3BHpqkauH7625rYo4/hXjnH4FdNLu50Fa6PAZ
v7HQQRHlIjzMkIvcT13ni1UtRH3oERmhnAgn9ExB0L6bQvmfdl+jcOHxh7sblIjMO4NWZB9QVzy6
ySDukHLkCIeG6JIPosXBG/U3ZhE3QP7c8GR3oUxXSWhPLzSyy5tqVfcIz6srEqdSUB0qPDpo157x
53L6aDd3yQjtrS8z6Y0bkG+D3E9i8j99HPkfQCz1FVAXPiuSBfWNNCfzYjiTcyS2lld5mkzvJwZc
+yaUkXnORqM7m8SHH4OIh3aVggGw1xwW5rYdZcDLyUd7dKA4v1cEDqF5h8D+6mUo4lZFUbFqIa/V
vHIowQn3KXmBUmqwrykbu6Pri2mbcVZcyJQM9+AV/Y2BlJMCg97rRhR6PISpBP4+lpgNYEEymY8z
qHKk9YQxWjq7Z/QOpiMc2UYFcbA0R+ly2ZJeQ9s4j+oamwDMNTcNryIBkrnvBDE4SZt9xrNObuVM
ClXXsYfEBjyxL2RoTdCXqi8zKz6EdlKUAqN/WJrEPwegkmuXgKs0rPRezeW8NSKTRpIVTryv+Atf
pdNsvZdV2dhQ01qCkaTvQw1Kat959ClXkD9qwJJoIPuPwMrzeZUhNFvAX9iMrLJn6aLHZhUlQ7rH
GYkOLU4SclEinwSNKXGKrSWdcBcWYNJXkh0aCa5+8mDnjtz5JIKSJWzyPBBMXLDFSH3OYeTcgpAM
F7RKF6rmEAQyDrZj35Q71I+EGIWqvEXf2AlIx6a7Z2fgE5Jd4pEIy1C6m0mJ8eANJsmShrb9iyZ7
+UCuGolPtR1pTBu+2RxZh5mYwKrsPJdheV8kQ3djmoM6u+TFckwCTr/NuU9+Yjq1SQYIR31W/mBP
3NZEmhBf3T7h3XFPQWwkIaLTSAB/8mB+tJ3v/RqRIso7X1bxV2eXxLz3YGOGdTyUyaGuPS4dv7fv
pzicHvGZd6+53YS7tBfGZwgbmx0Zb9EWmtLw7KVu9EhKSe2tpqJ0Xkzlx6fImeO32afFqViI3o42
1gWGNH32adZqPmcZtva1pNXb95av3yt7oHlykVqRPFLbVsr2yhSXrBFDnewlat+xX3syofA9tv00
P4V2a83Qy0X5hWyZAKvGAbLJVtW9jth2nhvmh3imTc/46kgGdTY6bTsqo76o45W2l+SXwCli9MRx
x/gmAlb02rcIqDaW77TZ3sFN1OOyYwKyJUolHLb4QyxStNq2VTdAPusve+jb39b6f2sm8P+rimTR
xNND/9cz839TxT/+nbDMr3/xTvz+hX+ZmuP2FDggkKMCRmQO/4dJ1P3F9pg6md6y2FmkIf8xOUBG
wuQCawTqEpwH/rLe+n1wYJm/2PT3qJFcilPcnX8LN/Ebj+2fptko29ikYeIgvhNtxr8oSfwUmg0W
vGzrTChZV37rSTJeiZ/quUwHdZDdRFHbG7At7YiZqmRa/FDQ3u/GUZJUu6BZkEXjMWcu1p05RxpY
WR3DWjNruevz8R1yWLpLXbarVkj2B3R6jdrebFnjhD9YiD4bwiVWJKw/8iL6JKDZ39BcJIcQmTu6
FAmfEJR8cgLzRPx1adlX0RgDLZ4Y+RPlwJK6nSJxllGHAZIC+5ooDHE9DQ3YCAJ+11lXebcN9i1K
z9A8kiTUXGVslDt0sE1Ff2pEaj9mdrwVFB5ApKHQF0EnstXEiY24Yzu4w3aQRJ4hC/e2i7qNCLS+
uiunLj8VY8W33Djv6QStzSN1Nm5zqMZjYyzULW/N2F+DRhAKX5dTbkYWuXQJmXWV99Nj4TvJPd9J
e6niWZzSeKY5EuVEBjpi7m4wj1Ssr5XlwW5v0TunGXVT7Yhn1bnvMg2jgxTQtWwEvmUdWO+J3SAl
L037VLK437huS2g5kXlzlt2F7eSdtUU3EqujSk0ca3Lakhw9X2UphGNSEcpNa3n91iW2l2jugTyN
Cn1OqIZpD47qM1jStj1JBwKxGK7ljMikNNxqG6HsXrdi4Mgxu4s1pskeJgFRccKf1I3FRUAuRNMm
92hok2OSIfCJwUpQjpV0HEn6g0JAr61q2vvJfIBdDdYi0z/9uXhn9Nls8Sd8BNpKAG/KauOzDcU9
QsEoY5JXISy1V4Yq3vpSFXtQBy8B4X97dBbJJTNzXMnj8INC+o3ZOOwvOAyVdDPmv9gShwCqZ9EN
R8M33sBi3Urwryu3KgDm8yO+LPv/1WDP7xR9QIYHq3cY5tjetvUNjabGivYpxeXZJvfpQVtV+sM3
3HGnWhVuUb+whRetk/0/HLz/Q4ex/+2ZeulVX37M/3Si/j6M5ev+OFLFLyj8GKf+AeNhqvrHker/
wtISMiYoS59B6F+GsdYvHG8+81Y0ex7DyCUt9o9ZrPkLcC7BIDbw2Ej+dkr/jVUkDP1/Hcaa7AcD
bpDA9TjXF1jQX31OPYPfaaS62EyoJLahpAFGB68HMqZazibnPm+CiSLIitQXhzJ21dpJ82wX2ibp
Zq4fvbeFQQ+hPBK5srZ+yafWuzUmJG64TcNbW2fjISmSgmgg1wmuLaPAJFVUcjrJIum/irIckCoM
gXPHBI8tkCJZL9sEeHdIb5+s4BQA13yRPtTlFG7Wa1a3WbECP2PdEnzp3M695b7JEhC7DnS5gyo5
wT+x4t0oS7KFygykycofO0hoo51QL2qnSrZj6eS8LBwWuzQncRz7D11+lXVwV/BIXYdzqm5BkLYP
hfSaK8Ah5nPPFvEW3bK3NqoiuPLweu6gm6lznLaxvwpDevuN1w9MN8CqGdZOZfB8d0QBuFRguc4u
lR8XhBFVVr7uZQfuPSfDF9zLGHyRmARWb3Jmxm45hfEekMoylqT0ZvZdjDEjSzY4q6wzuPssXTq3
ptLFXdJ1HlQg5EtrRzNrp9c1DZCPY3+lB8PdRVnEdohOffZW8H/NC5G0aPJCZSMMcxLmyX5cjjvd
LikHph/nEBEdh1QufFs3kBKI8xj98TVn9PyDJWF51kEPlS734L1scuF1PzztWM/BDCS78UGXZkFN
ynlrx69yKnq98ZXjP0BABhdS9H3jrdw04khENMPgoA6rrFm1vuabFESlb+j5cA9MZpke0zh1HnF5
GTdOQYIoPgb71zmEA+hUhT6qsDrZYo4guSn1iQmh3gRlSPPNSEHsU5lw6uZR84MIswklmcHVoOaB
6bya22M/yeYQW/je0LQ5GblYUFrn3idqdyG3MtfsfhJfb7g0mW1xqImL2CjcH+uga3k7vCHAUWlm
uyEl+a1rh/ELw2f1NLR5DGENJaPyjOl+Rkd2nO2u/3V23P7VW9hpbAX6nVp4agt87dvTsicWaLzD
XAfAoKmTe1JpXVwQ82Su4zgV5+ob1jZ+g9tqTA/7rPeTN6cH8LRljGye+t9wb0a4uK/lFB/HNDCf
1AKFCxWALma3sbqHJiuZbxERBOR2+uETAP0Cr9z8Wdf13K28KpkGNh7SZdxYpySvWbW+U6Jl48HA
F3BfwHNF+TE9WYljbGb4Fh574MUT6JDbdqU6gUzfC+WpsiapGCCizVjlVuxcUk8xuPDQVu1k4ZEM
mElGBkzh8CKKxZYoF4OixI12X8Y9U9XBalJmanGf/mhwoZ3SanbYl7cOCH7Zzclt9u2DHMeRPqPR
ZEiOZA0OX0Zgy89Z2TygZeCPoIDUVWv5xg5FrfmSdzrApm2l9/5iwGyQnpIoxmxELfZMU2fVM1PK
8Dgv5s1C+tPZUqK5ap2aMTRVJcdFX6w7WCXP6ZDXM59Gbl1RsMrLyAN1Ew9OvMVzlz6aDjj+TBu2
BPA5sSgh3m04lMM8ruMiq3fKaRmUpEFUfgG0nwFST2bTbsK8IuNPltlzFqQ8dqUt1qGgbWTXQhBb
YPX2Z+Mk+ZVyLPuB6U+N2UcIhgqN85pEMZhsHUT1vbRdEJbNMLHwH3xQ6/z7WJy4j+BbdElJww7T
YJPyw9tmDCuOoNTSI3YrU1wPJsmoqyzS9sdkJuVBkzmIrCEWhzZ3gs/SDLPbLrObT5ON0VPsusU1
8dmCIjObd2NbB3cLIePcIK28r+zI2XCGZO81LEkAv3aeiDULIGdvNY48Z9pJDpkyUgrHAZ2HZ01Q
CsuZaVId7EQQddfNjL8wTkIZc7y1/m0MsPkAzHu+wPt1EcYOprxnIW3eV/jnrmwPvaRtVsOTipmL
qnqoH3s5y2A1dyyFAjn7JzIDEkIgs94gozkPms+htYNrXDuCCKwa0oXivmNTw3Qmm+3yHtJotuOF
Bl/gyeBiqtokSaCPK4IVtSBZyzd9zn0fMAEbHpNTTY2E26HX14+lHUD2LIah+vJT2wNgmahKrnqn
H04BcXlvfhIvk5DGaqZ1J0Q4XkVzq+m/E/ZhsD8j/zGrdPeCmrV882GXOGuElOxjTFoDugJHGWiH
raC4s2VH1oDRxlmwj1VH7oiyXf0U6hEd6Sxi9dW4QtyzI/RuWm9gTOoXSfLscZA/WYrp3YhHEZwW
zx8zFX7E+7qdxSXWib7B8Riu1SiHu8m1MgSXQxKskPpmEspB42ysuPHvleGIq/81m3ya0/+6IX/+
6Jt//J//bJHPl/25yOfU8wRKNdYRdONUZn/UjuCcCBb1ackXmsD3jv8/UAbUc8s/gtU/UEb7TxGb
Yf1i28vXoHCjgMT38bf6carNfy0dbZxGFr/d928buMuv/0XY6sWzcoZe+mvGecMbDwYC4gDFFKbW
ZUXOhoS7Q8Fq+dn3PTFvTA/0dTBV1qlN1fA6fq/cC9PKb+22C7bGsKzkDc9e3LwxkYltODTbnIgX
cn1HeW/V7vA88krTqvvNJkXAh1InJ+Yt4T+R4M43LP176pnhbDXEGhMOJHysUMzgNjF5VDvgavY1
+gjraGkn43/m9DRVNOVgtdHDNo63RmWOp6BrJjTH2YJrw7RC4ij7G0VZ10E53ON8AlfUK3GA6Rvh
5NZkYDY8+8TQApIbxnIN45v3g4ihcZNaAzrj3DNPOpZijeMlW09GusPTsJOLVq4wT3hc1GH0LNRS
BZTvjGCyu1SDtm1sIlyhDLZbMFD5uiprZ4eVlZrNVoiYOH23CZykTS09c+2Ubbym+hUry4PZXthj
egk8ri3p9TSunVft2bSznKktf9PM8ZIVQ1tadjbxPt4obuOYsCZSmeRGlnm/VS6iM0uNzg3+neRg
dH19GMklucS+YfwsUs8EMSfFm8lFzjTcjn96uPa2YIsqjqvR3hooVK6L2W7ZkqZdv45Kge8FiueJ
H2+4q8ggXZezwB9hFfZBW2bjrljXOb+6iLC20BERJ2RBnGIRYNq7jigd+Mjq9Ck2zfg1ZL28sbo6
vqkSaAG4asx2ejaLwIleZ6KH23OUWZP9wbZGHQfIQzehEuEm7Gz1yO6e7KRR9cfOMiR5sP20ye3h
+xfi5ykXrAfgvftrPmFWVeiZG2vDiLf8lQjq0OBRmXwCh33W31bR2kfZAXlYKsnXkGsIhcjg7yq/
Z3FQ5v4jrOiKFK/GJhUIj8BbpYb85LYRf/MIA04OG+maaOPyVy8s9UMxhdYFgA27iXbi0hmsTO6g
zljXET7tC9EtepvDGX6SOPHgn2HH3NUq/lmbBoYdwxvTnSj9ZgeTmManN/xyE1qluW/dSB2Z5fS3
4Ip8uEsRhPkM/OKZrenwg8RJ9g3sD9y9I9qs2kHechuw0al3t+xqn0Qqmx1ICO+mqjJ1D7id193C
dXg1JNq/s0mHvrfIV90kZhpuPcSN7NJJK2K4kib3vKK8rYyrIIXWZs7ik1K23YlF1GmFPd4Adt6C
amkct4Avx01Ms/Ng4qAjfcAjyyYnYQuFImv6PA8xfgzZmF9LaruPUSXRZz93REemPuiFJAkJNmDu
xp0Vm7bxPmlf7qZCufeiz9l7orV5SpzKR1+E9+PW4lq/znzwm6uoiOtojV8Ao1RaR8/tELm7POYn
iWghyibfgWLmTCc+6fk9IUjTW/twNBIYWBJLCk6PdKeJkiFUBno1Np2uqr6EmsTPcUSdTn8WEIud
lepWIjI9oOo0WMH2UbcO0NNcxa07wr5y8JPzzNm8tR5xlUvaicPoEhFFwbokNBaxC2iFdiyrdeNW
ZK21KFUa0PSyMzv06EsqQS2jh6DJ7FM9aCBmSqf7tjLbXWAE7r7WzXOSZsabFnazgiEar9Op/zlA
G9u3doP1onGXPtXclVburFFvN2u4ptHaNkYWCLXssO7BfKuoLbYeIpudu/i/6b9sPorEWLeMGjbC
rqO9TxTSrfAbfeDhZoVDBUhTMOpdXlFDdORorHXiNscqx/OWIurdzfyROKFYYNCHyL3Hco8MhHY+
eGZa7SNWvu9NngzspxLjvitytriBSj+KPigPSMtIES9CdweVgXaHOd5bKbzkYKmJSFzJWowTBD69
JTQwPFd8uUEY0ykC0ZxjQvOCjO32QpDfGYU9bMsqjdjwq+mAYtWnERLpMSt42Rr+8nUyNABARXFs
RRbs0sCr9wXZyVtckPrUKS9be7AIb2CHNFvaln5jDtrdmGIWH24PKj+kRduRqsS2SgLqJhle46MJ
lpgeDEXJnjUcK0ACPZ/HrAy/OsvONhihoFwNrYMZCtC+Q/27VGL1lusFQ2WS9Ndjq/wDO0Jvn5ck
js+AhxO3CnHo4F0qVP/c2LWxiUFGEB8YzVzfvffMGAqfu9fU3YGx5jyt0J+YvKa9dkgn15FxY8Ju
2De51Xb7uJmdZdlGLJ4FEgCXGiqXp0Hqnj4xG5t0XciuvPKcqHseMsgnk6EcPmaELgx8vVLtpJQo
mOGSpy/JaOfHuCnf+mC0HX6rpLoNEQnepnWHEDCSv7Z5mey6iscCvkGEfkaTlidgtCG9KJExu+Jq
zmV120sdXg0lwtiIGMRD3nfdqrJjlvleE70xWIhx9bXMKTIHg2OH7I34kOFGOEqDGFbphoj4aqch
UO5QZKBMKaU6Z72XYJ7k54gcyfvsnThYu8NIpzQCo185jd9tcKXJu1a64tTOfrm3J+WSxCIK5vlk
3nc+geEsA4JXpQZ1x7gVQZAec034KsQDc0V2RrJvObodUPyld216jXwTopW7uHUQl9RsPVA6eZ4A
nOZmY/jEIq85DoZn3CAvzndOW+h7JzJRCQkk1l4RubfVKIt7TDHdCbiyv8TCxlidwGNho3N0z2dU
BhQRtqH1U8vjsfWDpjp34RxduwEbZyhFtnUhmbk4sRY07vMo/pr5QHaT33t30RiZz0RxaJRvRfSF
jlI/GaGXv1CB2eeax+F+0plzKvyCVKrOtg6YO8enbIq8C/luPFNZ33QIPObqaMqOtNvJJfmNq3Ir
4FIgpMhcwucYRAoc7Sn6haCFsg32Bm233V5qBNFPdek4134EioFBRDZfMUTsYVxPDIlWRVu015NT
GbsiTMWXCnsy/oYu2c55TnI6UUNXE8C8tRQBwxwTfxYU5tQ/o+asNxA9axSJJKojUnCvW9JCXnHF
GS/gULsL+H9E3kZa9ncueh540xWX1pwAEPAm4yErhHgIvIxqzKkD5hqFNT8W30K03JsO1SJOM2Sb
P4R1rl/TRbrmfovYvvVsbGGiW4OJib0KiSVFYUC2xKO7iOIm9C87LZpyrRbZXJUYzVNkzdV7t4jq
0DMlP1wnlTeYLPt7EVbJY8BE8hH6wXzUizSv+VbpRYtgz1mke9gCghtKHGpaY4qu+0Xix1BhIYYu
wj/nWwPoqGzYTp1LQgp5SskGsGH2NpCF+hOuMRpCyoAc7bhKjlU4d2gMF7mhsQgPA9dJnqEpdQ/F
IktsvxWKkJ/EPof3bqyc3zSM33rGcckkjeYA4VScJdtwET6SgTDf+vxrv03dqm62PSa/nza07kM7
0MHuACnlB/BJzfuCTyFiLUkfUMjah64onEex6DDTrk1JJ1rUmW22FEhDiTcVMS/aHUPOzQ8yp/VX
PQbtTd4NnGeII6c3KndC2lPeW2+Fygk5UrfoRbVGf9l/a0g5Qvce6/v3GkvnQ+qkfIMLhJlE60WI
OmMR28SU4NfhBG8n49TsV9NUuCcpfFRZ6lvTOsIa2XZgs6AiAZP56Bb562AZ+Q3OpejGywbq87wo
bO4aqyOQIwZfGQpzPLRLMFBJAMU+kw2YSkszRNf8hdamstRL9i3EzRdNbmqjzsV8yehYWIn1YBFN
ZGwMyzSuvRhNb9Tn6bNlGeULC3y33SgzLj/8RaLLRIMwGNZh0S6HidMRwtjPN7Qz+W2adi4o+Cyh
eGDy/0WQEEJjZn/oHmavPSIBzZHB5EPEmjYiFG8jF72y0aNcDqBUUDvbifg0FiHcNlcBq7xF71xh
fxi2xcSWith5w3v0Fmk0MCE0fLm0nI9qkU6Pi4i6/dZTh+bMvHoRWZcFrpGSCQS+5iFlhlmMw+v/
mmEEQ4D/ehix/iAJVP3j3/8TWwFf98cmC1qEzSAC4b73mzrgz2mE9wsybB/HHe8/2/6/ZDrbv5Bb
YbH4xz2AFdRkQvDnIssHck0Vx9rJFyzp2Uz9jUWW9+2a+1MdwFIGVwMWBuQBlokKwVwWXX+ZRjBp
y32rNkGrgT/sX3L0eSFrYqyuBLu0Z12m0TkTY3PxGyR3RChaebmVIgVTXtGo3+hvPW7rgElbNUQo
odOtK1PvisHjP5knmZE3iyX9ra+84pBGpjvs1LfuV0cobXZ0gwWGNAYIN6E9fLrZohQusEixRi+G
iDfJ4FClPNYQi+J+oLUzstbrVlotXU3iO6VPb+6ANCQaOrlm0uk+SkOGgvYZazJjx/DCdMJ4IBCV
OfL3pbNcPzqdpuehEcmPOXYQqgvZPIa1Su6gbNivbl0E74QX+GejJ69sZTZWsFd5nq3beAquzNI2
LnMCdb5JZ/E1LxdmuVydhtVwi5IdRLAv4r1DF9vNSz2b2f3QRSZG3uUCJv06f648piVMEmAjByK9
uN93Nhbz5f5ernKzQpAhRjc6tZMyr52mQ4WqMkoAK07tF922yXlEBXjwgrhkFs/sovTrfq+HrL4H
manOEmH8K4+ldZ2FM5lVqU0xvNQepd1Zz+ABvDs7sYY1QRd8hEuxEtttcQJdaV18Tj3k17o1jqkc
252u6vm5a0zxbnzXP73OB6DPA57BTQWVgrHKUi4lS+FULyWUjpR46kGWPY7lpHGXUG+NS+U1Tqo5
Mv0s7xWovPt0EpKteg6cLs+sa+HVA+kKxoBZT8Z70TncZVmLYo7oqvCdrmP6maXwT0piMNdjOgyf
DgixFwKFvG3thPG9CmT7FcA3M9dRVHZ3cWF6l64hApqtKAWwWYYvvj3pl8o2wj0RgPMZw5767Ea/
fUrL0UcNqC0U5Il7p5CTrWU19ida8PimwLefgTwQ0bEXyOxX8MB8frAa6gYyxhhzhSiPKMuTcOW4
UfFg+1FyGedG34zSRPtNJ6/yXa2lv4nbKWbuRIN5ZRsWW5FaBxPCA8ukIYW7hxYPTCYQtyDy5qPn
j+DvFFnp6ZQbF+SHzl4B6XqfmyDctfMsNgGJMYdaAf9gKZk9Sb8ov/KChR2qyuxsVsrdpwjPtsox
ylt79PUHm6rqKPrSOPhUiavWCDWRY+3wwjhBvVYxtrQqJGFJSrhbDAH1fdjK4qSn0cZcVBdrCGeo
JLntaV/czrytyIzbUsWjmB1wNzaccWezztN7DjQbM6c1ncMUoWdjlcZqEC68Re3yfU26uzH80brk
HJRHYWjxa4/q9cpNbFaLdZQcZDkaO6vQzPbAGz5kTQADvJjbbTVIXON+Pn0gxLXPXl0Px9hsqpci
ZqbZgzPIVlUxIredTFgndhTHx6xq2Rm36A0fBjZM23bU7VFV5fRaq57ojCjvrsygDZHMVPY2+L/s
ncdy49qapV+lo+c4AbPhBj0hCBpRpER5aYJIpVIANrzbMO9UT1Ev1h+y6ty693ZVR5xhm3kqJZLg
Nv9a61tOTGdGncErLuGk52jy9w4v41oOxvKJpZnDTM2RetPx5kABad3M29IPhwgaeREni1G0n4Vf
xcuel0jcr1EQMQCQV4fcMvrbbplMFte8eCNiwJNKcpUqE6Nvf/idi3BGLzJxUtGT9UTQdqi7Z5YF
ziOppuTkaR2SlZYNtRb0jq491FhTOOL205OMVHZrxmb1k1W5uoih6T+x+hTvBBCGWxqS4EhH5bi8
ly2yMeflSVNc4avyTKdb+0y6F+RaVEQ47PuoXtUsmEAOnt+xuk/0YbjYXdE226rHjLmWZq70TuEZ
THEVkG7szBOcP54wbwekfAi9UgB/NnUlHtzFMYYwqrrxuMxL9DsOugMNwvhp5K5OMQrDbS5s9tAc
WfVpExd9V5hoN5p6tZE0K86IGWI7cwVkI27WvX6CnYIKhpu13wy6ldmBRpPNpawzPwISk6p7H0kJ
zYcF5YXM6PzkpXW5dvjq9kMUZSikKutG8BzJRP+ymTL2zbKG8Yk2p6ohAjTV0a5nvkLGQi3UHkPn
6R8GamaOdeFrj6Uez9QwExMEvFd0P+gFrc1D6hYdawyUjM1iud2Xp7BsoJ7ik6Vo3mVI4sekZLTE
sO+pW+c2hWzgyYAduYjDNBstNDO9SuEUDtYpZ9aCJOcRQD4anForfp/XXNxFeEiwA7kIKolJri4m
q+iey/cw7Jg6F59mX4kXt214K6eePPvGViskaoi4mAYJ0i7m/7yMGMiX1tJubcxTRShGbI+Byazw
keYAvvMNmuhnO5vrADOlpxKpGHdCvfi4jRO9da/22orKe4+IFs2cvpeljPadGzFXm+wILBJ/+Ddo
H+osHc4ZYFHS8anyKIUI4zZNt8KorLda041gwID90nZ0tnr4j0ds2ypJN1nj9Puya9MXL+vjMBrx
Teh0ET5BOYyPQ6nwBDLZpaJpsB41m7rYcfYWurEjPkyefxCHcz0wrtRrJlsYGmrUkEv22+Wgp810
k63WBxoeJk5Auj/vkZPFwV9NEq5c2o84tspbhNZjLb9msPSVl1XHoi/HR3N1WeBZAjILOcC9ZRJs
v1eLq+4ZpZYP5MUiyhHqVN/o1DQyPiDtxAAKyAyi4TKIiIDz2shtamJ4jGa15FuOf/qbOzRELrAH
vNDUPh+A35gvcnWPyN9GEsJ+jIBRbOL7PtGbT9ikIz+D+4T1x7njShnfUbdAP/vqULEIhHI/WX0r
8reFhUsHFhs+f/vMIHW5T6lM3U6SgAwfe6JOyhD2TjDnuslWd4z12ygzTcqhPHaanHD57aTJPOuC
R4OnSl8EJNUcBSK+IZROFq37bc9JVqeOzPDsmJk91xs41c3ZF13x0lUSSDOt4wOhfbnafny5WoB0
d4FFUg9xE4eg+ufvZvIjpH8KrqndxEVUJHh2+tVZtOCweMlWtxGBk+YRMGx3Afenbvte+PsSLiP0
09WrNKyupWosWAU4ryWhYPN2N85vi9MgPEQ09dv65KZIz61jh+S3pgP4MipKiwpSgo76McUy+9mv
LiqlXAxVKRPJt4wi5J27+q3c1XnVDWZTolY1GRaZJgEvZqw+LdpsuW1m1Tj8zFYf19QZ2lvm9vm1
LFtl7UxiCgfNzKKLW1bYwFZDWL1aw8rVJFavdrGxaLQPO5f5j/K3m6xJWkAp2WoyY0tEf2eqZomH
7rcPTVtcmF+GURaMTEWacHA05+XOLCVkLKGV3a1o9OWrW8NiSV9Zz8kaILPkXJMli4mVJb8TZva8
eI955IxP9u8EmljDaCUO32E7/s6oaSkQNSIvdnP21hAbeyyyU/4729aBbecIgzpJDiqCZrQxogw5
gGuEWlsiCMgVVZbcCQmZgd2mtI+yUt2V1yGvBhnlZGUlORBahaI8A5M+o4jfITwDVZ6ec2qfz2Yj
8qsHP/rUEkhRG3dN8Q2M1WasWybD0GVN+AGYJuwnxzX49//KDXfVpv/rG+51SMuvf/2X/8Sruf7c
nzdc+w9inw6z+b/5Mf+U2+0/vNXD7v5DZB7GjAlplTalFVbq4df82+VW/MGahjKONG9grsQe/1eu
tr/N/Khbc0zS6Ot//HdQGgj6jnDxkeguvMZ/Zq4OwugaRJZly2qX3RrrzruM5v1SoL2PZMNYRGgq
a0x5U07JTwU/jBUspdw7n6IA17HaxFGOIjy3r5MxftYRIS4nNvMjX1r/VcF93tsSczMGG6DH3A15
8hisDtoXeBU6TgwQ5DhWtnpc0uyCR5j7FAmrfqw4FU70s2opK3PlfrXFPIeFWr5YAaF+a1SV9WlC
u444C+xuRMPVU4ODfJOYrsLDWT1TQwZY2cEWzhmSQL5fni0fkdp2KGmNXeb0uaW/t07SEzKFuMJc
lUpg0XzXwuekOMXkwOrVG+blT1pjw1ijlzAArvbcZEPGHpbLwO4oeYnG5KOPo/JoLvVtKsC6xHKx
z+MAo6OJ7Z8YL1mtR9vcjV5RoGe5zaF02hJ8uwPMHLLWjhXYP1oguDedp96MuIsPhllY+3jCwiPp
UObalI2HXjezr1gY6PtR3r+wyo9vRZf9AkfN3qBZv6gEsAJV22+aKsp9OpMhLwQdOYNu3vsu/SK6
wWZo5yW1bKVZ33O0vwfRQbF6VVY3rlb393YOTUOCnr9bZ4TcD10IZwAp98zWbu2lOAPVN73E2Qhq
nVBq2i2lVbejGLIdiuFPlSW03Ni2sTWN7pZOoa2ngwD0cQCXjF83c4pKZ03OkVg/bIUy/2D/5k2u
epcMr7hyZ5LYi+TtkjtE/dOXiAhkADznpjL7t57ZO7JmhkPfJsZP6Y1zdGQ7huS7xBk19kOU5g8j
ogvIw8tQRN2TLIYnH+Ievir7c9Q0pExj4mhiQTJP4ytnulPOyXErCyCSyjOuyYLUSo70J9v1SWLd
26SN3LVJBoQBqNtmsGm1GSCybfWpOODTu1i4JndjLtc6JCo+vYnGb/wTQyROClxQPY24bZPkFyas
UBvIVrDXPnULroayP0Wmdp375lJO4iewO3iZ43SjescPNK5gG8uZTtxi8zcM3adZERobknrfm92K
sI5hpPv+QVPLm6iWj8haANovzRPNpPa5NuLbLCHqpjGbMXrCGh3fDIbhNHA7yEmJdsgLc6+3/g5I
/IOv0OTYXU52NYULbej5KB8mduag6AjD+Mp/i6X4GTMYDwkRirCL+oMc+KCgKOJOW0vHpoR2Mqd4
HcGGHymBusaivm980iUpmfZAWOK9nexTkprnlrw6jjATaGfnHXkigTGXnJHpLwxJTKL7IXfucF4+
+Fr9mrre05za7xSRUgQCmolbkETU1dtDV3niksBo2M/+IENZjt+UYimeHdijbZPZR/Ld5blvYm1r
5xatqUh5WzdOu6ueyAGnDe3g+dLdRhNHeU6INFxXMVf9vqE/TNQdt9v57q/vhv93RsbYlHQwa//b
sp3DkOb/AFn7jx/6c8OkndgwHCYeAEHNNYrw9yNhB7AZj7VYewIZGf8tL7YmIgTkIyB9PjlM9tW/
bZsG2Qbga2Qb2DlJmoEW/AsTYUp6/sGfxrYJxxfTuGXSJ7hOn/9pIqyRU0xzzSI4nS4LtpM2Pxjc
OU4JYYbAiJ3vtjcfE/yQgUrM9zEV7z3z2ktTpu29HKvkjaGRfBszTZypOCMcMXnjqbGXeN/ifjjM
CHB64DpgU8n9dLdWV357nantocn3AdaP4qWWOENdL9XvXOwWYcMt/pqnZHQ3U+ZV4VDo8SVaDPFS
LUP52XujvSsHQtEIwIlAjOc7oHlIa2zKOBkCDpDpRWsS9XPMu25LC87yzCreXJaFA7LF6ftCRg82
iiE1b9f7fbQdjNoSoSuZDgEv4+AgiAUHSxyPR97AYV8vifXUN6yR3DyBVSx5TXmXDyoqmjMMMhCS
3/UmFWFB4US2bgxZSDFAtzPL1DjOs5swIM2127aDf9/FkfFDp38oJGGr4TLVFJK6bMCQ1XkguM1i
wSBMJw2bIHYNmcOtqkNlsoOVXv+Y9csltaafQ9s/JLXMH5E0taOyreRXg9/x4ANJo19CDaeaozVv
oTbhmhNa4C2NOFtlVz5Gbn3XzdZy0Rx2KBUzmLC1Aq9CO8Q7dgP/RQc2tJ/AGFcbqm7HKnCZPH6O
bee+LQ3dyZ0DWmGXlnUFsR8mKEOewXjVme8hTBXOddBG/ezbZXMeBo4ljOW1btf5dnRLDQzvWh/1
Oy11rVC3ypZPuBJB5WN4MN20w/zNHMZurO7OFN28x2NMg2wN3TrHT3bQqswLe9OUByLIVEvkdnpn
pKm+g8JMBw5I6jfldADxk+GtADcRLhJAg6UvgXAncTfXYHtipQLcXfm1gziy5VTUTps04XcNkWmE
tP3qO6I11VZnKwryqm2P9B8yesqdaAs2tTmA5YXkFuE3PFdZlnOBpUqulrKTAaAQCqVy37qDYyRC
r23rqyIiffn9HrRG2d5OxDyOwhTjzVzxyqfGr7fko8nzzZ5D06wFZc5pb9OMaqBRTZ9Z1LyI2rO2
UvlHzrjdxjXo1ZyNVmKEp4CvLoS181X0ugiHsmrRVjcc0sQmsfh8CN90QRPpUN36uLoqTXN+UjhC
LmWUVA6ayWu5YGbvMXEeTcNcQvC9J+H1gve2HSj7w0o1zhJrhdE/gmj7oZr+pkuyC4Yv/VO3B4gi
00o8ph5T6l/MqrP92DDEjeGp+XXzVDX4PPXIXk6GgQvGLnTcTF66iznSSdFduee9LwlTz4a3MajS
4XGugLO6JFMDWFQlGB3lbEnhuYEgLciAOjp1s7LCiCA5XODitqTRguCD/W107sVvGUhTIrN+q3GN
NP4tD9q0pQHv6mS9DGZCTsHA93zDNWcI48Ecd8zOHnHBn+KsI7VgQJwQrETCoWWb4d2n8oCeQEJB
haLm0jDAXReL9Tb15XyqSxxoiG03sjdvkrR8rxJxko35wPH0zdMzPI1uW+O0EDn6dREFDOr2Xcki
YygjdIdi7yO755lj7YuGBaAx25eyB3o5VXIJoTSZfMYWIlMm/B9Upp0sf5rh4vR0SdUW0RyVnOOm
DN0+gTxk8opxKkylea7z+teo5zezkge4cnXQjuPtOHrHItaOjp1ml4gDPuld3qWiF84OOQguY2bF
gTIZzjLEKjYDLaWBocU5HHSoCmNOHCsvRzxuJs3smAwE82Onf1JujOfeyA5wwTi5wImQ+bSuZsa9
1lhcPxzyroulf9ICCOZ2oSWo8ieI1WDEqLTGR9AUdL3gUilOkzl9CbhaRWV/5HEnAmNtiE+siYls
ZFUBqZD2gPFbbEr2tgOUchyx7UKfItvM0cigVQkG3jvDTp4SMiAYUREZZ8wQWypbaKUy8KAoPwo5
CFc4aj13Y5rcvSoP+yCZZDgM8ocpxIfeDVR5FSOMo5T+cLdLLhkEP3AlO9gad3nkLoTcJpy3blNt
k9zqA4y1NwPznkAVS8RQD1p9vLKelzx+dlkEyfC5OyAh98Rzz2Cp9I2zSoDj4P6QIOmYyObtAxLI
fdbFn3ge73kqj+0ssIoaD7o730rd/QXV86tlDFljvLIXDqqVbueBSaVPK42tFpln2y9eGBE+JVlt
o23VFwxKt0vlnxpOIlvXzp6brrlORX6xoomaWKPJt+AbT3T+3plj3Z4URU57qJOPvbMwOqM5x49u
oCHUfNc5/ZrOfYoMGOgdHzJdP4xpCBEZ7pwQlF36jWXmZpDw6jcDE3HTNi/08JL3xmoG6//R4565
4Yu+ir5ZvpVm4wTOFLmBnbQUMtWYDbuICJjhwXZisrjRR0CJNQCpva4nz54lceZq0ZGiee9+sPtz
7SOm2U4OvK7EfSOLIqRNBP4Yzx7wDZtIe+ThNO34EjYZF6ecUMrGmTC0x6N1LTHXhdbEE9SbHuy4
9mmK8J3NC0FOCG9uSP8afTR8PcxSeNum0x8GyKebyYMYXsjUDl1ntSby7Od714lLVneihkPU036j
rXFE/jxIQd+JX0OF83prl43p1dVhRMiM8QN+f3PbTVEB0q4usbolZPcmWCajblBtxa/qzLmluhee
UsYBiYO8ThUcVmtDVWdfr5vNHC33Fu12QSustTfCGXZkmABPJFCLfIlHMpE+wnHMkQjaz7hJoqHa
U18/HuISbBL7Zb0dU4nTeOlZfY3lEZeDGaau/W2CswtUmWb7zMRFW8Sph2tL6ofBBl1X2gP0leqD
D5TpSGS38JHqL2+Ghd8gH23M3k42UzR82oQgNziSKVVIVHJw65Gao7Uvq5k+9XGhyzmOmzsxjQpd
DYkNoCu7zmKbhBxcG4+P4GgEeykoiqXAx2agY/VFwzbNkoEQlXwRjGxCSOfxWZFWsMI5kpVPbTR+
3CGS+r6dGwlrznZ3EWVRm8zjoJaUFg1YbRqdGP/ku6bOnADierQzRTZua4EFlSxhGnjNvGzaqVo2
dTOwH8nSO2l61oQ4mTuivWK5kWBdn+J1RyySFtW06cejQ0vvfpiW74I7QGhDF9tGfR3vGxIWB+lX
xdnRI6wSov2BY8B46hJAY2U9paFI5tuqS5ugGzsa/TpGm4PQrmBj2L+8gdmDRAPgXrrlrBTdJImm
hWRn/Ru4M0OgVKvvDDJ2APQETiCuxGKUNN9MuQqkVmFydbqZc6XEl0z9Q+jqmKidGIfCqNIomJuo
v84YQT/iOmO+XXPQtWM2gqEaj1FSjtu+qD4z5rCPBQdBsmDjl0V1IH11MPRiBzylyq3yIOrIg6aI
oT8ipbMfh6psdmJRWZjOtiLvUfPNdi269RyXgbEb1XIPiae7LUdYx904P9ROdakjJ7/knRpvBcbZ
Zx/TTABg6VejtfcDOgk3Cbhhfu8eU/JzG1VDBksHEyVNl/WqEKFR1fj/Zs1sA8A+zAUyGZ9xOGTr
O5If2zq3ry0ZE445Cu6Asi5Too7Nkvxiq5chBnG0icz4nFin79g9wD41rgBNhZ914NnAUqFmALXd
j9pqfuDpTwLqecvHpHb6cNbcMqwjLGzaBJIHgnL9uIw1M8HOjBj45WZoFoqOtLnx3qk6pzHBZlKh
Ax9DBTZ0oD8LpnPu/EFNLOgMZIPJoV/QchCzsbKuEprx0/gmW0/kFIkXN8QbQDkq3zuSdXsAq3D1
48LHXlcOb8zfMRO72JNxHnFwTeaIyu7qRDyhCbARD/e5MbZhB0EwlALYf1Hr8ttWVJm7DqBm+v6G
pwYF9SCpOtpjv4/vzT6zd9qKJjPweHPK0d5GUaPaUJtHgjQrXrSmSgJ3oe1A00ySxpZw+ke/y92g
dCbE+slpyRfF2OZHY/J+1b3NMqnKnsPaksM2yvKTZ+rkeCpDfma+pXatUywHqc0K8qjLMK2aH/RJ
dmHt6O5F1Prey7J4ayeEGGTLiVo56TVLktfcU/m75Pj6krf+vzUZ/CWGzv+ZKIe1J+G/lgf2w4+0
/Nd/+c+mHfzcn3E8moXpbmCowEkTR9vfc3V1SpYMInXC8oT7b+Ccf4/joQQIlxod/j0YCM9ewTl/
0nH+IGmmA2RASQeE9lf9b797Ff5OJIAVwZTDxgbnWT4mtd/U3b/zv6meMidbZzqW6r1iburOlZ2E
JiaiU8bBiQE77trTRL/NY2yNPsdu308vqXTKD24c3oR9U9fWR5ypSDC2g3bV+jjeyd6yPpSdxfl2
TNql5wKikN1woixnWdScdoUmPbJwXTtfZApKdWtUrm6y4QrvBgVV3wpsVC9uz9izJyqMwdPDPTpY
CzdYxY3ldbS16AJaKnoG+5Z9ZIKTcQgZ1AQYXUGz5lyTVvluaP3sbXI897U0iGppmRW9+GsghSAc
xibZNhaU16XdWSqRJEhYXM+2lfuPqvH4iyPl5tsm8uSDR4nIsDE8icmdF1284oefiUEI/35uc/J3
3pr2Ivmy0xnLrjgaXBipqUmQ3OhvadX7MjCzIn30MPN+tryP4ewTqkt80RBdWIqTNq2z36InP2Qf
u0g0yQ2hKRKEI4hyuhVxfZRhWgjjl+U29b0N+uXCuuhwhMr0tg2Rz2lOwrqrq9AvjeVmGjLzIdIL
48PC2H/JnZzgkmGnL0SCaQ/KCSm9L5MfX02rXH7Z8USbgFXMlcGoWSnMfnYsaBTy9VgLHGwjMlCu
PR/6Ka2zvR7RHomRa2AVo/4cwVqPFKarps3TbVa68NUl0JgHOiWHD9LHXNdTXHCyG/pjPMbNba9x
TdgtEz5Gx4w4ycFazG8o/aowfMnka5qH/oAY7IaNRy9vq6b4mUigwx/Uu+GoLUhUbmI5P2Kpd3fI
2ZKIVcneXAwuBCLomIShhQQ1vsEzh4pFJ+8Wt+fwPXeyxUg5JvnrhJJywpHeUWxCbGen+PB2JRcR
jWNSJ/ajkY1Hw/CzXzgQnN2Umu6jihOFPAL/M9CdyLsOkIVDHzv+HiTm9A53EITfHOlLaJW92M0S
U9jGtjre3AkZn1A2C7tc3Ow+opTgIkgKEO9b/1HSD8NHt2iCWlOPfgNzsL+XuKWPdWyB6nuqeBJe
wm2y7Cu81eD92tOItxqUfcog0SRAc9A7HTOSpxgUtG2/HL3WT5BZal68NpSesREtmTwiEtEeZh6j
esiOza3TwZwjUped4mjg6I5JEhJpuZacuit0WbSR9tykbfpZWUp0gbQ1SKiQ9pyTAkr04qkp2U/d
Yr7mVpE/KGfKyfKqpNwkGNIC+FocGYEjx1snoaUU+FveBVoVO2nAtctYRcVaQzXQnJesbsbo4M9k
qia41kcf9hSZKNv8QNTOd3Khbng7Cz269ZfF5DupT8YzHRHRJtVqkFJ6bB+1nIJOLFvaq5634PcI
U6od0KfiigNUfaDRzq8tYuxtnUiXkxJ0gWrDw00rApOEDwy5cPlbBi1bzJd6v5Ugq74h3JfwSNrJ
ZHYguXOPSnsSmePj20QRQylNr8Jp6RHioeEsUiFafgJVyvdDbUWfBvOEcBF2vSdsbJ5d6TLNZdiV
BSRix/dJN8y1I1EYN7VndKecQ58WZIlnPsxz6p5JjyGLJcMi3yJdi6H7+e10SbxE++J7E4dkYo0j
awdmSLuzkxvcw/0Bysrw5tRD9u6qGWaJEBikzNlbl53OC7HsyC8xZTHp1MQYntFrWZZoaVtuXH2c
vqe0n9bUmXPuI2e5TjKnWDpqJ+ti9/50sKiQuh1d3X4HsVKe+EKar95CdcEMtPtXDzvkmEYeiUsv
Mo627yX7IddRk7zBMbbG4kTnyCXNXFhcdT2jVi+1yhOWnaqSd96QLnvorBiC4si5qSYHG65o7CdG
XUwgqhqh0Uh78zvSXPtNQjU0QjWlKdga2QG7afBWgjjUwBYWQvaCjUi3rLCaopfIMc4N+TkLp842
08xxn2fSM5sDrH0JX1xD+irHFdbjYRTFVQYmCxyYeKgq339KWhhbQh/Yw7Ai0gklTfja+jC94uuJ
wsjqiwfcPdFPlpfoBktc+8ZYpmfUUFov1tRVTZg4/fDTYh5DO2Ge93sr6pK3WqbYxEHuhJRo9dsc
018wDLG7XWqj+gABZhDp6sd7jY9vqxEmu2Boc14tbFV7FtboUMGiCSmEzynL0nIserHD8wUWiNOy
yRgmFvkT/W7z0+I3ycfC/xVOMzsHAXXOvHGrfnlFU/wwRipsGdBILF5qLuydByXumAlvxqziMJ4z
yzgkMuXeojqke90foas1XnXDmJWbUJPPT1J64oB5Or53yrm6W2KDG2DnyZ3Zc7d0Zt8Py75IvnO0
8r3iKs8duzL2TKn8lYTusPsZo3njGXNyT5OF2o2+Vh5iYmAUzsXLSfPs5tMZomjfunGyRY5fHpJq
KIMGX9/DxCFm5wyWf0OW1Dh3hRfvpV6hqJYNifeiZzIbJwC4bU1XN0vqDQ+IIhXDdq8OLeGXsDgq
pTfsIFJjUlKv+Vp/jdrm0mHuYcTkbxdSrPs4LjvSciyoGycVVExTSzLsCkebPvo0Ql2Zf8d6Dbcn
oGoXiMupuaQxAeM1BKx5rfwwjGHYktWR+0XXrW05KvegFflMRDKJ9/lsJGHCOPqlk2SMY8WsIKnx
AlFr7d9m0yR2hPhUoKlY27uMm6uNT8rrLLrOoaJgprSPL9he6FZ8M01Nw3CQsrtxHqcj6WBz7w44
IDFDkUutC5z75mKXASYxPyw0x71nAZPXKHbHbdMujOhzjYhxnvLq2c737cjoEmq1eQVwRGwNms3J
6Y3q1KM3ICxl+lYfjXHfND30IqgkWzfnRGYCQdyQNWz3oIwN6Kdds6NUXHpdCJYGe8hJZm51rHnV
56Krup21VgFgzRdHh3vmJY70OMzpqbwTasx4UpA+4myxDsxpXHQSG8tVbiT0Ug6L/gvDQLWVNidV
ZWA8noThH5ehSbZOVAAh1FwIOGTKljU8jh5jc50vV1ksYe/aNI1wvpo26l8KAqhIybjUUWzIv2/g
Ok00eS2TbQNA15z3rlyq1wlyUb7NRRnDpZ0WarUx6j/njqN9qVqD5BDTwIKZP66QwTR0vXGI6vSA
uZmhQE5H9K9hHir2oyIaMRv7df0cL/iFEMad9qFk3HHPiZTHMeVL+S2S2DsuVuw+dE2kPkdqj6h4
ibo9g5Zup3JJfsTwcrXzK3oyNl1nEb5AE3t2XQ0qg5Uaj77uL/ahdWBNh9L0SJMxVteZQOnq2uVI
NJsYa8F3Tna4CIgDNA8l/eY/qqS2hs1YkV3b9EonlZI6i29w/qJbdEP1Ybfx9W55mGazRzzACftR
4iF9HkYh521hc6fwhK0tm2HUm/f/r8D38+rp+ncxnWaU//pauk07OOh99d+CH3Xa/8j/13yWyc//
KcZbfyCb6wwL8VUbCOz/UPvCxQ8l3OMb7K29L38T48UfON4INHmEXBnKee5/iPEW9jaPWyn/wHbX
f2X8FTFeePySf/Kw+Y6FS4Dz2HpZtrlZ/308a4zdQltoztjCNOXAHkVHJVy1cxgGbW3YqwQJui+n
ZlWmB4agtzTO5IbUxhgteGCDFnpK0GzeLPczMYjN0M/vIvVPdpt9+P54Ur119QV5ZpLRhyzD5E0i
MGzd6FX6zMh12dzpLUEKguEv/dwjjvnQq3SyCi1DyUIsNswCnLOuNyoEOedkOmkdCpgFG7tjkxgB
sm/bSVq3siquSUSrIYz7E6IISBG/uLZjwj21zaicx7u8xeWfP+sEF48z9jQy/I0R5I2Ewq1Yksqi
6DZRZ92Srf8CirIEFWmHc7IiPwc13qNtNNt50adtVTcavvmFfaW9EYT7GfSDE+POde+wSuPY8trD
NDBEbVaHX2H3WHWS5Gr05csCugnYHiucVlT3fCy0jKXDoRD0ttegzxhLPzkAsImh+dXNqPshYR1n
k5Zc+nivi71bukylzf6lnHB3JVN7k63cCfQxfTuAV0fbx2vn+pJO59EXV7cnGCFJne1Mm79UB62y
KSxrDIDBPC49BqcOQoqZsItF8znJhus8TByFrAhVUXBQqfUns7bgpFUMDWLg7RPmfRMRYeacunEH
Hxw5oRSCA0S2IA6XgTC0F0q8Tn5NkaiXW69ZscjT0DY/FhMvU2Nwv8g5cgRF6r33scbANOV0ORvu
ELjKQSSOdY0Ln/xJGMDZplN7IVtYwkswwoHOWEq1yu8cbsEmmgq1T8U8hOBNZKDP5WNXZS9mUdcn
PI480mn8NuZFu3cZf2y72U8RO0pujxAcjz4n1ge7NJIgbeDZQNhDN6jVxVfGzyXGVQhzIDD6WGGf
h0UMK4xzDR+ftJ1r1tIapzO+dT1v3FSu5t7pXjIedRFNbC+4GbQlDW1s1Rvs1izM2Uvtp88MgYHo
gHy3VvNYCwVpC1In3jCiWYLCzoiRVctDCkIBJ6ebP9vsDjdA550tzIdTUps/V8yfAaVspydOHbYj
UmMVzds6QXGNEpoYiNHwgqL2wlHLCogOdNRGDx+WxhPBgMqERmPfYXNLgiSOPjU5vGKwQ69Q7c9F
ZD9pMiBtF+XnUXNf3bb4BoSpwhH4xB6oDmw3j0omY0pPVT0+60r70aK0FdyQNm6q+nBRVAEl+n70
jW2TVVgP82uBFy0oLC8PPFQouxo+WY92BbnmvHSjAMvL/VLLQ0+VdhJjYoHJqVSG7yy5WcgJzENy
2zDnqevycZb2SeaK5ziBo6zDVhtMax8Vw0fkm78MwpJTMz+5Hk+mqTHkpZ0PUEp5CwuEN3nsfoES
7Ig09HufGzi1d/MTjWuvfWdSdlNC4+tTLRSGfBCmRbKnKJDXWakqV31aCbK5TP3L1GfnDJRCLXu6
d/uS57WzSATF2Wdqek9j330LQSAwygEcu+mNranL7Fd3qVvdxIt3BgB6HZLcDxzBCSn2sHZ65Xzr
5ROo6cR4WxYX14DvUqFY8v3TqoesyU567320qfM/2TuT7NqNLMtOJScALZQGIJsPry5YF5/sYLGE
oa5hAKaVQ8iJ5QbdlS6Fe0QsRS9jZVfuEj/5+QCze/fZ552qhltt9Lt15DV3buO+TO7wUZvuLe0A
N5wEj6BLJApsHgHIRvGbXIVdee+AgWT6PO8xUVRHO14mj9yBp0Gny07wjFQwLx2FTHVzWVD3efKv
tSZmsUdyhrnCrmyKuy7sT5DVKbSiGR5D4nasC/TQAEJJwu8O7fNAC8wq1SpELxp/A1tt3dZMOgf0
F+4ipMod67WaeEhpTXYV14pQ+pzQGOL5J9ej2cmPSbf43OhXzQyxn3o5T+iWYrE4NAM+4SIYk+o2
Mfx4T5MMGeEqzjdVvVR+cI0ImMScXLOkpChl2mI4+e1QsEhPM/bB1nTjTrO2Nuf2rRaxvhYivA/N
7mCwaKU+QKgNi1u0TG7rBUy97jJEJccinwOX5r4um19Cz3/kIYiQn2VQGo9qhQoqBI82UsIhXbe1
ayCdKXSbnd25JydmCmDoyS4b0ne4SLW3qtC4ziGb6ODQ52spqVwvjfnRpGJ7ZfKbBPzEj61tINXi
Jk2vxoSobNqOAaLKNPCHjAEyvPKGvR/99ml+G7p6fGoTAzi1508iCtaWPcE9jRfPCtAv3Q5NGe+Q
ISneNxN7cqsIOpV9Z013jQOWfNXg2GdrToCF3U/CgDtpak9M0GqexOF8Zv5DcxXsilZy9m/5MDba
82gM29khT4RQc+s77N97AIDHiJ3Haz1RR+pb8pqfFstu+ti2AEsvasD/Arf4mvpIZXuF07CKHTAD
ojPrSgu3vEw2//+c+qdzKsfCf/+cGvTFZ1y8caH4+FcrFP7df5xRdUenMkM3hbUcN9EL/B6x4CQK
Dmp4CwL+5xUK4QtrkRb6whQGcmWshb+vUJYz6lJrqxvsV9H9+X8JGLWXtsV/fUa1mfU7wuMM/ccz
6sgUsIp45q8pqpgCy2na23kshodOjjiDTW96GkAluZPmNGPSckGOaC0Lh7dNxjn2OTYjneoYp3+b
x1B9AMC2e9G4WrLWQ325XC4fSmm3Dg6kOEIXa3T1dqgnb0d/E2UYAPOXiLfoXSKjcWOHJUdLuTQn
eaq+l+EsLwbG43YdVzYoR5PHODwtSLx2PQonOVgLeaWV5G8pB5wv3cigGa9YrZ9pk8KuXNsvMaK7
iy/oEmJ/JXdxpY2LP9un9IynaouXbhWaZnVXstHfAUp6kBvYCqzJ1eFObcYkvjTv86FTW8sxwjd8
Otp9h2YPA148bcbEZMYVTtOuSrAzhT6nBRpTyt0sImcj9KHhbJHix1qqDqouy48+cpWTXlXWlTFL
4xipRK5NciMf8ay6XVXp0U3MMpfEZds7v/rW6V3iBKW8HSfHDhTapUM5doI+WQ8/jlKU3zmz/mzE
vnmK2IdlQdzLCD9eLR9MsPRAJsN4oJ45FcRTSIuDBRj1ppWVuuAEGrZVPMTVLeo4mlPIap9nq8g4
i0bFxmgIsmrTxEGz1o38HXltcsFFlNOVNs7TZxRj5V0zzoIENbtsUwK/X7usbIAtQyO7duypwdzf
2GeuHNE1PzUoEiL46hxNGXZM13YRcMXc/7kgFDZ/dxb3E2KYbTfdzHVyJUI2+qOOGNnGowKt0BJo
oMygeagjvYGQkWQWIfjmbm03c9JQk9EbX9VsUhGUhTpECd+aDxwTpxfm383GS2pmpLYFdwS82bMR
nGyDy1CxXFnqMPEfRcnKnN3PYNwgl2rvhqJmr8Qccu5XxKWriAixPoIROEQ3SEPF9VqTYQ5oWYyW
z8t8HppV7dD7e8XeTo174op7g5RR4ErnYpUmgmJBeJQTrbTN6kXL9a5+rqTuHPWxtm6kAea3IbWf
X6PaGH5lnUFmRfaj2FFDa13lWsocK9Vrho2QLOKjsfrqtjKb6qzFzEiTHFNiMEauuGHXYtBFGU/a
a1cz0qNyiIFcrQZ1QuGj3KCsQ39LTjbfd7C6z0UZNvdNUiR73ndxh7hzjtClVUshaOyZAgqQpVLA
2D1kuNoLLXAqLrVq6qMrf47Trc+B83ooQrQ0XuSfu5okTStEFwXOMBq/wig2WMx22BqLofhMIxMN
FK1TOQH2pr9zJr1Yq1na/BmNuHwLI88/qNrAuTfYAwO70UdMqPQj6cTiIevG/CqhefA8AUy8mhIJ
yMrSmpJYiwuQLtvu1RaleJVe6CfrHrfO1WQWaUAraF8ygkPsMHSRCX4d6oiru+ZKxJO4mLlevBrK
I5NDS8BpDNmSKCGSRwpG2KqQNIsUrvnU3uEi6/VVL9Lkl0SouNVmLkZbuCpn7+Zp9KC4sQRD7w3n
qmBQFDBucu9m/v8Vf3F++q449v/CMV89iMjj4jOn8JWAkUSmbZguDBV43e0VuxjtarZRZHQts/8V
MB84JTfh4Ra6k5I31PAloqwwP4LbxFzDjPp6Sk1z29hI53sslHtrOU8hb0xvTKtDS4pdDB0nJ6pt
NZQFB8sievVqrQ/IsKFnGlFzQnvp7RWB0/xJuVZ3mxdefAzbvEUz03CiYlhmvEzM1+4k1Q6vSzy8
Ws29S8+RzNwXUtMRKRWfI2bTWz0SOi+/8zKD36hEuZKc7ZQ8TrhfNoCq/dkytJ6Ccc6IK1H3/Wef
2jZgE9wbuQESFzuhR/o1iyc0eG0VN6clsvq85OGtPTY+KDhIHogqxws3wim63Vya7mvVZ0Rs7TIH
jJcTCdIcjQXuOz8+uVbJnYUEc/wRaRolJJbZFO+9UsVDNPnTJc/89DUmmL9hcUxPPM/lT6DZ6a3A
Rk7FSWxa1xXB+G0na/9UiipZSm61XxV1mzX7R6PYik5nsFxX5vArVFPWrELfK89upXvXNj+Hx0TW
YmZawK8sX7J9zWlceUI9UNsrOy9plkJpy9ujy8InTwvlEd87DTolkhOrrxX7qq44kc7ud7x+p5pP
q3PNH6v+Gh0p3rSFdm27btOJ+tZCbf5LamytaVeNbzl/Mh6QgtAyH8+s22SCCUyfpfMhc8P51OWZ
dlNKHQjYcWJivU2zTD7op7+2JS3fTdqX11aD/qIveUsPZXkPzN8CfXIfJcNV2SMdao64gea39uPY
jHBTtnqKF2Kd9vDsQgUpL24519k9kWLnv9C/8t86xfQfi7bjD/n2+a+OpX8Qbbu/2cw5mXaClnJs
+WOOySDJi9kKp5oQtv7j4P472YP0ioQTGV+do6xNP/Y/yB7zN3f5Z/RhuXzaeX+6f2l0unz9Px9L
+UOBClGq6gpywD/kzx/IHgnIXHQRTRM2rPaaJuelf80cSHzQlL3PWapeZ5VJTkDwHsI5FOaXIk7m
txqyAG9arF8004C7E3526YcpvjRcAA8R3Xha0LZaus/o0e54zgquSkXMhp6ADk45Gnzz8HqejbVi
62hteifGP4nX1r5pflayyLJYz7LUYFVLsapgxWBp2RzoyzK35Oh+oHKDDa9GA98DW94aNjV3jwy8
GlpGOu1sp47/y7NgxInhaN7FS6d6H8o6eoa8AV3R7WpXt958rMp22uZJNLHnCtPnhqak7Vinxo1N
/Oko6OH7qrvUPLCxhXpcEFyzbPQbxAb6nkesOEdtziinX1bfYlmC+7o7vollMW5nsX50frbl2bI4
LyOXHbpjF/ODxeviWJtmfw5lRykNMaruue0qFMkhx9N+NKcTx3l51BMLY3Kstd3ehz+ZyDGnOCyH
cCyDOMYzw8Nc7dwqth4gzs1jGhbWXf5DBWSR1p7iBRUAiIYaaBeAoBskE6wfqoA2GROnUFTv9AU6
COsyfGfUlO3sOmrf6XMuUlJaC6nASTC+bTCGnZ0fkGFBGqysafbpgjlwDod4QJOof3kVmP66YBu7
jn7oCPRl8hWMSQZlt9AT+NEMDJ8a12prwStKX6pXsSAXjmKFy+sNDoO2yuzNKsr5vQzHcGXqoBtg
3iyTxgXoiH/YDq3L5wP5LvXgLeiHWiAQhyNKEPX+GK+1dIB05iDuX+qlmjlAMpaefJyR5wHf8idT
S9gSZ8FMqgU46X7Yk47ANwQyiRQOHMApVeSmd74bWc8zwdddkkfZE4twcdKqgnlSYS2US83T+91a
0Jehi81Vu5Qa73tt0neav1Ay1eCnJzTJaBwXiMbgMcBIKmQxXaKbvihl5t+oXzMuTQk+w1C3hjMu
Bx26NWHcqWgEWjeeW3yrECJ0Rbt0S63ZgvYwWAbz8RbiBxcJKoeFAsoNiy3GMHjFbkgY3xd11RLp
mPiiuPb6T4jX+mqY8+ym/2GMmIID4SdD1q+sJjJuuZyRXjDG8WK7udMC/QlAkFwUbBjofRkaQiD8
0jDjme2ZLWNmOWLL4yz9Qi3E7HgBopaQBu3h4LTbMUUK1PywU9OCUSVuD1D1w1YNo91/d4xo1umC
XimHPC+j2YXIMr2BhE34Q2pNVorXfcG3BCOtNzUUIwvuBe/KFtBroB7zsVrgL7FgYDyvuv0EgPfZ
0I12KBjqHmFbIMfoUIeijVrpAK/4/UnQWHbk2tqclk312svi4TVeYLTkb1zaD6PWajSpDHpvV7d9
qpvGwdUlCjB0OfVekQvUggRTA4dI4Vh3bETDK790yAAJfURq4lradBVXyKH5C3e0fdp13UfrUgq3
MgfB5KqMcjLRKKVuh1zPQ+7IRGiMaMQOShoQfRrDUYzxaLF9a+PPLOI2GXU7ArEBg/EVJv9OBX1t
1ESkGpO7BbOqL79wikPSclVxmmHoNwBcbG6xEpXP/Ny1J/xZlOQaRTS8GMSije2smy2FymrBp+vR
0R+zkbZnXH6u+K4ZucBLMZn/IhDJisltS+PZ7fCQbdEV6pLSZb8PA9dU/MlR8JhYzj3mrTBJxefU
lsNjVeA4XQsnlQcUpvxPegn8DYilFZ+aFRbxWihd3CoxmWHQE7s9tq0COZ8U/GNQsaG4hKD7H+Vc
kkJD+4Z4Ssf7rLBbldTaFxo3Ntwp2L6vh2RIOzIfNCU2fk17FEw1pRAy+mLWkVcrEvYVhbS2tLyd
I/KRY3VNt53pFlw26ZKgLtzt+d1lRtJccdFDnRbmY3qjMZV8Ddt4nCmiaJIDf/81M4zYIzCjq7j/
zvweaKk0eILyxqraz3a0vIe0tmfSJSqPXvvR19BoFfTNoG2Xr1FOJJBBb3NDjCPfcVUx6hXpWnmB
eICyrQtL6UAmRn0flouahoycKzedaUxiXXh91zHdFNVBLGnRlaO36uwIFLWcfx3zpUyKKDx4DF/F
uqVHk3JGp0RpWrW2MwQhs+4v3lbel5oWmF4vZTyeimmimHlm03uqLNhUfljZ2K8m3bMeZO/n901s
m1+kBCbzqE++ZL8kea+4kwcP32p68agVdINwzS/de5Nb7VJ5P036sa5Lh8opb0Ln5yatc65aEEpI
Fat/XeDM16Vh6KVyqmaDjKq6TNYCqcxVGfrBSBkByvABn9tzaPmhvjEwoSfHCIFEvUkLPdm3vKWv
RQQRFZhejyJ8ssmPLdFphved3sjqiIK/dKgFyvwm9tddVHkIyI3Ef7HJzDx0olmizV4pOuDmJLsF
VnD3Sar8R9/gz9PqIt6RbOFiSleYtXfj/AufR/Pk1zq7gs5m5CFSQ+f7AlDxMHPviqZLd5lf9G+G
4eF6M+M5qKpB2zOvNm8L1tWvRlKAPXSe1wQYSqwkYEdIia2teZ9cYcf/wmn9/03E3voPDTyBLD/+
9//6Z4Jh+bd+nw6L3yBWfgSyPxzC75Nhl8mwxTHOYYngAiRwzv77Edz7TbiOzRPUNSzoBl/n4Px3
uB4agggXSgCH8zdjY9f8K0dw3gJ/OoJ7tsXxWxjw/aaO4hs/wZ8nw43SHTaXtUntWUuptadpNIOX
tvNh5vx2QXVn7Pqi0nJu86Qo99YY1yc3jvwb7uQp69Z4ZPvellbxi6Q5fnQXMJuprOcHJslqDgJ5
Fz2WLOGIkeRxz4q71epg5i1I4iwlRyJANQGRkrh5DQtaNECc++jgoe1zCFg38tlO4/p98rVyZ2qD
/AaWJP2fOhwjmBGX4SlFzo+11U3DjU5PQ7VSiT0sOUkLM2Qat83GzesSAVql0WVIe9bM83Y0qSLI
oamzDVvcsSKnnk1XkprszyJFqrViD9t/OLnjf3WchjtaK8p2vUQW1/NoupsyTiwmmL2amUFlJYnR
VPFCKMG7DjziOntvlQN+PXruskurId/PXdGiuBn4U3adulOG6OXFZHoOBEnl6RsHSP9aocA+2eC8
N7qmOw+OrSwWlpafAE5q7FCpmTVv3dTWWfTr+Rm02DyY5JUpFZGIAlqT65PKt8pKc96cwBF17ffP
eQcdv2uhwXe2LynLkSjdubvEFUe0Mtm05tzjjbGIzNPgshOWx4OwEsPWHJx2F07dAFrvmGDanaqe
IILnLCiL1LsqjJZMVNM3UaBnBrT+NOR0dDUe5+8ZmwPRWBcXW23FR37Rkm/I1e5MFivb+KjmvjLD
9d/NWc93lVmE9xrHx3xFq47Pmy6LdiO/sWd7Cfa3fl4f06hu7jkx50dTb5O93qnmQdOsYd3YJHYb
T5AlIJq+y+bOBNbn/4dbFQQiFZgC+JWND9yUs+1Ml0IWOE1pfWuOV76XCwKXU+iQrCZh1FdMTL1H
OgnjB5lH9UH2bCtbOkbPGXaIQOe+diT963z5NJcQdHC7m5wP8LpiHbLxuLc+9GhlkEh00Ysh++IC
zGCxMIDz9SoKqslkt+wntNBlZFzW1wkZARk4peXvaSxWO6oiinc7Jk3ALt1RN0bYtl9p6FQ3looh
DmlTv4MqoINYmypwbtDMFRNp8ypnWXEqs4iPa+imPmrhRhynxmvvWn4RiaqomijLPAZkX2MyYOxX
HrtakUvnACXeuhqNfhshw6mgIBmcjtrRyagWGBi0FqtRt4yPQQ3ek0czY7gL41k7V9gcNlpcwwg0
Q0/nBLAxI0s7PVkZQ+g1+rdcXyUQkM8w0jldVcqrGRziMdqbMxvj2YJiwaCDhj6umlg9Y69gBaxK
kbHk6OeWQqxMwWRAezxnMXz1XpSeHkG2NpG/AeRLv0dDb99nhL8vDV7Bm75jnMgholkiaghLrzKN
BbCTCVRffFyqz9g3pl9hVhNwg/xkZlwhWWJ03SRcbmyn1wxQd1sx1sSkjw8irCukQoKPZaloemXT
FVMRw64nV0P6RgNDz6Gh9x8jxmdXozXpBy4wg7cdi1YdHUoF36POnC7m3HGG8lKuaOsao/dtHXnm
hcVOy41JN49uQRywYzV+mZj6L8HA9MMeBiMYKDL55UWac3DmWkBcURZ5Flbh4jNt5ju7nOaLlVHx
KltBx6vNUfVei3vjoMtq5Bdbbz6o3iCRp2pulyCP4bANe31ECZNH+7rzupNPvuWlaUiztmT1PqXt
lMzh8xALitI4EUfiFPIB2kbYPC+s7Nx9O2riMvTx9K15bns3y6Qd4G8KeS4xI3DP5vx2zzciA0N3
qrNKSTr46I+ufcIU26TQ1WdfgH6vvUZFz7Pw5tuy9fstp+rpkfPiLNGNFtWj71jDsclphp7oGz5J
w6cjTVT1U9dpDaVolHZY/PDGiWmqHGPvMQ/1Zu/YOYISm8dA7DAqr/3nyMjkbrbb4uw7qfOqN0sj
OG7kbW3mzldZx8XZs3qDvT84RRaZ8t6qVIypch6OjqlVIBP5eE2uPndWXNLNLxHO9jqDt7jGYOJw
om9E6bBp8YtjSJcvySwzujJ6rTy1fsuFstVRya3JBmRfeSMRxikt1N/9BtzXq324rUFCHWW1uhGZ
dHZF25sbK8+jpwh345kObUmpm8VfGHeGijY1oxVXTkbvleaW9g0IGtkBNcsUpi7lORxzg+J3IVFZ
oFMsA/0719wWhNxk0hs3sNyM/su462/NEVINO07dccOUllthW+MBscr0yTiMcWOtuWhQ3TT6yXfj
x+55sgoLFKgt7uiCK87WULpHq5yQ2Pga8RNlRafBmOrb0CDwu5Jx2vJFjcLmWM2hm78bybXEi8ZD
Ohf1AcpBHY2wdihL8PVH3tBYjfikGb+stNeDrGrEzqU/9aqj2Qdh36D26CTanWE3WMz5+BLvKSjw
wDzEU7aqBO/ZKbnh2Qh3kzidia+IjntRZo9kuq0n0aHbbpFwnIkS9jtZkJtf9ZoTXw1UjTJlm/tN
wgDnJMgZbRUbPcnsfqi23uwZjykvnoOjjE6sJFLC9UALSkObRspUvAqzQ6gRQtNAlFWgo1WlM0da
37kTcSuass7KA7vz0w00nBLr2cn88s7I2klfMZgjLw+uz/HfezSM1PSgaVT8agy6fCphHzcEJWiF
I27HWDJV82dEBmzdky6+LYzJ2OUGVgMvtZJnmeG1qP1EJ8Q4thvNY3+ccKC7NhNX3TRiTmAuqzIB
/aKcfguoGG3S1mk2PJydO1U40zYmlr/VPOYfEWh1WO+IDFY3aSWjk+cj4mZWpY5mt1gCx25fhNmc
rvggh2dXYM1rrRKve8erl3eZZNHv6gxfc17CbZ+NXwP6CYfT5izv01ZXTzYC+m+KBtz9bIQDqjaR
9e/S98PHJoNRzfin67mYsk2fh+CGeI6D1AC3UlPjryMxDr9qRyZrmRSoFv1i4u5siZB0nyi/6DrJ
Nykc0yGvp3wfhWYGG5hUWy3BY+NZjv/Za0RB8Vo3MJktO8oiWaqTCVxAE/jqpUm9bmsg6uZoZ9fX
orK6TylSCgAKynBW7Bv7o+ZbEfFCXbRPVqKcR4vVP+Shmcy7sku6HSUfzIUMpQ7NCJ3qZKqJt3T0
mcWxKHTj1HipewvG9j6W/OQGBnQXmSftrqy7Il0v/Kfhm/GpGdyYSBnuPNoF2lM9MLh2W6W/8TQ3
X1LPVjcYk3jwxQrBYMWDNXDbxjpLbUksIs+5YsVYQkCF/Zt0OA0HedUm+SmrZt0KskmvD17cNM82
GvlbTv/akZw4ITovWcBek88kxUl0h9OJUT4BgdLTJh33khskSQe6fi4WhpgPtzFwNVbO9BlmEn96
oo/L65il16rvO20/mWrvxCZzlSHKLoz4Y16v8J+/otjNrhueKR7XUWlinU14s6+YIzYnx0u5izRR
jo9Gkwvrp4flVzIYaJAT8qtP3iiT/YyV8tJprfHc1JTW9BxhAkl4YjNiI7tJJhKxTBo80Be8xgB5
XWEzK5lN9VjEpRbBivreNW+c+ezWPJ0ZRbFsnSvTvvE0m1IHNXIxC9zadF4dlg3HtlfWSwGd+EkF
k/6NDarnYaBXyX09G537twv0x/g/o6/y5m955/9R9PlNGRddixz1ny5qpmHavC6XtDOPTmChPyI8
zejPjMkxPeT6zLb/hd44jCHW6g+A07/4Ksbyn/lH2Hq5D/75y/wbtZyZFEXK4CvbaHvxOG/1DVER
uaLLTm3FFhTuFoVJ8J98zT8T9HxNj3suJD/fn6fzLf6bb81pFZzl6CFXW2NrCdoguxfrD4anG+0m
2f0nX+yffo58MfyfQNRMt4XhLRfiP+ycaGpHdp9XwBcbY2tuEIU+4o5fG3fWcdyJ9+xIL+lf/ga5
weOT4+t6ghT7Anr96WtOJc3LHUaK8YOb0b7dxTvtEX45yNcELdc/3+Ffkhn8d96L2gQs/n1m777/
aL7+eRyz/Eu/j2Ps3xy6e+gKZoaiL1rGf8B6zm9A8C6REN1mZPMzd/n7SMbQf1vCJwgPHCwJLvz/
/x3JeL9RPrz8C67L8dh2zb+0FQUX/NNH0HEwXi0LMQIWNqTez/71j78tNUv21iVGtuaGsexPppyH
sCV3GSUzG5e0LBAachy9rKu99CNaXk11XcyWf4ih3LF15C+NSTDTqHs7sGDW10k1V2t+CbGTgNJw
8ze+O4zbq1oZWUB3+4GCEOb7mplvoromyaKxo9SquX4Dd8ZONuYm5JXGsiFV1wTTLZotQwmYLfxt
S0/LMBcGSY/kmthHA7ONG4dF3QLu9BplbzYSWkObbtNkSNZWV6qdV/o3ajTTdS0t3t0dWfO5akmd
2QRbUXP5r+wEd6leYEGLzs0MhLQESc6Oq66SgXZ0QwO0A1Y69B40bkktZZAWY3bQqcw7+iR2V+Ae
qBLymfcOP3DmOWBgBgodkl8+4YZO594rukuSGE85jef7acrl2m0kDp+MEf3Mm+jTMSuX3YOpbap5
3EPuv+VM49eQkNeVW3BdNKNoM8iWoTfcbjCEol0zvf9VqfZ6EAnfe9pQ62dlgOxerLZVAqATSc+n
aLwiV9CUxiqT/C3l0FNXHcXt65op1Z07ROP9RK/hWnAFCVp6DlddZyPVmjoaxArmQqdlO7cjSNQH
Wdg89jg8VsznvVU8zem+V/wspY9NDqmhWOl+iWspGmRgs3RYD4Z+tWQndhgzxyCZ1YXVc4hwW3/k
7v2Wllm4oXbwm+obc2XNC+eRjpvQ5FdNQxq30mjlI2SjvsNh6YlspjeZZ9dKZQ+F5c17UxMeBzwt
2molk6EwLSaSRF32AWhzLw0GXlmZGhtSxpwTubTheqN3uhy8Gyud7F3fjf7iYp4Dqgjmc9Z53/bS
czi7WDwHXHa0/w5sZXsuURX1rQnuUdoylhrYBvEDEadhbbn2cEwqTogGpkK4OofINVU4e+bdxboP
PWDMobxyzA6/dR0/RbIUl6wWz9w324NWaQnBeg4u0Kcf9H88R13bbyRx64BE0rQJyYAA32UVSm23
PSGYK0+omy48PyRSAO+Rv5bjAPFAVcNIJ0wTLQcDZydKS15VgO37IrHwEGWRveZiaB+1CqwqmiJ/
6+hldphDNsBgNA4YWHVXD7zxHUb0TPk8mM3Wfu46X25yOMESkCzQkqmmYjWhOULqKRwDdbpkn4EE
fRK2TQYsK5bvyB49WmbrO29y79Ocj4JN3SyI7XTs/PloKq3YoDPk3qRYPVfsDxmY7cxOyu3gsZgG
aU3WIsvRj9rZneNLFoxd7a8xP73RZGBsKnf+4L0rGZaGD0Zpk0XQZboSbfzCr/WwLavui1AxydXe
pLDCILcLxMrIwuhX7Dwle6H0Wo26wjSRu2vTHqedMBZLbDqm99TYXFPsdeCCU60EksPVPNlP8cy2
mUtyFmgMRXaWXp1nPB1rm3BAKbsiiNsIOZXW2bcUD2jBnCf6xtYGc9dit9loodY+9HCMSGQKknuj
Se6iK50DddjxftYUxkleBtCQ0wXNwYwrzZy4x+c3AJUZJ+io+QISICjNVn1LzlwFqVAtgx4KW5q6
IWhFcPnglLJZsxHdWG7Mws4u+nuz8g5m6N6KMblQtF5+tBOL/FWbqpDQaveqIuMajOOJRFd31PWU
G6NmnVGhz9zmsZA3U34hKNCvKzb0gT2kt+Woyl0+ke6TERGxQTgRbgWq2+KEvXznptGm1oTa4r3A
rzCwubRiD7SRXFAAZHCLHgEfhQRM9NsOx4vXGQdFfgsHS9Kv2rG2UbmYJnryvo3xmTaY9lA5bKj+
xc3T1kTHU7azxzyy6GJngn9MHSvZY8WYtmXa1bvCJTIXDXp0FmR1D5M7VzuleySly7w6spEW2yWu
uWXcmuzYNvfAKpa1ywiIEL7XGO0uvsmeMp/D6Nn6njwKPl0u5bzbmhdnMrWTNGsOkW6jAr/BjZe5
zpvDzn0tmBqtRta8xxLN0SrNx4b4hT7tnNKLz1VjFoE/MamghyhbD2YcUpcDrqwMIidlNYRvvJIj
hI4F8/ZKp+AsEvWTPlFhGYSmzz3Z8kITWyPr61VkRPO5cttu58T5QR8gUuldvrQMJbcG6ZQND/HT
MDfc5Eni8NR2v2QYYvHlcIzWXJPffJaRpyMj5vpt3MR59cW4EmYexc6Tm+KNkWEz00w3zGtjtHPs
pjgKKhGKXdkCzXNl4dUz9s2WlLPFRxmcslpKk+BDbTJPc3ccPac/0XazlMGGzUbvpdqWU/KOD9Pa
DlO1q6bwceb3f607Lf08wubinj1rFsFvt6z57zn9qwOX5BuCS3PD8KuteeEJoIdAEahe4o0mVwf9
nkbUdvkmsWlY4kHKnEA335lJQ/bGVGUd1Ax41nFiTFSbq/Q6U9lz5XI1iwdipVXtXxJ/ULyCDAHa
XD+i9f3SrPqKjFgKOp7dGjPlPD0o2cqhAy+Y2QSvKlHc9Iyu161GwGxkkrEh79BvoI9528VeuOpE
NQVJZF7iwjhP1cQOO7UwtzVTum76zFpjp/ukZqIPiLs/xUuXniOBsxDXTKu4nGi4MobxSuNTs6oH
5u1mf2cLVa9ro/xOk6JFwNu9duX8kUmF9cGm1AY5AZWtTuPfDXGKNTelcGFoqFdn8B5Urik2nlkm
Bw1cZJ3mbrrrqu5RzuqKqAGrNG8g48MaZMePhz63jIMhPxVMxgV/eireRvR6Bk0xufnajiWTIP7M
U+fdyn6K937XvUM+vadNM9PSaJYBs410r8jFYZ6xD2XY1Rsvlt6x1CwmE3yzjxQMv7Doki8hwkFD
7yMUk0a0Y2f+kWmFvuZvLt8Jf6blvXdfQQfdnd1UMqDTje+nbf0DSmbOUpEIMU4pbDPzCMGh8YoY
8VJvowV91dr42k17cQPnC3BCHdmh+j/snVmWo1iWrqeSA7iqheh5LHpQbzJZ98Kylk4IRI9mVOOo
id2PiMrKcPPI8MzHu9Z98Yx0N3chOJyz97//RmsT6zwHiVdnkdsrDg9lUj7ddLkPtKKXMUqsyqe6
js+OgCEVQD6+FtKCZEtd7Se/61LJ0+b5UxIBFmD1vcXTIPU0sWqsuiC+zT7XGn+tWnwsqaId6N/N
M+CV/IhIOrsbq/gJtgiwFbHfd6pyvXyN6nn5qZQDexwJ09lLJGgE3yyFxZ4RYLnSyh5sfTGJCZCM
Ltg1Z2kII/owiAMGteKFn4WGZUKvmIspAx9lRd8NJe5MERRES02ZZeH8Ui+VDblRrmWJ6o1NuYic
oZBe5Ob2EN8G7mmUcmqP1PAlgKDVLxDNTCWexIsUOFIYmiCChbRSxYRZnaEGUY1pKArM/TnVHxZ1
+yhchDvm/IWVTlMGIUtPrCmbLZcXBSZaGssTB2cqALk4aZQLv6ML/781/R/bA/kvKbvWZ/Na/0lr
+g/Crib+B5NE2hZSXnWJtw5KwN/ZAvJ/IGTXidlQZE3/ncv7j9YUjwOVjnYpYz/DCPh/W1MNIgHj
WqBKGL0SP/VvsQUkmSCFP6BDtKak/9AwozDH9Y2khW/giV7WZXc+q5INnV1/mwNG1xz0pcE4o5K/
VGlBaCptVW8pUcUMaUIOZiEpWryqeZPvOnRbJ4VYaq+NlIwKQs15eZdSEa0FI2XokKJ4dtoLCiso
NvrZLAX9Ynhx31QnQoVGan2M77EEPpP2wlQ+dtM8aSIYjiol4QQv1+sG2DYYEuFACnfqTU9wUWCL
0I7MPab1slMBtPJm8XgeDemzz67Je4LB92oUFeERgLezDTWFbjhUze4C+5dxdE3DNCnq8gEXlmzd
jovRHWTxtlUvy8Ir+O7Uc5KcPEpJqZeWtKzLFfT56DQUmsz23uZ046hjjyNJCz5WgEsSRy5jiOCW
0lgbYwLiafMfcwPkWCfRdK9Lsvi4lBAAAyp1K2PMyd+Rxxo3YHaOwT8v5f5JQTCA9VKvLNwbkCVs
jHPz1U95hz+bTpxBLk4Uw5GoH+dqFvmFdDvvI2QAvqFd8d7uaTge2PYw5zLSxe56yWXJzFpJeExL
QfMFfJsx87uKizBWe3FVJAuE2ASxUWpiWK49Mr3DGQBGEd7monhZR+3IRo1LY+GctfOSGaI8vSlj
jTgLkli/llEa1na2aIYjGjGReVc07kkAxriiJYfME2kpUVEY+eVeW8Zy7zfMPpckaA76qR3wasG6
4lI91Emcu5ereLtn4nTeLa9t4ZfnrvKgnBThFTAXc/ThvPDUIavf5AtZuXJyrsIhzy8f2YRKCSeB
8eIrLXK8azamL9wxOjSlk7q1Tgl3WHQxlrNlrWKz0yhy7pPz2R0lNOdsvI027nvpMvOUI9JdMoGB
q6okwtkWsyV83zNG/3eLc43EZspGqJG4rKL9Axf+Eklu66zFDc5bHGni8SKmxZshtsANNd6RHCUT
nh8tw21TavN5tlURm6beSty09QV9myzN9gCtdsOQRk3yB7yysacVRMYTvTwgHhxaw8XwF30z/JU0
xIE6DhaX+Q0soePgXBjFiNz1Rvwc6h7yRV5Hh3rWU1nNxaAslJhdirfrDTwpFweD2lm8dLYaJxdE
15xC5L8vpg9ZNkAK+lZcE7ugnc6YFds3ZUL7ccVivW9yMlDzxCh9Upybk4Lj9F7vh3TP+CzyOni+
eLxW0zbi2F1pC0pUjEaU9aLIkbdT8ZQOBo8SpyjZ6HPGX4I9wwWnaEh9dfLEzkL9gGizOamMNN/j
qRDWYkeg7jhGRlBqOgnuk7iuuum+7DHFnGQEA4lNU5/vFlek4gRv5VZzrvpV34vPs9cgLtpK0VpC
rtAhwFmPPQXPDUcclWYzXaihHFHtdLcsiM41mVGrUHFijB8g5VGo61kaTPGip/nqKAgKnbxMh+Wq
PC2nmEBcOASCbLLOjWI9JGg0STqtiaiifVEZb0JpuC+jlPM4GrtL0BdU5TikpesayAOfTSj05dlP
VOREeDUl+WPP4HWL4r5v3ayQh6dLqQ/PZKPiUix1F2oaxL/Z83TrO5C2omlx8S0N5YXuXF8ZKsSO
mGxAxY6n1ghiw8BjTlvirHKZJ/AJobRRoElRgeEVFkgD43YnnlQsK2Htb4oCpIQKTr/awKTiqS4E
5VW8VcqzvGjhBPRFdnvHFhIyprZoJrTzFQUmzBGZt0TLKvmQKTUjYfjHt8ek6THmSAZoMRSemWjH
dZTcL6pq+VIxqSE14hotnlJl2R8p7Ovnjvv/iMHXWPMnHapfGdst5F7aqDDTPCfBVdCi/YDP5AEJ
qbBZFhWONf00ds8daXQeuUrwmHsZSpYh9BGTO04g2FIIkhlu62r3BDxWHvQxyra3RC9f6hLndQVS
rx7ooD+CCWWq+0JPVqyqRpWoiIvoadmCHf376P3/mzxJhbLjn+Py/1kTYlyl//1f59e4/NvH59+O
r5e//eflo/7v/2r+z9/2ddmnH5+X9/T1b9P8R+0r5lBYQyG//7limj/p72A+VEleFeD434IKETL9
b8WkL/E1xoyP2Ag6j98toP5eMSG9x7KYiokpEEj7/A/+3bxYxL1YIJqXX2RZkP8t4f1sW/VDvURd
oGj8O/o8/mHY9G3wI0n9FZBjTFy6gH6dVKbUWww8czgHm+g5+kivZv0GzX7hYNPKPmVdL5tqg+Nc
CRKIN8bqD7d8//MMcTmzOf843ZPhjorYi1ALGtKS/+LP/zD8kjSl6op4TN20dgkWt1OHKbBiQdon
OKq5WPru5pR2StqE1akHwfjF589BXD98vqLDEyPP3lCXKrXsd7ZpJqlpCbdl4RBzGIgOtAYvs5e5
1e8JobKweQqWX5e75WtzTF5In6t/MUOVvw//fvt8/HkknMQYmqvzn//h+6sMe69ZPWFP4/XQAV0M
gfs6JL18FC32aVKK+vMTYlPlES+bAUd0K88clTgYcpwMwgg9+a05qhdTdzNnge3QHuCw+pQfh8dp
Rt0sSA7VBkRb2Y/gGFb0Ig0HoNyj7vz1g5R+vpFLDTIx3hBLEjwhCv/4RZQWh8MhvsQuOyz+/oJ1
s28BPJjzwhqndYWPrGaeH5e4Fj7Haw2nJEvb9I7kUCkZtkx69UD2iNssVtFW3xaP4q+m1eLPd5oL
pJOR1CUjZVX71inAjqdXuHGBiKNtmZmu1BIya6qDBXY5B8muZXsiL96M7zGQmDC5V8zlPBF1I2fE
+elyaiP/r2/aNxcM6gj9x2uiu/rj0+/ltoUHVsYgYgdoRS6TJ7t7plo+f3ENuklohHOxfjX9nSfm
f3znvn/qtzVXYnGUqBWf2rt6iIWbJ3nzJP1Xg22RPeunz8H5XxQ1dh3avm+T+xp+7zi0VewKB47D
wsbfsv2I8IEgc+fYrzRrcqN3RcdZF78Zc7Il5xImzpxuXf4+gf6nVIXlfCO/f+U/XIo2r94/vGYX
KSYVvbwCaW4gRXkFMdRm35qc4LbhRab0qcHSufvrp/snK47ROkG3gqyw18rf9xZ0PFI6tXnGihsc
bBOuW7g/L4tdeVc81AHxFk6xQSNljU6dWgzFZLewhTecHlL3f0bw//wGzPv6jzeAa4HxzwECXZ9x
8Y83YGJWN8rlb9eie2S0aiudKK/ITiazGuymswxPNBMHOLyrLCjrTeWUv9hr9eWPc+R5uf94Ed/2
iFpiioSAMHMbp7dv9jXEd+5L4OMd7V4MsRODPdnvcca6Wxgm8bZnY3fWgyVmuwUZWovl1/JqV+/M
PObIsYFW1iSTFtlbMSfemJmBMdjzIgoZId/E9Zkwi2BUnHSrHqRdTdtHrSiFNPEUt+IX3BUL1Hhc
C6HoocbK1uk28to9cbDXbQ3s6pOnWWzFEC3rOWjX9f68173F0qyC29pYLV3FvOLnVzuYktEtWomF
923u92ux2jbEglP4pmb00GxhS4HWXhwYdEyC3kXYRbV/2/U212CgJDUzctMWqo9UC6dTMSwH0HMY
1Pv+PZnwI7Wam48cH23XYKpb1ZlQS61ExawW7mU92mBueNID8t7lK60NdMWdzr4OWw8BxWi/DK+C
dFgm4N6eVG9UpvQAHMY782R8rMr0aal9aCUooFdsL/sLacMxDlZrpd8O46a6kkLFZm7P09Mrjsag
fW7N4OW6yiRbvW5jPzpMCOdcmg9r9GmK4pca/adHwki5wUw5c5PG42YmH0lC2BkJ8Cukiji8ZG1o
NDw3m56qyCxph/qseMUor0cBDTlJ2CR0X5B198reWCtHqpUbBbGHVHFy4GoZOKH1Vn+P0YCGS4jx
JD+I/Rp1JXsL+T55vldKO7fOK/im+j1E+zpoiy8GO8nCKdaL12jNwi8C2H34BDaudsdovqQp8Inh
SnhbIy/BiWJ0CidzI1w8cpNL8wUGjT5g8rYhzNHOw8XjBQAfXZRVvzULM3XeOkB7f/Rbf7y7Hbqn
T4Dt2lTerqYQqmEbXMMbhKLrV/6aPMNsCDUmLrAGPm5mf995OOMR8nOScDFTbMDs0pM0s7CIErMW
hYVZowdCmnLIH2SY2eZ9efZuhjdY0n3jTPg0K864bk4L84YX0kO3gSeREsF0J35IJMOFpfV2/lhG
JFWzTKEeYv8biLz9DbGPdzD1b8YpYkncLH5V1LumeS/6N5i6MMWpQ1aSf4X6V2GCEsSH9rHDLER1
LtVjdI+UPVla4n5xuuHXY8u23vmYM8kOxig1d/dZ5JKb/TX2a8VL8h33GZdgBHjzqsUJwkSArT0q
hNLAkQzhdmWMvh7x0swHYpXmbfpGtzsHOfm9Huqf9a5LfCmysFKCtCQPj9cnMpHEY+deg3bLFurL
for8UYWlaEVP9d2wU6hqvW6FU5CNpHTHuK51RKzsYqd1ms4rPCYOm7awNSvf1H5FYp2LLtkCdyl0
f7SWB82LrUs4rQgW3SVXi9giCxvnyJICA8JUsUvfh0CtbeK6wL/F/G4pH6qwZ02JlBlkcnL9aEZD
SdyUe/1Jk+7H6lMqV4WwTWIYz6vp7OJL1PenWHxQsiPfp0UbwVdsnWqL9O99krZCF2ALWcm7NBRP
2opRYYfti47ln6k9Jq7iDOJ6DJWJW2/DEHyGpooAZE3QZzA61z0+PBOOosMK58s293OZWED7/CUe
l9vaKe5j5C3dXZrairU8Xe5SdAvOuHDENkx0m3sJKaIJYLlmC6cdbJXAYFMIJrcTObawdZ2Ouqsu
93G9K1JnfFhAdh7WQuECqp7PfvV6Vl3jStUX6IlzgbDyfF7601ph1TKZHWwHiO+8bfbVHI9tn7H/
QdHsS6d2mwN5ZndajRUQAXumaFaWfkcW96Fw86fc8Jk+Ly9eadefKJwc2dUO3Xvv8G84LXIsPEF9
XL2w31ccSV8tNzObLu9deD4kylW+mlvLYj9jF5ewAzeCBVoyt3SvRmCEZ7/ZNZWdvw9YjPcYEzhl
6yCNzwYb2m7vKJbop4u5xMYw1i2DcYsx91NxL8UuOIWKoe6m3p5fVTfRrBspjNtsy/ReOSgeNccT
Q41kNRxzOyX3juS6yLpljlCvmuvxilo59rVnSs7NVNk4CEjjptE30aOMUfSc7q3Y0KzMQQk0GbjS
aeVVIxyRT0NI8joXHALsOttesbLx4/ckrD6zg/4GJNPda0VYX5z2PN/Pyc0ecPC28HEIJoaB69pa
jF7MO1e9ioYrlr4yBOUOIs/IC8SwSLbxgBIzquRAXzUBGW3e5HGrfFj9tIgtBxTqaZhdtSl9wF2O
tsLb2TPWt48yC8tHYy89Q19XT/Vg/nWt9SeVNL4huiJgAwLxBP7yj/VNRoZGkUClcOGbqSzR4/It
5rIP0JurV6bN3RF3Jx8wWvs9qemfV1Y/V7l8Moi2Lip8OGS8Hz9Zz85pJF9+q6zSLVlTDiqV/dmE
y+Si9Hj8xff8sX+fS6gfPw0d5h8L2ayX8MKP6syNX7MPzddDqTc7j3iuNc+zEP6VMl79uXj+8TO/
3dtLL1bY/5D5zpk87rP1aJjxVrSUdbyi7CKHoCKS4sQiGMMGt4j35Tt2qzjFUueMe9SHj52yaVYG
aPzVlp5mEYwvrYcXHZrAkxpKdnMqOHDVw/Uh2xvui/BVB1FYhhlr3ExNNVS3V+rFyEMq5Yz+LmKL
f0jvytWELeZXQVNhz+Wj4haH6j6x0E/d3lAXZW6xGVnxbu/0r5wMX7jV8pvNodumDlkwfudKX3Qe
JzZUr13hOzpslrCJTLFx2XOgM+G22X/or9eX+CX+LGARYNUGS3fLjHS+6xTsrxiNqVQGQb8DtaOo
oshrUwayHja0/EdWgKjeqbo1rokq3RhbHH+Rv7mqPaJ5GklVdcTnyCV79jX/0EX71rh4ukRH40WG
joPZrQm2jfuSuE8GO68Dzn32u3RfP3RPyxcOQBj1zi3sX5ch2S/WeUfWSbNZbDWns3GM52gi/sOR
vGo+7Zj/2zf0/9YFApfZa3Ze7jgINDL8Xtnu7Ri/bR++jVPfYYc1YAV+VzwbYfQEc0/ECa/EGdS8
QRx8YpsUenMhhdrrcjRvIyW6qaFY023EJShl8Yjl/ufm8EhhvfiABtAzx6IIw/gbQoYFMxHRlfHc
ET4ykKDND4KYJ7k3ysdRsSsMWs3mCBPoX2A+z4v1x0box8X8HQCbJ1oxQmCaUoEzygEJ8BhcQ+nS
VjPkg8PjGdQdTYsTA6f826+vAvTGFBtODyJM/VtL3Eh9kYxJWbjGMV1uoCnSBHK8Oq10z4ze+he+
78+N3w+faHzrfNMKskE0f+LoNleL/FaXhCVYvMRf+ZmLYwPu59uRV9GJHn/dd34zVJr3K3LmYfBD
U0bXDy704351RsudaF1TzLAQm8UZ17BX8RC/EX8FaQGhiSlML0J/ojxC6cqRaWY76S5duFeJbgFW
HU4sZqH6yUOPk816gGyZzQBhCVRCogaHZuXErDRxNa7iT4wadzev/iKm270ep36/UPbL3MG/AFYl
dRqe7ucH3DXoOKpfnEB/0u2rAkCeihBCUQXhO5J5gfiD4mhIQVXK7cXLrLnrTw2r2yp+6nS9E28o
uF3cE53LBrpn/pyxwuBvOs2vYKWfN2wuRZUUxuwiUv7lt5teIBrEB1tK6VHjbbLXXJjLFtzjg+gK
dm5frMj6xbr+Gf1TWcwCdHNk1zLj+B8fs4wDhQy793eoI/VRV/uQS90k/BWo9CcLCi4CBld4dGLj
h0HPj5+E4WGhTtBR3csThoIXoIOrjV9QHW0IWM+YuuvF15yrea7htzk3sJ3CEpjW0ciWVo9hYQVx
21VTB74zpjQrmaAfdjt6dZOKrRi8tHOWy00pklW2Tm4O9a6S+VN3XxDIDkCiuO3NGXpclczURqxr
rOt3NYIS56HEZIdDg6WhlAY+efvreyz+yVNdygCsiipJCmYL3+6xINYZ9GJKnBnAJAzABWOIFRd2
4l1Jg7Gh2UXWuR7xSEwstM+h6FLonfIjRvm/2sjEuc74cRs18O8G3UKKDStE//YYsNmTcOCh0o1O
iQhNws63Oroz/7LP76rbqjuUL9wbYh0Ua/rI8W1V3JyMUg1Plc0i9+rTgsoAldxf36PfUOa/uqxv
u3syqVPRpFyW7MV+d4eU7bnzMpc+e2ZSWG141swGpJkmGaOmr+kpubu9EjtTH5BXXTz2B1vbaXDg
Fy5lsLDtCbQLjEC8q+1fvTN/smHwniCf4s2ReFvFb6OPgbzbM9KK2GV0PQKHEWnGJBHS9X0hINx/
4cFC1KJkocWYE7K+4hupd4dr9bx0YFfGVxtvRs7ma1T+Yi9bAov//Hy5IsByeCZcpPatzpy6aHGF
H5C4OPZ+GTEQXVJt+tjJAr1wCMmLahOivyEhubfafD0lG8hti2qXtQFCznTpD4QuQml+xd2oDmKI
62EdwCDDuV/t7oQbia5WTOhGYcuhRnYvfEmKigZKI5PXmwk8gmvNQ5Y6LZL70RZ0CwqDUQcdBYyt
Y/PhKG/yCWAqJd76tYhdhAHFciN/GYbXFy6aCO3sToLfJw5/kQyQ9qO9J3kRXiLFXexDHF5PYbU2
niDvxXf8lcHDqn3mTTOQjbyGQACn2vc9RgIEJwAleMY7sNqAcrHAHcE839dotFJzsSP0AKkelLml
D9UgyZ+BMmQymm1M+r0FFkhblOqDttJux7Lwr3jN6qsCvrtqK9CSMGLjYIJE/wmsVW5Lg68tq2Yd
eRkhUIKFrRZW1pHg387rWQpSeqB8Nb0gdW/i4aNQgrJ8LBKvgnJjLfEdIfewDw0z8oyFC2FfPoih
DPZ0BtSlDwKEM0yAN2QoSQAdswuFkJYNy6PXJrXEc1iL5pBYi+NYmnlq8W+qogdwhFn8uzqDTR+S
GR0qiunKUtzrdYsZFggiLgMtHL6LPWej3wEkpjfQT8GhzHiYHGm99CN+wASIdOPenmvU7hmnf1d9
YH+u2XvDp6tPftt9xbvQB5Qq1y1A0ZlgbAxJbeFsVY7hXDeEAmMzfMGOtnNaw7+OtviQO4u7aief
+gCyhX92xzdEos9Ygl63TBugcFZudzNlqwo092JfN5dd8qxaAgliz9GD5F9shm6VEcAqrnCsSlHy
YvHfPBkz5Gx2CaxHLJD9rAHc5Zkk73y79lg/EyVhYI2CRB/fFkdZBTFfbwzPR1LFj5lLJL3iSnai
nBao8V+6w9mGH+VBvNR8Yg9WyGaqI26r53vxVXDmvkX1BIugGrtwxhVRxas2iA79miQWDSPolWCR
/r4TXlnLfdB+3EQr98e15lLy1yrIH/B2yxdM9qywcmu4o427WEgBsnjEQPd5+kzeiR5vPquj5i7e
lMzFkzCNzZsruXRLmtsZlvAACZdgVFA58VTiFWEOL7K1nGPALaJSmlN8uJnMyyyAgAZQenBu94Vz
9coTymv8XNzJnex+6xWf9DkO3RCjyMRcR/c9jhmVqcHPSma0h7C95RaOv7IFqTq+XwFq/NmIeIGH
uiVseAb0z088RBvrdnPxNmyrXe43r/GKbq9z1A2j2jB9KJ0lymi3eJDYpJtV6XNyw1t6vz2L3u1J
uBMUc9xh5BtZ55NEJI1dLkFwmOHqjrZmmNu6yLOY99HsmZd1Fqhh9pSHelA84ViymQ4cUPQ1dmV3
zqU3Jw8bNfu2bnmjfX1bAXajwzZVLid+vR1vLndKsPWDGoJ5eoMXfVFg7xV3PA4bBOfpoSqZJyzt
3EETQQMU0Ott6ZaOdLnDfgz3mQ7EaaZeH7aPcr+qIdAAfZHLfvO4xd7FLc3Gh8c1mdODsIlfxOd+
FVwPhLIFJI7cNFMM0sDwJEd9v67BPZDLm1i2fZRg1F/73FNI4dvo9tIfj/W+e2Db8pfmfXMaafqS
BxrEmnnKaNKkWt2D+HANtcccgJUa++y2lbkEf1Yc6gpLCHDfsauveCM7HFsuaO54vAJxExPYmNew
X9NFNw+XPeS22732BJgJRGmiC9tcTulj9/hVg72jNqOCanwcG0x1aU1vI/CBP911zIk3JK90IaOI
z/gN5cRXane7hTdaE+jkuFny6W1j6evONWozP81z+mZNJ27jwXpfbNJ1t8lPqZPYdOlubiWuECh3
rWN4Hg5wdufi7ONdHGE1rRb38C9HIi16Nz4STRKtLu+Mlc4896D0421tM0/nKSNcSVQ8oczL5msA
31p1K4LON82Dgqs6Y4onPCMo/EeImc+Si3nzQ3RSDwydGHz61TVQvZlbgGLvIHNXfd6s5WN1XGwh
ifMzFnrfIb2Tw3JL/ekbmDtiwWSlN0dXTOk4+7lQuprZfbyFHi0fMHrq3WWg07mP4IXW+ez2T/HN
6jgls9PlyeBMaraIqNaydeWpLN/JXK5dvCrd7qE7xKtlbecPRqBuBGtigBHlIT7xOQkpKdI3Xg7+
l5OjXpjnxqnXfI1z0HwJEywszrvkXvD0Le5sBRvAcLa1gKBmexmcPYSP/M3sXrFvx2RjKBaEpT34
JXOtI+/hBPqGnxvrGv09u9mwrYNSNSdLeFm+N05kpbuYt032apY1dfZ63I0uiQ3b4Y6DlgVtJQcd
xXLz0Abtrg+y+zZQWZwNfRYEU+vmoSeC0nrScHRhmyXf19K8ff8oreTBSkMMYSyUT+txZTjd03io
3gbOqWxLNZj1yChCTcaryYavS+F6/cxDJBqHdAxvnXtjLvCWfXUocPLYP4snWXrUM4oTdiw8YlaN
Ch3D7ao1AfIXArLfh99OckcPpy/FPWOuYM4Ak8eLUbFfp8996oqynaqYktnjStgPvb/AJaPj9ZQH
Z97ZARL3UCHnc6N9K3GIcK7YgAbsoylTgXgPmE8IQgUbE4/Q2iTHc3hHMJoXFkkGMPyc98FOfMGt
dEs/Rm70gdW2K9eByLyD84WNlDnAg4oGAMhpjLZAYV5vlcEtPFOJdVa2BQjpEpsUqclut0wlEVbx
37U9h74QS9N5La5gpENW22Fd7i9b+V2BK8MFNHaPZ4Lg43JLG6++jxObrDUjlPy9nnKks5ItwH+x
vp7nn+DTWjKycl9+ai8OVp9NkDGiZi4nhnpt85LjV0KuQYcezxNqjIWQ4iDqgWFtJnfRrtoSpLnS
RbPkhS8oE3FOWBVB4utuczyfV90eWauR2/n5DmFOsc/30lcK1mDFXMcQZCEcvt38/3rUV1bsXn3w
bt71reSc+53kcOFN0FrTioCp8OqWe2pN0REftzlwOxwRp3qNuXxTBVbZXN1H3OAs4n3M2CrdpZPu
eZvdets77MFsoIRUrGqr3bavjE6v5itPxSW5SYjsLIQkcM9ododb09UMsYphnoVAI7fnP4ifZoAG
t4r9uC2elbDWLeklFk39XvLGh8y/RuYlJR/FnHWiT/k+87UQN0oPYdbSE9+VEDMJ5igd8cg2A9F5
DCNsc/VOlKz+ilOkL70iQ8I17Lo2TinlhMNk5aa4okEUOMqV7cLrt/MSuG3jD8RRPCieBLY7TBPx
cXqY1tkdWcEUy470xcJQwute4uVSRvxdsI16FyEM9+e9CsHMkk6MI3SOPKxyBHBT8+JQOb+m79wq
L7aLx6uT+RnjFvPqT6vqJVI8mMjGPn3MNqpjPGdhf6gvtnRCPCTPU5UZ/6YhFjkCnvUn1i6TEANL
IeZTI3KvFbdYdQV3THjm5+1c5GKhbZIKs+n22WF4U1dd5F2oxGICaC2Bgau2WjDHxG+J64+e9MEl
tpkhmhHkexbaSLFkNve4+XMTSvuGrpVPkdfiY2mL6wVT/7W47l/jfR27gLY3Cm/danozgs/Lvwwb
AGY2h1bvXffaV3IOFFw9T/XVLMEm3/SlZZAIyAj9wHzofLo+XrBJJZTk1B4QBdoJ4/KKnhSJvS0/
JqeFT7l69pIDbSuwSCB6/XPm9Zt4p1GD+rUFnO3UYBN7Ptim87HzlvFMglzJipzpbqQ97p1oWwhe
ySzrtqnsej150abUTCWIXlaVheI+t6ByvV6gfXPksk1om2Ev7Nr5BdG+JsNrAoCUZIuRBIa/98mO
7HZvWJ9DDIV2qZ2ZCy+bH/hrfj8EhU0apX32AMP8ihmRdMy8mGWQ8606KzTC6chDnFHRaaW+FXZ9
19xcerPN6LC+uceP7SFzEr+AHdj5lVWFyYHh7OdFt6tXwWY0d88cL0AvuLtZDOEh324qZH3P7Z34
Frunwe6emD/K78V+WkNLWxcSajMMAy3hPi83XdDeGZ83R3uV3ejRCHEceyLteFXa8kp6mI4dQqnm
Pte+oL8vFHv4WMSP2kODj7FuovOsTlDadpWnu713Ga10iX7fNHijLy8Vcj5efzbGzkqfy+fswLUt
vrTXLhBQt4dgTgpvVR32Xrm7uswJ9VW/5eUGe0/u8h5pLavJURJc1szp/nqvcVRvpatV001I4aKj
pH2+vfBbF++avgpuabzp0/zvsGleP0Rea6yh0bZwDLMFGCaD2YXX8krkO3gTFsj/6IkscNzOHY52
VxqhF07r3rDyPb9cg6UzEEu5i7AKwwbhWfSrcIZPHC4M/jbRbMceL7KQPdG5cSK02yoU+Bl5Pb4y
P6RyZl2Pn+zJ7YbNTfD55Gf9EcvKhOmu6l9OxVH1c9uwm7B45O1xVGA6cxFEb+0n7JWvite1dBkw
dDuWe3XAlGWjM2uGOIWrNRgntxvq46vIc42uwK1Y8pftdlo6ymIuQcY4ROVS6053dayGMfsvZoJ/
AtWBfTEShLELgKJ9R72lhQDug7LQzdaljzeydwsgtjpF2HzORkzcYB+vLPYMUqB42L3D72zrDUd4
8Sso52fUkEuBVAzDVsJIRPpG9tOTIlnisAbh93faI1JuzGWAGoKJcS9OaBvlF0MO/ecZ5fyRMmwz
aUa3hPmS/kC2i+pS0xArItJ3F++yRTtK2ZW+zlyl5lR6zBwoZqiGA4WOWn8owvGYOvkGc6RZG+mX
p8y+uKTKvopfxZ3snI+ltyxM8sWdyc7JlWWS1fqRH91XjLlGR3VLu9pEVhKcWVzWbYMp0EtrxR9E
8ni4JN6Jm695Giv43SOCzHJ/ZkUUK+05OZy3pd2efom//+oGfLvnnaoK6QKjNJeQb2+uUMcVgUR2
sY+tyvo1n/NP2I0/3vBvYB0G3qkgItF1s6AFA5FpNGQa8CU8AwKq/5U51p+vqn884m/wrxL1U9K2
fCLCiCqAJWVjZOANbr6JA2Ee/h1+BfzP0cnfEWdWFUpDSQT5Z339uKpuZyLgsvyW0LTjyASpKqHd
Uyniun3l/YqrCKv+Tz7NQB4mYbLDFOUb2N63YhNDZ0zc9GuiL3AIdFg2IYf0E2h7GOXMBWz6Xkhc
monBQHi+mDSeG4a2064EwLi/BuPrkmbzfuhNjcPybvya1vHH/6Xu6nbahqHwq1Q8QVuEAAkqlRaN
/ZStsFW7NY0FRvkpacyUvQ2Xu+Bi2iPkxfY5iRsnNQ7UplIvmyafzzm2vxM7PucEHv/Ir+Mf7Ovx
/dn95G7y67Ztxq9/8UMSZ6TrQU50nC7uNs+6HvYOo25wgL7BunqKwFxUvsReOJa+i8/IbTru/1yg
DOSn7hgHxmViqTfF075XsEgpxBhRGOdhwpJ0ymmcXlEk6UuWg5PixAYWmL6X/80oPuW//oaXATo0
b03UEj+oKnPnDX1PF7RourhH/B4QD+mRi4ri8+RESK38mf9GfjX18VKxddG1MsmLF4zGqAN5l+ba
pqWUlySgp3sj4ntkqcapIFIWLFQJcrpXE1P5zGLCvWIIGBbYEkoYpY85ielhi43jiiyoAcOFirqQ
tsAz4vsUAT4+Anh4vW7mvqg+ad/CZRQnooUiTij0aCwxhX2OEQ4EIpGXxBjZzPqXJGbZ30gCSWx4
WXlpc+wJufWIT+vBTZAc6b4cjJtR9i/2opta76I0/RECt+1FX+tVICNS3YHYZ5GfPT+SRm8iUucI
HtZ2WA4TP3sCs8wbHdpH+JcL+ID8jsI6CfTw2ol0NQ4sg9OfPCBpTfQS3YHsM8IXiMKTNhYDvQTH
e4at3UfkgdMke5JICjo8qS36B04eGdEl/Os5IJoLzvzaJCrM0ndAABCchdmzDr1nb5YpZ6GXPWvG
S98JAywYQjM70ulKeauuFXGQtl07oYnOOg481Ki9rHP+CrI5vc+MxfkswUdkSULtmO87mFHDuOm1
y0HvYD6dRSmZ66jAhUs1FmKxNPkQz0cPnGkG5L6DoZ7HOzffYwqz7zvgd1NKVEvDmFLaWEJ/IR2Q
JMq+aIyOhYE1vyjx5x0SemoIugSvCC2PODcqpFtVDGrLj3PxfH2Z1HrDaqH1DRM+TDQQ7XfIFYwG
ojRipafYWlvF8Oet1Vc6Kimb6VFpTUKIZkTPoYHSWspNTcOUEQEvqf0mpUCLJqWahLo7ioGTTYrV
uXxn1BLewKRWw43sjl5wFSa91rzM7mgGL2XSbM3B7YxmJV8VbKQhxHUvtQOq4Yj6cUuPDYPsT8zm
JN/IuearNXmh3TyCLwvhkJRuV7hcJXwkURdbohgdW+L8qsEXO03690KZhU9CWmiyJRHbBtUoQsLb
m+ptUxqdh4nYgUUBpfAVhl918pa0EikG860aExM093jed7a0aY6XJ3HL3KckHvwHAAD//w==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s-ES" sz="900" b="0" i="0" u="none" strike="noStrike" baseline="0">
            <a:ln>
              <a:noFill/>
            </a:ln>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_xlchart.v6.3</cx:f>
        <cx:nf>_xlchart.v6.2</cx:nf>
      </cx:strDim>
      <cx:strDim type="entityId">
        <cx:lvl ptCount="8">
          <cx:pt idx="0">10106924</cx:pt>
          <cx:pt idx="1">10106936</cx:pt>
          <cx:pt idx="2">10106929</cx:pt>
          <cx:pt idx="3">9421486</cx:pt>
          <cx:pt idx="4">10106933</cx:pt>
          <cx:pt idx="5">10106930</cx:pt>
          <cx:pt idx="6">10106928</cx:pt>
          <cx:pt idx="7">10106951</cx:pt>
        </cx:lvl>
      </cx:strDim>
      <cx:strDim type="cat">
        <cx:f>_xlchart.v6.1</cx:f>
        <cx:nf>_xlchart.v6.0</cx:nf>
      </cx:strDim>
    </cx:data>
  </cx:chartData>
  <cx:chart>
    <cx:title pos="t" align="ctr" overlay="0">
      <cx:tx>
        <cx:txData>
          <cx:v>Gas production STB/d</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Gas production STB/d</a:t>
          </a:r>
        </a:p>
      </cx:txPr>
    </cx:title>
    <cx:plotArea>
      <cx:plotAreaRegion>
        <cx:series layoutId="regionMap" uniqueId="{A0D17D48-951A-4646-9730-F0485CA32A9C}">
          <cx:tx>
            <cx:txData>
              <cx:f>_xlchart.v6.2</cx:f>
              <cx:v> Gas production Mscf/d </cx:v>
            </cx:txData>
          </cx:tx>
          <cx:spPr>
            <a:solidFill>
              <a:schemeClr val="bg1">
                <a:lumMod val="95000"/>
              </a:schemeClr>
            </a:solidFill>
          </cx:spPr>
          <cx:dataPt idx="0">
            <cx:spPr>
              <a:solidFill>
                <a:srgbClr val="002060"/>
              </a:solidFill>
            </cx:spPr>
          </cx:dataPt>
          <cx:dataPt idx="4">
            <cx:spPr>
              <a:solidFill>
                <a:srgbClr val="7030A0"/>
              </a:solidFill>
            </cx:spPr>
          </cx:dataPt>
          <cx:dataPt idx="5">
            <cx:spPr>
              <a:solidFill>
                <a:srgbClr val="92D050"/>
              </a:solidFill>
            </cx:spPr>
          </cx:dataPt>
          <cx:dataPt idx="6">
            <cx:spPr>
              <a:solidFill>
                <a:srgbClr val="4472C4">
                  <a:lumMod val="60000"/>
                  <a:lumOff val="40000"/>
                </a:srgbClr>
              </a:solidFill>
            </cx:spPr>
          </cx:dataPt>
          <cx:dataPt idx="7">
            <cx:spPr>
              <a:solidFill>
                <a:srgbClr val="ED7D31">
                  <a:lumMod val="50000"/>
                </a:srgbClr>
              </a:solidFill>
            </cx:spPr>
          </cx:dataPt>
          <cx:dataLabels>
            <cx:txPr>
              <a:bodyPr spcFirstLastPara="1" vertOverflow="ellipsis" horzOverflow="overflow" wrap="square" lIns="0" tIns="0" rIns="0" bIns="0" anchor="ctr" anchorCtr="1"/>
              <a:lstStyle/>
              <a:p>
                <a:pPr algn="ctr" rtl="0">
                  <a:defRPr sz="500">
                    <a:solidFill>
                      <a:sysClr val="windowText" lastClr="000000"/>
                    </a:solidFill>
                  </a:defRPr>
                </a:pPr>
                <a:endParaRPr lang="es-ES" sz="500" b="0" i="0" u="none" strike="noStrike" baseline="0">
                  <a:solidFill>
                    <a:sysClr val="windowText" lastClr="000000"/>
                  </a:solidFill>
                  <a:latin typeface="Calibri" panose="020F0502020204030204"/>
                </a:endParaRPr>
              </a:p>
            </cx:txPr>
            <cx:visibility seriesName="0" categoryName="1" value="0"/>
            <cx:separator>, </cx:separator>
          </cx:dataLabels>
          <cx:dataId val="0"/>
          <cx:layoutPr>
            <cx:geography cultureLanguage="es-ES" cultureRegion="CO" attribution="Con tecnología de Bing">
              <cx:geoCache provider="{E9337A44-BEBE-4D9F-B70C-5C5E7DAFC167}">
                <cx:binary>fJpZb9241qb/SiHXrSqRoqaDr/qCkvbg2Y4zVG4EJ3FIipNEUpSoX98rpw8+NBroBnzjLW2ZItfw
vs/yf/3Y//VDvb+5P3atjP/Xj/3vDzyE+V9//eV/8Hf95v/U4oez3v4Kf/6w+i/765f48f7XT/e2
CcP+wjkif/3gby687x/+53/B09i77d/C22CCCOl5fXfp5d2vKvj/79X/x8U/3v/9mNc0v//94Ydd
Tfj9OCas+fCfS9eff38o0Yc//vo/n/Cfaw9vGr7WWWX1d/H2f3/j/c2Hvz9kVfVnUyJUNojgvGkb
Qj78sb3/+1KD/qwLTKo8x6itcVVWH/4w1gX+9wdU/Fk0Zdu0CH5I3ZL2wx/err8vZeRPXKCqaVvc
thWGJ+P/3pknqxKz5r/34j+//2FW/WSFCf7vD7AI/OGP+X/f+O+3K+uyJej3X8NFgVHe1nD9x9sL
7D/cj/6Hl15MehSyz92GH4WOgtc3Ey+E0s98Nm7MEs1RtpuhyRdff/Rz3MgFj5krH5DM9kBrFh/R
vPw6jngt6vhrCjvLnveyZaLT8xi3PsRK/NLFgWi5r1k6JYvq9EJaxKquGMfcXCUzBktqBMbqdKB8
LmnmmUyDKUKIr4ZP7Oixypf9s2425V03TmjHb7GxVnWLbIPtyimvtm7eVdnSpZyVul0P0WZUGMTc
i+OR+et+YH5QbOJYfI82X+df0RsRz2UhJKEbl/V+CllMK63bOKthXLPavMR5OkhnzBRecgm70KnQ
LqqzXG/lKS+y2lOtau0HZnM50+2YIj6jds0V5UdV1Z1dVkuolC3K+8ktle2InPbsZtwYbztYWqWu
nJhaUx7ncR5GxezYrfvCLZWsXh3sZDS5q+meSaGHNB947n1Qgd1Mapumhym06fhsucwF+5F73X6r
jTMTnWLlWmoWnT2XS8kEtbttMppJ49/msVTwyWpNy2nB88ipy1TdfGN82ghdcNzGb24ehcnp7sme
Tqs34/SVJCTU/eJKzq6BEGl7E+0xd8QXQl8U4R73vCWZ68dmt8cXVxUTGlK1travTMiQom222MPQ
NvfHixotYucWh/x4Xbd8+UfkIRY5rZMt+WBI1MXAiXZ88MjipVt4KMLFNgdDFz0lMnmaKVj9g/KN
jrca5aO6JVWzyE6nY83Pa3FkcmgyxuONJMyT4WBayCvZj4ncxIov2zMhy97c4lQg1R+hLvj9So6U
IKhMK2jeZNWVeI2WC2uNIn0xl2tOj9ykX1to5N7rEMeyvPqRLPwGAmUq6eaF9XRpju14MaWv4CaZ
Ozd4VbXoadbruA5rpprqTu4kS9dCQ170vpSltZS7tKVIRVzz+i6kUJNumskuOnfMUd608yTsSTZV
4sPGnUtvdZ2P83c0u8X2KEax3B5ogW0/YrbWt97P4/jGMtva12w8pukUWuHYUHuLvqzZuK1fuUc4
MiogAOJzeeTN9CONRdsM3m/YdWlrW9EZlqPmuvljK2/L0q51n7LWipIeadkP6vNyC0NVqEM9y4Yr
fjXBjOVTduyZuBu9gHuWamync14tpsV9pnMx03nVk+ybxtTzTANGqerx6FY75Mfe5tdpXbWdA/Vr
U/mLGMe03YU1jvJFMp+KXqm8rG5WPy7biahsIj22+zJ9YTylWy9n2DtNovrM5oTRsI9m2rrC1Ku4
elQHBafbuHRbVXGPb4dupqI7VmWWoUU+q/sWN/uvpoEEvuOTNhAes9Kjo3DuzlyaNY2QQ7iVuj5z
BOE45EUsylO0sOZ/sExu7rSAyn2T13uTX5eaB/XPvk8z6qNetLhlJRrVDZEMosWaeV4GUZN8+b7m
xc5edXDN3MWdNH7pj02bTVG1o9W96GOe/Y/aNc1rPmE1d4ep2C1DOyogbOfyy6jiijo2E82u3lQ+
9WhR7UE35bY4rFWe1YO3pIFaO8/ZP5KT1tDcharbcBh3mut6OkdZLi8tlBoDoTdOoSsJs4GqkLtI
WRXxreaZ2gaoW070SHp5uxrGPZ3n2NwWGJu7MezY0DIv9KBqhX5yQtL3cne5oLGa4x0JfHf9lPnt
oyMMDymO+5Nvi2alfJstwzRs0+j7mYxV1h+rLMb7RXFf9xmZQxqQxHIcKsmCf1ORNKYrcb4fvSPE
j1Rg6+Wlzo9WXo5IfF1Rh/O0nSdWTWyixZogw904FglqRD3Hm2oTylzGsay+bRpjdqdL3ip2gbhz
y6+wiCx98hAEQXeh9Khz08EHHcKnBo8dw+0Ty/lLmNDt3lZLl5vtpoZMoofFr/vSvCw12bo6Qvmr
EQ50Ips47WVWd9LrilZ+zi85ycSF2Wq5GXUMQ74yRGdbfg2mfPJzczY+PE9QC6mwEDRZfsR+G48K
zqNQdDLhPiPoTmqxQBEttmvDzGNt0Wcn+ccSpYaipN43sT8vh4/9UWIGB+Hf2Z69sap6nAroTDpt
HU9FuEHelzQQ3NzlmyNfCmwKKg2KN07Ji4mc3zbFkZ/LpYC2ohp9YksG2eEX3hWZ/LjN7W0zkUhR
kJg6CPCh3AP7mpds7Ro4k5mZcC7lWN+oWbdnhC17DpCirJ/MLEu6bkY/bqji+QmNgZxzPv9kpTYd
z3ZOFWTHEGX1JjLJ7vju7VBD8sOTW9nzVUMfyw/S0GYOj4lzDo3aPKQ97dRJJl6sENWpUeWDUmN4
AznzNUuo6qapuNm0fM0EV8MGZ32GhOV0LPlbaxf0yPUezqPdPG0F0dTVtj3lpcPvYdrl4yG2X3Xa
+anN09Stqr7JNH/Bh27vqz0+R5xzKq0pznLd09nZeezCPL8pK8lL4hv/nOlV3wRezr3dZfk1hUze
msOW58wEcimMzTqBzPfknKf1vN4d2VL3HmnTHwUaOx8yRo3L5Xcf83ul1F2D9EM4oGyaxU6nOM5L
l9myGtrUvHHJFlqZOFF8uLZLhb6t2TEN0M37pRC2C62yl52kE17FE2zddkcgpuwWEl2X+V1DJtAN
zRdnmktw6rM78HfLl8u0kI1ir+5FedzUpC37Vvq7Y+FTJ7GbrqE0p0mZJ8nz68rqHyT4q8/jiRct
o+24n7Z9P3HMz5hz/TZl0l02zn7KekLU7Lo8b7vX5ym1X2O7ZxDT6FxvR9Wxwp73OJ2bmnV8zXEn
t2broQy8gP7+KFFxW87uzrMxUTs6SVPjb/eJdWqFGoonlg2hKosu8ChPYybzS5YVkMJxrg7KiK7O
yOTLaW5Z+0oOYT9aPvkvOcHxIytC/t4aPn4UyaxTtxeuusbJckbRmAJ0bYPkp3UOoJLqqj1pOzWJ
+gLx27bYyd2YQKJGt65va5z3T7Vo5Avcop6a0ITezCW/58EVlKt9PoHsbt7nOheXAkTWxaR2flj1
wb7GMKYHmWToRmSqXxVp5FMwa+irtCz2AbSoJPCyCI30cDF04Vj9V8vbjF+swk15v8c5TZSpMWko
Z4f13Talw52UG9v1akBHf9cZqNKOtDIsfVNlTA3EpfixTFxA5Y+hTldIwxj6uKpKnMsozHRTVOte
frNK1OFuCqiaoEoQ+49IWbW+NyoX9XmxyiDSL4kZNnetdVnVedSyhtYNYs9CeThpu4B8o1jKZqci
7cL3+bbmz2u+untTu/xzEi5AJ5jJTZ4Wk6hcXLPCS4Sj6tfaj5geMxKgrhQ4ov4AbenPtV9D7Jxb
YRsIU4sChYRDe9lB12DarCP6brPqy9QgMxC81xRV7TqBS1kftywNWRU4PYo1dBFcRQ8pu3/Su5O3
ajPzZfLBQ12U0IG3OTtppquurKAVW1m01220OS2nCd1AQXhVNeEv++6WJ8NScStYKqEQ59PVxfxq
1/yrQVXe7wsWnZi8opYUn4MrvxE1V4+4th+1bdA3jmd3Y3UO7Tk425flsl1Qlr23y149Hii+2aP+
vkW/D3qT6WYSgne8ys1jGXS41XPUZw8pe89x46GdctG1m9o+zSk1fTisOIHC0L+OVqUTFPGjm7Tg
J4hL9dtJrOh5PqbyEsjKh4m47AUcRT5sbVS9AP8E0lE3PWlnqaFBgagD25NnN56BpKR5gTW0CJ9d
q73I70HI+bNZTN0RRu7VMs10qet4h+vRddo1SFKSW/7amtzelus8ghSX6ozNrO6balyg72w/l9Bu
Q2r26SzMuF9bo5vOFuEzVAYOL9ac1O92Me7rgyblz3ppO1K0l3Isu5gUogsSL6wo3lEi/5gyflzR
BtVS2KkD2bfTMbb/hJEYKmahoM2v7aCWklCj8T+4KKHPZy2ixNmbqoY6s/F4dKYCX32M1SUT1cM+
Fw8uC59B+yWqPe/dzj5Ns7+MPkq6huo+q+Tbiv1XYkA2TDl6HAm+a+HDgOLV5M15Q3ajI0r2UrVM
3ZSo7JZZQWPBJKNeTeWpkdvDnuSrievPlHtEj22+B+V171Ie7msBIqAYZUErSX61NhO02aoNumR+
j3F1lXVbUC2PYoiFW2hooIqy4jxzv9BNlFc35q+BifNawToqsoLnbEM4u2wkNBL7g6NjOa1B2H6E
NtLVFXhEJqAGTpUoqJCloojBorMdFzSF/VuxV72rE3RKYEVdPrtPglWfgvcTtUmoLtj1dQz6vMo2
0iIP89nsdbwG3q7UQYm9zpt6DsfeOxlUJ6E7DMiNp3nCUDSy6aGNxkLPaPfOxakdvMlYN+v0eZrW
uzw4PCxtBqGUgcvb8ESFU68uLM955fOztSynaTN4KPPlR1sgT7emeD7Y3qE9fyVT+xTVdIO5fyRl
23Ez7f1mBHueXTGfps2EC5ZQfyacAbbwSwOERcmnhRjSee9kV0143ajSa32nJl/Bk4ToWF6lOysq
TVVpDpqvPO9GJe6ibuAjnh/dmuUPR1k/kuSvxW5gNY0jXZlmaNB5c9va8kTyRM4qCX11GYQ5Bos2
Kp36A9Wfy6W1nSmylTZV+2Lr7S4ydZ+kRhQ8xWUq2OeSpCHPMKfmkN8AG9z7Mn1R0X9KctkGfmS2
n3KsIPSbC9S8+dI4kQ/1OqoepNHWeXNkHdpApSYoL3SHvaALGRmU07CZ+zkBNJBqfI12V8OszSeU
zXeaFe0zQXa8phUeuSicTpYo16+stXd5ns1X0HHLeUEbgYZTr59BrRaMLm7SIAQbd3U+zr5DCyk1
MIe9OJVHlDNgHO11N7XzyLpjc+P3Jc3xymVA7FTOKQowo/P4Fla5r0PD5qO85EUJXbE0MuZDy5d9
p1EicWrFGF+yacS35PAIJEwG+BJo1atoIIlGkX5lcGjnlMd9YAVJj7oi42nNom+BNCUtoXaQ9cSI
CpfaRn8pq6B/KZSVNwFIxjXkC3iuCq1njlfIPyyOZGhglWjgS2DU6ArmtJsjHHN2bPzc5k0kdFVj
DmUmH3V50x7tVNxKLf09wdn6VaPK2fMkEZRsXAPbuLaoRWfRivYW4M3W3iuk2NWoTUJGtXJ0V6PH
0FVH4R9zj/PHA4/tE+dVEi/ztPv9qsJR3B2CcAUbbNzNrh0+L2zPHyYEiuacbYIZWhiiUC+BdAEp
SIhWYOhuQULsgxNh/8XH2gxgq9BFHhYBPCwO3DdlyKAc1Jhm2fRcZke6E0i/LgU+bmdcss9Kb1U/
kkk8Mpf7j8ixZ3vE2ySaT9h5d7UY5GqqHDkZMb7y6TjBeYOTroq3NG34tGSVoGRnke4N+qT19Dyy
5WENheiK1T+RFU10L5vrPuEHsuuTtMVg63w5V778qab5BoE3iC77pveS0bC7m4OrfJgq+8Xp6XFG
xg5NI1KHgJj1lfamw4tewe7tEqKsgr5XVSdW8EGBE+1xveYnEKf3q2hA41fTPy6KOwkisgPOaCmc
yaVK9r6S7U1Wl0Pm9obGJqaTU0AU9djaZ1LyAHAvyh6xPIcu2bKhseM2ZA34hokcGw2uLm4kRuKx
BWfwWBo8TaCNZktDMgKKHoHVkQrNwO1s6Jd2VXcbByqndZ4/ZDmZOizjfWzBp2VAi2FbdEklz86V
sncr4ZfmiB8LOQ2Mzc8Oj4auWSbpTtQFqJvsgshu8eg/FXMgHTqkHMaqbocqC1AECRHXuSo0iOfx
ulUzoXuVPbXh+OK3paVxH1+nAvovweFr5rLHSYZAZ6AsnSfzSE2Oz5MwG8i88LCaGjrbqH+bikdA
s99thHiux4ea6+dpxwPC5Zml9KI2UlJt5kh1DXV9ldkVrfh7luFbQMWMHlX2htrmGxL4uE5isr3L
wAtb+TSm+i5V6T6w/Hrw5su+pWFl6pNX+ALAtHfYXwk/zubYGMW5GabGXQ5vp+s4ItzV9XafCP+F
mb/Rx36vpuXZl+UzlJ3nOmOfWL38Kkt1Y4EBsAIEiNTpccHSnKcDnEmq3a8om9C1RfwMZ9u3roHW
3gx4XOFdovmSmul5SeNMicmuRK10PPhTDPbnbOOQ7QWknz+V23Lx1gKahbMti6KfrO7jjnnnSwaK
w73gbAEHGYZjL64YAD6Z7NOGyUclSkdJ6QM9ZPW0mewBSN19rePUIaJ/yCz/qir+KNNyWX0Ljbr8
BDXf9976pTv2ELp5a77Mq6OqCazDOuYAW+vqEYG9AzeSLB3HrKB+lPgcxvzKYkY6yaHBzqieP/sA
uB1Z7+jsQCwu8yfYwcdmijfrsXah2S+TzW/bCIpqGfebqVKnhsy3slkGQoCdHKgR/bFI3u0p1xQy
/4vO25IyM7NTy8hKreNXoIt0K+2bF9sZROUn1hTnY7LfVXIPgMTumFp/iBRKCEr1Kic3uIMMbp8f
J1c8LkpwaHx7D4Cwl9l0B/r021RNz2oaO3UAfdHhrd7KjOZlC4mH+W8B58/FdgiqwUepuDwGzr/U
s3i10gm6m4VduHXvNjJA3GAEQc6gftbi2hilO7G333c/fg+yPC2Mvxa+fYMXnW4rtj8ID4H5Wynl
4x0f1zsg592us7krFCkGzDM+lHh+Nbg9x93YN6LL9mbVwlH/W7PgDUFqTuZ5l37sWzHDt8udD/FY
n+oR8AfG9kls6WSyrO1yoU54nF9l5T8Tu5UDtstxquvqZz1X2Xn1mnSzK+2JZOwF6M8PkzX3W4Yy
8G31b8F53IoR3btm4XSL83MJtKhLy3oJaINNLdfnle8QHZa9hi1+hVTlFzG352bBr41Q1/VQlro9
2068PmJz2o3fbsq8nb6zgNM9PgLXtJFB4H7BjYQj0cX9Os7+BNuCb2CaAkgARkagh/Klg6GA/EFi
RF0Em/y1YVl5TTMC0V+MB7mrAC9/hHnN8UJsOu4Ltfqe+wpgAxmb9WMmVnQFjrXf6Sp3PwTQrNBt
y0xmUCdjPI1rvv8TlGaXBYz/bXvs6B/niHsDrPI9LgmwSv0bukQ+wmSkhC7ORQ6/6rEbk3hyCgvK
ffbaxMKcDXRjW5eqqwsxsG1d75ttqS9gRB/LOQdmvybcHTk6aKvLZVjE1qOsBjI81YIyDFk65lAG
qhZAeQtpArQjUrAEz0SSG1S4jzD3gzCtm3SqjCyeRFEEClw0h6nTonrYLg7nVO1UAlOneqklBSL7
ktm5oVYtfXs0X5KuHGy+/FZN9XcL+rhbuSy7Yo4LjBrHL8zxXjXWa/A++/dK1F8Tb7KvpbdnGCS5
ISfHRYf8ZUTou1uKn7zeu7Y6sr6ogRSQKL+kfc+7GcYl/bRgS+cRpDaCKce1/G1C9wz8uRNwfHss
rmo9XmueVcAKw9cgs7ua4Ucf0UNYcOqZ9tWFedV2hiHfV9DUqeNa0Ux4QStwWsjMt3UrLjaboNAv
x1dgF4+6dm8qzz+KcjkoWu33o0r5A3Lxggj5OO4HA5YA5H4v1JUX1bWAoNvTQijfQcPoMXeXEkDF
sJKAe1HOopcxpnNNYPnASp5IskuX9hnQGUyQvuXuN2IwNTktWJfvdhHmrilWRNd9W66KYf6xmDfx
cTdHvCkxJD1utv2xCaMC2jsT/F5BIPcwDJoeYWxUjtS7ypYwyWwNwGE+fYwLZg9ozeytbz34PZ/j
DAooWdQ7zOpyQ7dszL+3TkXaLC3M/yBau0Yt21OleAkIe8VDoTX7zDJR3IWG8ys6Coj5Su8zOkHz
rR5KoLLXrLbk6QgV6bft4DKju9TgtdWeQzpNmwLCDsvDxbH0XlQgoHizDwCygM5YEdZnvK87QPpj
CTPUiKKegR4C76AqT+i6CweYcwEHpfd2+uVaAU28MMXdUnjzonZj7opo65vCJnxp20z/wlvBbiNK
y/OI2qqkXEgPfxQZMt+n2GRwTLx5lQ3br/Iwy7Ut+HaDxqUcZGjzTwDOitBDBURfC7nmnZpd9Rs+
mYeAbXYeUdwuY2H9GRHnbi2CWZlnpg40tbrox3muTrpO01OWZijEUxlw6GCX1k+6sMXn6rfn8s0M
GxoLMAvmCAAQslI8xG0mV7KGddiaStwCvMpPG4JpFNVFnE/NAbJX5n66lhsKFeULnvpoG+jpopa+
q+ZRXceMZV2GG711OdvI7ZJ48UuXzGKaVCh0R0IrBxQYaPGjVK19QcqnnDJIILocIMWA9nxCMK9p
usg28Q3FnH+2ZZCDhsHD3MPwFIiQ3I6fDCau/bqo4tn8BrsaMdY3spi+cAUDzqWd8vtJ7x60bNOA
RiHlI57q7clVx3T0arZTNeRAvk5p3dkgfemg9DXlS3KPWQOchNEaewej+rZJEqbh9XaDg2cXtIeL
GdUh6WiA11H4z4Wp5zCLVC/lspT6NAY58SFj0byjsUA/R99uN4nV8p0U1Sj6aEb/bQQS8TkW0lY0
2IUcNB6iuZ9VwRFVyzF9Q0bu3wzPbTmAnAnlbZXazJ+Ibt2uqZ8gl2EBYBpo3CofgRZpEOJpdhsD
fecQ9Ik6FuOAFsCbACGPpKonVnOoBdXI3HY5LAeht+Qjqq8Jb5dS/MaFM5ERdpFjcVuOtv3UgFe3
fSKqgP+nMNBwhtWOPjsjltrqVK//ngebDZTUFoI8q3VNxTAXbVC9agEAUl8aogfhDIzrZbuBDHUJ
JnxUp9Kyji11wy4lTuoG7Q0Pp/9FzrkuyY1j2/lV/ALUAYkrIxyOMMnMrEtmXSVVSX8YJakKvJMg
CZDg2/hZ/GJnpbp7uqWe6fb4hyNOOObPVJeyMpkEgb3X+taemZu/QICd6qwNJ7g0do7nGBpuZJ5B
ruCEKbkOijQfmnXcz5Gm6qpRQ3FThjj+slK6AxRgGV5IH1TbA0CU82oqhmjJWkq3roae0YXf+i6A
Q6mCDjutENaue91aqKhcM7Sy+CXYDSrGswyVb6gobU5rtgsZDuhs6iwTu4qorr0ucOQq2Ey8NSfh
tCpP/Qod+IXzuuGnpbfreppq3n2aKrus+NRRA28ktKH3iTbcpTlQjdascw+jJY9fo87zt1ygpkg2
qITTdVyu7b0qXNCmE8SitBrBQKSB6jdoJqBFbEKnWQ0HTubOZVOu634XLdCQLm1M5lcWRLA4yEY8
yZpi+5AvsU+4GmCjxmzDjjHX5dd2ZXbYDXNsYygIHQUN0saxfwhnFNSkn1t7bSOqvsLk8GsK+Meu
mc1zADhEBIrsR5LXJx277W2uVzT9ggzEZEEOqutA2kCqXbE245AFBD5HMpe2LLJ+aYcjW3y0Ht0Z
GTmg8h6rc2tWoBmt1ESvbT9BLcMa4n6/eCaBPIg439YjC2wvH6XLZZAta9neDtAz9E5oIBVpqxs9
3tqSarrzMQWQIC0EnoNzoE6O4xzE/NrW7XAn13yjaRuF1zOO2QUdll3rxwo133iKrHYoaLYgArYj
cixDGG9LgLK+U+CRVjIYfJ3VNiRgoQCOLCzGThwKFAq70HW03TsZhCu8etPGu66agq/FQAg9DoBz
oHyEDnJSn5vq27rJIk9m0dNU8QoXanp174IeAAlIHeGA2NQFTbGCIUPWZQxbqSV5nKeDX9ZHoEGT
Rtvlqw9qWyN17/XSfKn4Nm2XiywK874F+BDuZxGgnSeTHoqkQtGWf2xEtLansJjKOXH4KysMs8Li
jF5zOqEMcl37SQbnEogFha5QhU8KAnU0Cf/ER07KlKilkFCqq1GksimKj6h1qUpMUBh9L7po+7YY
m29ZG+XAb+ag3J7rSsA59XmnWDLNo/0Smq2t07ItoBnOi2Tj7aAb9wb7s6qTvsBf3A3xNq1JGEr6
cYvaFuWXNDhMB6gZdQouK1hfCVwks9ega+SBxE4XKSmUkHjACteiDq8qfdVElX9jLWiHSzo2TO36
oXFx0vh1664l6bsxbZYBLFXHK9bsXTwXIinbKvro2ML8wTDJ/U5GPH8pIPLazxyQxnQ1BFU0Zrri
Bvu4HJc4nVHuQDAO2uCItrzsEoE1Q5PYyemhcyO58X3e1lmpg45nkx97m3jbgLPBZo6WGrhKc7EC
htpjNxRpSZwb0rqOKjjhHn0har2W8qMwqxmzsiDNdNVQHTNsiyO2T5gbcCnmRoaw++Hpd5mtGNx4
Xmxs3efOGPsED1O95DAaoauGTfQ1auPgKa/54LLYNwyNPhYHHIEhZu2+d+vI76F40Dol3NfFpckn
yY7VEoy3rBq6Ki3LaYvgYbMxSudgWfkldtqZXs8xGohsAWI2ZXOnucEZ12951oTC+hQP71wce5pT
IGUrr0+Nxi+u2zFsy7Q2voY/rdSKx2KYllvUdGu5pxMF6FV2QTNez8MGlSwc+q1H3Unr4jhBHtmS
XIn5a+tN3+47k+spnRpPeephpJiDp4aVhwI1yoyr2ZavM9ZPDHGNcHWIyhrAVKH1OhzCvM6/xEwH
2wEMVKsOgWVjvBeOwPbdqsKA2hrXDnWYLfoyXcpWQCks3HgycUnrnak4dzgBl+12li5a02ZqZJWM
zI8ATQaAKOige1JejVE7rztQM9g5aDWz6XLrZ2ohf43xtBO5lT5t8Vq+Y1AFp1Qu/ewOkwErho67
gSFY9BDnUha1Q8nWxIAX+FD3/qwbBZ75VPZT6K+aKuJBkSjWaDxMrfDbTSiZqQ4sXrg9bylRi10G
J7ZI/gC7/hN+9AyH/g6PKpQ0MiahoJJHCk1MBFb2B3i0wwbZtUWEpiof8TTMU4itiY57ZoMhwTdZ
X3hz+Ov3BPz643tKwiXw1xD7uwQHewZa/wCshpSVkOZrmjHZkgepoDpSY4Ck1v20hyyd7zvNfFbj
i0gXPm72b66Z//n9BY04zE/KIknoT9cMFa/YPMf7z6bb9mFZuAsZefASpFhf//pS/9lbMSJjriQ4
YPkzm7stKDyHYqBZGI3NTUTQkAcA5rJa1+rhr98qPH/sH24ltjcFHhlgpADewOmPX6su8XQ7SK4o
MzxIWwtFURsUmDzLTUCOlZ0gfNUjSiCPzXeABJ9YIkj61x8D0PPPn0IxBSma4LCAiPDTp0C13lrs
GjTTcxt9qVGYunStgyYZTNPdT2jHtr95xz8tYYlrFbFUESjoUIqflhOa47zEM4nL7EWR9JV7BXxD
MkDAz8VI7o0GIPjX1/jnu0o5Y5xKKqAfquj8HfxhAY/tWjDjFp7BlukylKRbQhtAQkS6+W+elT99
nYpJxYWIqeCMUqZ+fCvqwLstdgbHHFbmuVhVdbVZFiZKQ0nomzi4+OtLA87+4+3DmzEhI8ZAu1MW
/3RphhZDxXWHlkAZWu0CUwKAW6Etqr+5a//kjWRIz0s2Vth8fv4O49XiuFl7gAIjcY9gYoublTm5
++vLCf/8NkpB3Ys4gEEmBTsvnj/cKusBx6+aVbuu5XTf9VV0qENW40iYqnSEdJTqUW0JPsRH3+l8
B5KjS2rWFalUxbkjWGFQy1z/zQo637YfnlU0tX/8WD/d1q7OcbGOVzvfFYA/aoAIm201HsugTvnG
51OtdXXX5HH0NwvqT18I9lvcVjwyNAxD+v0L+8MXMpTgCSitG4gstDv2uY/vfEnk37zLz08IU9jY
VYRoBFYtKuefro9Ar2hgsoXw7kFIjKpcb3vUeYmq8iL761v88wXh+VOUhThTIoFPTn9asSMF3Y7u
vYLsHMIp20Q9AtpfB7n8zVr6+ZqwUpGvwMkhI6BdXJAfl9JEQL9Mxhb7cPXReOK9qx6YWAngHjAn
7pfL+o9fMjB3vyyGX5IeX/vBj6VGQfo9pfKPH//H6bdszX8/v+z3/34O0vz+0+3w2j3O4+vrfHoZ
fv6XP7wQf//X9z9ncH744U+BnD8GZv5Pf/lDHuflW1t2WYlGofw6/zFdE5KQYD/D1/evUzkgQF6+
/u//9c9f9ms0R4bvYtzwSCkuGfZ+iRv2azRHsneC427hMORI2ZAYi+bXaI58RzhTNBZhiGKQCYGl
+Ws05/wirgj2I3y6CAcK/3eSOTgQfnjIz3/qvHUjscNQXuF/Px1McDYDH22VzYowcs/Ag+IjSlvy
kYMIi7OZie0KEPaQcbehBctNn98A3YLC2+hKYUPQIrTn8Ail6di5IFu7XNyX8fx+DhucqjyoeZVY
Oa+X1nYoyIVszWGVVM1JH6r2q+ThdJwbCq+k7V1xAN1CSGo6qAwZj0YdH8uybD4hdTCYw1wqGh6G
cBSQqVqfP5lN8GdnOKdZMHsKBi/WSO0416ldLXj7XPZLccWlhAk/tasu97Oscp7kAYmKXdkMU4sT
2fub0Of9zjoRfNFbDuSrZ3nILtDL6JsRX9yhF1Ydi7iF3mF6XezpsBUMLkU+ALZDCwU0jXcNvgIa
H6fFA4Az075Y9JjydgX9io3U7Pq2Gh7qsHa32xBHqSv70aRzboqM8hV9OgX94BOcbcMLEQ5vBWku
3E+hMMBjV5lf+wh8yQJ6cIJTubqjYtBkqnLSl6rn5mXiOJviYXSvC8jC90O0slNYbvkdJEFzZH3N
113RC5L0wVZDSy7Wat/Nsz+1C4CUGkTKBXpHmQzaBlctOsbdVqwz2HUp3FUn/YZmdzQ5JBYQZk3S
boF97+uhWJDL8MszXPboxsWttYd6HqK9jCHBgLlr5urChlFRIXsx8DcI/HCowirUQEICKKNPAx+n
0xjYvM1EoxaIN/MS6RQ6DSIJWxUfVVXMZ8eBh0851PF0aLS+sVvfH2oxRpddGXSfV7Euu23Mqwxk
LMvQVtr3/SrDu3zVzXghAjCUqbHGZPlsiEt8iCIQjFMFES/iHhiLCfLxY9EXoMJ4xBCCor590S6q
j6RjyyfEFubHkmz1VQ6J6QvpZqjWE53LKS2xsm+dmepvM5wJWHl6fsaxrT70TavuC1XqHYOBROGc
KLR9pEUTn8w5z+9EVLV6t9khiDO/GXa7RluXWkf6D440BsZBBySn2Lp5jxRYe9lQr6+jaMWTtEwi
/Nat+E3QSXnfaAJXDLTjmMSzJZ96P+orT7Q5LhCTJKjRzd2jXzMZW0RlEkAteAaDrWuegrCwV+2a
90Vma6tr3N+mOhFfRKfAoVbPgaVcwEl39x1UNRjkOGaAGw228olrR5nDAWnHN9KX25vWxlRJk2/+
vE/kNyXv/IGUZX0sgLzvrciDjw5A1E1RG3sSZNNbEswc97QNIN6p2Ob37bRyaDzSd2/SuuZDRwrx
ILcaTq33MkiL2EE2GsjsGRQeD2MWkuZ80VjX7VwXhk9xm8M5Vl6FcTYWIO8SEiE8sfWBvkbGoLqW
foE1EwrffY210x9xp+GEb0HTfEDlVTRAAmb3CbRZ7y/MFNfpgKzAVdRBADxIiyAcq5fvjBW21pTL
Ot7JYey+NQzSSQLGWA9JUwfFIR8j5K4iyZ8j5x24B77gCbbNWveJbtt+pwdkkWJWkCkJjW3fE4js
ZbKMsromW95+3GqcGwdeWQlnprGnpvb6skF+EJ9ekuqgsX3vJIJEHxsGd6FhxFVZvZbBF976KUhm
9M07O41oNeJg+6awZyd07DgiDb02p3WOoiib8B6PLRo/kTns+CAwY8kuu4Kv2H2A/IlkXXpi4J5w
89iYrn7g3tMykbYr4qSqYSokEEHLJ2WL4QlUH3hir5sSKFzYvy9tEbyfy6KuMqCB/ZZ0SJgB34Zj
0SQi4g3WYmkK7BTIbm6pmPW29xFbAYsYpFJ0SLabSobkIIsqz3d9RCxE4gBW8+YaBeUnJIokbmzr
O7m4Mw8UmTuoPAZoE1YA1lTQDXiaIP8kshuqjzSqBe5oQ6abbtrg37UBqd/WcoDFFYsmY+ib9rBZ
6+uctdg0GmLru0WaPkHaSiTQZYorui0SQc5t3kXRWNzFCI5lc991V22z9dmiSWcz+JfN/WCF7rJp
ygWOzHHQO16Xy41sAiQ1l1ojg6DpOi0JlGhyV8LLB9+92OE9w/7y6OIq+DZxU8FnMLV8mDnsx9Ra
hTTTCHvMrYt+D0KZX+RbOwz70DEBobaunivnHEmCtWYH20wahC2pANvikV2O0Urz14WMzbGBJv+m
RVwiqAHD58YXc/jZzjq6wTa0nRAeRTpOAChIZ9DzN3Etsb2ylorPwSDmz9heg0MUjP3e6yo+pwnb
8HMOc/1Yz2t7U2CBv6/0Qq4oKMx965g7LJ3Kgbmo+NKB4v9cbqqHAL9EQmc1sRxAteu+1chs4R+V
4TVza/g8CqyJdDIQjPOKqqOQrDv0HO4aUW1wFVVd/Rivgn6awjGGz9O0E0shM0YCvECRv+VlbgEn
l3m5GxGUe5wiWT5J/LMLqHvxvm/Eit1kcct1zWHswhMsHggchQvVQhJLhs1HMDzCqj9Z8IpTZqFH
QfuDzXBXbgzOoplMlJQLK0xCVcNOwWzNAYmhQf5f1Nv/RStpdDz/upJ+fOnml+7b6/hPamm88Lda
Onr3vTvGbvQ9yR79UEujsxIc2wBjMepsFMy/1tLqXcggoRHk31GAU4j2/6il+TtJhEQtLUKJElFC
rfqto/ih98E8gF9//m9/SLkjVPhTLQ2MCKIEFwqqnVLo539svmwVUFSF7ZZBaWsusQcUAygCoS/X
89bdO4hZdCDKXqAEVPfLWNfX2/f9npy3fvX9FMBJCr84gJnWOIEQpqGDH9JCFnTZN+eDJDgfKaBw
ywMZWryByDkBDQXjY7+gR47ShZmQ7KhRzSn8fmDNuauufMfrNLZzu1xoMFsvU1tV5QXCPvWH6Pvh
B/Yb4DWCyF+rgNhvAJDVyZ8PTDWBxDTfT9GIzwjNIqQK7XmsVfuxPR+58JthZ38/h5sYT0QCHw/n
M+utClLKrDr15wNcnY/y7XyoR5Ce4Ut4RV8KWU04VxH3WIsAyVPXz+BWjByPI3jxWyPM9jiahV8g
FYgS4lxMQPUHyw8jH3UG9GLxSvNZvDaKGok8l6GAT6p+RU1a2hm1yhIhp7os7DPiEQxWhrN3WxCE
V4PI5WvLQjC6+bkI8mqAdcm/10bqXCaRc8Gk9Qyk05sQaXKZz9Un2Cg1wCNZk9u+UO5RVnber+dS
bBnt/HW2vD9150otbPCLuBIo3yCVgK0+13RqhfkLcKw/+e8lH/9e/nFsJbdTvMK6dit5MZMDOQss
daJps/Z6h+ibQlhxVR8wY2B+hlJp9gsPzeeQzepe4VZOKckDlKPBuTJFDV1DrS+Ig9EatDdxW3Qv
7HtJO69u/Sy6QNzDUuIZtzL+MpkS4GkPvB2Z/+6i7GeDrqH1yEgiZRgrwEF+Ifa+oZW9ghCtT/Gs
m7utGbcqEWEnv/UN8l0c4xESiku9tECxOrbm+3Jt7AUo/PJa9+F20Y+TwmCMor5GOxSAMiyHI1zL
7bQRzZ8FnIiL2o72MCx1fkur1eADVfMb6eL6QKshAAo2DSeTh3SnSeAS6XrzxA3wETgUtWOZh4t1
4f2AwCSC6/MFG2mQdYjrI+7SUjj+EwRwBB7oECRV2Hc1CI8ebA2idVC/J9FH92yoLEsCZFK+yaos
PmtkvK6qdqu/oFPJizRiEyDsLeqRlF2RgkxahKJPSPKarwuiv0j4rjCfkBqzIequsc1RJQw1YEIj
JEKOjdwan5Qiwnc1WiSTULeI4FkVnB1JkYdL2tlYfDbYseYkt72vLkHuxne0N8PnkOfLKZ/L/D7y
vXuGS6PbBCpyHaU5waiJRIJ7wcODZzxxGOFxMLVlTyh8HLLvmgzPlqJaTnRYnhMwcVRvCUADc71K
h2RENeaSJaLvGhTkRbvdrGiyzlR/UNwNfavflyFp0BqMVaMy2VbkraR9jVyeCbZXChPxaPjahciY
sPEe8EXzfm5huA4S8bAd0EPkRQitPmzC5h96PhosB1FwVPFD/bGTxWqumrpxTxOc0T6LdMdfOjd3
T5Vw7adt5qD1S7AooANFgdi2DtoFXFdIg8sGgMZ4xR03oB8HWKw3cOFLl4ETg6yxxZ1H7ELnBR5u
Ui5Pc7yht6zVEj0ibofKC/eIazj8GxBw0ESjSuY5qK5DTPtAuFOSfUUKr1JuWUvSGpGlt7bicQDe
qVJP0DD9nqnRIOAYSkSYo24MDWzHbupwhwn+P1pzFL3T9wK4ONfChWLBB7CZVQDkHrUy7TtwVRWH
nFH1ziQTK+yYVl7NX3S3bXewFc5RkqWMz9g9qnHaSCv2piARUiqo1dF+degfRdV39yXcE5HFzBW3
69qUb+XSv7GqWzBmAMnlPGgI4BP0BOx7e6DcGnwpgmWpsqWy68Vc+vI5sviT34/zf0so/K9ZuERQ
5f514XJ6nV/+XLOcX/NbzRK+I1LCXVNwf0JGzsbP7/pfTCksRgaBEELgWRr8tWZh72LIgjAeMeaC
0QjlyT9qlvCdICHEcbw0gjEIb/LfqVmYPAvCv4v80P9QK8UxljF8TnU2WX+sWda5dIvEtJEMeSFG
MjpLMLSuqpFnVZO0TYrTZHwxvVmC3egjcRdD7noreswTwc4+uKPLUejOe/Bg87WYqL5b+3J9avlc
fcPcgfwlcuv23reRbcEXACskbFj2o/LxjQVv6zNWyhZBxdn4VDhZXYE4mR+jMOoOBMmhCxO6MusJ
hHLkxg2cSTPRved5/nUAef6qMKtoR3M73rYrna+3YiZXQSfW2wGnCELEyHUTreXTZKXcl6Xqbmcj
yi8C40Tg3q/zc0jr8lb0vUxRQgFoLinCbInWiwd8z+ipFMrf5j3HSBQWl0h5MJD8UDtAwFebS+el
aS6d5tWF79X0ujCtdzpi1QcgYkD6mrH4vHKLCSxFDrpRMHayXSseqgp6E2389KnNF/ESNj1wtn4A
9LNB2Ue9GIiPtS/ptmujoj/O4cCuq6hsHitAhhUQPTEgJ2L0ocYMoMtyHsVVUEOq1YxDPhgW0r0i
jD8hvYRc2g61MSY7NEhqPoRklKeilJDybBSsd6VtHdL4mHZx8lqHd1Z2CPtqzJHK8GXRq9jV7bVf
lP2mLKLTIDqa/BoZ7vbQwNBAJnNFYjT20Q0trbkREfon1K7mU+e2CKfA3Hwo81mBTiUYTNSCYR9C
X3/CPCd93zZN+w0ySnO1xUV+AFuv3lhTO/SRW7xiokFdAY7uOvRqgYgJ5gaE7gh2AbMG8ppcrjam
l2W4sUcXYP2meibdNaKe8SVTzgJNdO4RX0QAbnkmy0WkwvAB5wgAR4z04V8hjsSPCB+UINCmaOhT
GkN1S3GOmfdk2Za9qeRwYKZG/CRCmJmzRX3stIU6GdF2e5Sqr+4xjcffwROF/lF3UjUJIMt8B9sZ
J8w2BiDVkMO24DgV5tUYMfInpH3oTvqhu3arbi9MEAMp7zzCSphLY55w96EPIk8/2ESrdURAmEX3
BjBbIpZoMxjPUdZXga71g+kUxyirQMJL9yEmxTCMv2mv2mIJ9ytC8R/iKVa3CpoEFg0YFuT9+jO/
zPktm4i4cF3VXHsc0aCkJKcXirOqRXwrWjO6FMVF2BXzTRvN6ptCVm1fayKvN68pUrJMy+slxxJk
uqI0gUOJ4IgkQL9wxdqSsRiutrpBQ+ICdxwgBZ2CqAmvcyzr8KoPEUzcGraxvVpJVaKmGvjdEii6
E3ERfgs7JcGe93i+95hEIx6iM+aTQmKA3zBjjkx7BaZ6wteENPdzAYK/SAHaI2sTGfeJNRgXAMSl
m3KwKOGMUzhuVhyqm0cwbVMzhqq0PT6vBuDzDVNokJVp19g+edeYdY/dQEZJs5br5xYRNKDfc8M+
doRORzLlhUoaXPGl5+XyIkXQvrKeD+9xu/UFxgKVQC2n/OgRWwY3UprwvkA4JcR6HroveWCWa41M
whFtLN2HgRafupF3c0JdOHgAt8B4oEQDT4Lovea7HNJrWjYNP8ZQUg8Yj9FeIp9YpYCRumwAZw48
3dYLXFiPZIRYnl0UFo/r0KLq8V1/WmFfXDtW8c9rJWnae+Y+C2bbCRj1KqLnykMNy5xhGPhVe36G
p7sl/ByhCxiWFLjtELxHbtqg0l5NiNEIclkvRm7L6gY+B8Q71bdNkUkqm22nkPswmZ6i5mmeAlTZ
ti6QEmjA791jxFV3PQ2rKTOskenBoby9M4g/QbzLq/hD161I3Zm1DFUSACldsa/0xYdpQaWKVF4z
7uKSV6fFTH2M52DGPtR3qrrLRxa8UrQhI2pDwEsZNGU8Pqh1xzuMiMAMqjHkB3BkEaYRDbkFUqef
UNare1mWbY/LynHqVJPJMU6AgHrGM+fJOV5GlyOfaoVyns36Npcjwjbgri7VMDa3IUJBW+ZR7l2z
XNboosb2wVtKDw1UwR16arHLN9BTbKsxv6Vaq6MuIoCiHHDnVVCBEERwcj2UkaSXSAeoy1pUgK2D
aur3FlAfXqgx5wEjHUwmcyeuAGDBWWt7aHeOIR0xYtTMWszozqbGHQSHsjfN0OOTcKDBHpunvNIa
AmnRldMFmPn6YMoBFXfYDOFD10iJTnnwfZ2Mc4tsTMei+NgtvgsOdbNOGpM/pgqzIhAHRkiRYPIg
GG9i+4QPekJjzoZhp1BiIoA90uZWI0/4qVvstCXDpKIV0aypeVS0b+5mlAB4vhaCZxQ2hPH7oC7C
J06jYgE3aySaFExsw3AD46HpyVp9kflUf8FX2MVZU5YWe6wHy8ZbKBNJbPyWgXnFss2bqb/JYwVc
18UTh0fS2Op+LFfs3LYmZIfncesueG3IRdfGCHoOOe7nlK/uadlogyFBFXxD5CqG1h3ymYR1hlk1
OHYCjJNIiG5QZoD4S4FDL5dig825C4ljD85i/lYi4JMdMZFgDDHZycDCCkCCpTXGawH9HmPaI4Il
tc0wbcfe1M3S31WIVwi8/wAeGP4ElGAgh+egwzDjIPE2v+tEB/izXuGcZiZYBpViKJJFi9zEz5g0
VX/RJa45LIrt7UwwYaufMceD+eUwCRI8bGwwQSoDcO+J7tfiWm81ZpD8/1LIU1S2/7qQ/58Y0omR
ND+O2PwVAsALf6vm6Tv47lydtUZwKagZfq/m5bswQhVNGGd4HXyff1Tz6h1K7AgVPlVUKjBn+NWv
bj5/h6mYIoqBM1GU9SA2/p1qPkSf8WMxD1ogJhyfAB8An+SnYv7/FUgURz92GWeCE3UKhRgnBYGP
RNHP/JFwmnlrw36wUTaMbZsfMX0CwQ3j/Txgc4iHr4p4lEyYlWVPK7CYDHS7OgEH5teqUwsqpGn7
soElvnZdgYkmehPYE864f1pvK4wZzC/jH7vcwESPLSIuenUGMmobDm96qaaL1RfxLhiQ2CWkFJ9t
Vw2YM0XdQ+gD8jmMESEwiK08cOLUDlFGvVdjvsKjXPVdGWDuLCwqUj6PmJiGgXWUDB8iN2NeB9JI
Z5tJFOMd1bw/opei1/1WMwFDJ4Q5hWA39mEU0OD77DhP2w6jSfWOwDW+aIDokH3vO+WSPHJ5AGDO
VW8w5DuSTuUwrKlD8v4S/kULUjCX264DsYSC9rtiQWo/YwhKEzU3Y4S5rCk7yxudXoHjBwRDnlIb
6ho2FBggl81IuNNTvPYw+QZbiBGqVsODS51H05JJbqvTjM3zovpFZPkuuCA70H7qzyoM2Dp9H7oC
ha4W2/gVvS7GfuX4oAE6lqAcUuyf25ep0AJj4Mb6sg8I/aihJu0nDDi9wcQFpAmoiEIYxqR7MWJw
CG+bMLooqKP+Mqjn6j0imctROmKeRW0rjGCMhEeWazmXFAU036num7e1C6r3biinGxqiKkMCBulU
KNKvABCnKxT83YMA6iQRkS3r66BqPdtvk7rBPMb4G4ZCkWukmYubsOVbWszc3y+yq977ioQP3oGV
mCHtY44KaQe895KD8sgBg3wJadFjZJ0kb+PanOVzjKxKMVsz/KbGeExpOfmTUrnGsJ549k0a5UV/
CaoWQ0xUtU0Y2OTi/EE76Fg11Uh+VxuO6rVTdYXDFbs1Rp+26EIaGeEYn+Px0o+d7s94rL5yGGb5
XmDi1l3bjcjuLzDjlNPCJKupcQJ6lPnl5TCSBROsejQlmP+Ifgi5RTn5fctH+hoV4KUlgeewBw8e
nKC7um1XgmY/TiH05cQsy/CK9Br9T/bOLEdyK83SWynUOwXOw0O/GEkb3c3n8YXwcPcgeTnPw55q
Fb2x/mgKZXi4VBGl6q5udKISUGZCQsiMZjTee89/zncesJBL4xK4B4iBP+9Ll0oS2SZNeeoEibhV
J+fE1+HDER+Fjvfc1k7w6EDNfNWktj+XFKd3s6gyt3g7xA6AZgkpt84JmMc9+4lxKg8BIwnQpcBP
vwp10m+qoTLAUoZBftlCq7y0xrI7n9tyuHWsfL7D6ObsFC2w8JQmWnM+Sk5yLgatvJOyNu3dsJFK
sSFh0FzrsWwm5AKTuHmSguWIFJKVPkSpRlB1is2WfIQR7wyjrldIcBB+JqN/YYwxeaYxVxtya0xd
1DkxuhWKnskDqo+xZIROmlxhcJJXWkWmMU76ymXbX/pSQMRlJZza8AFQQhxQDMWFxlps2FOELhNy
VGG4FvldMtb861K1DC/nfFS20MGMazivb/2MWBwFM1Ybi/DmMZVr/DYxUh0wppQ58dw4h9HUR/KQ
Tbp3umr2+T4nt3M6w7VbqD2jhA5pZTxJckNSdHYfCjzLPpo4LQDAqIIy5pFGKkt2cES5uGyilybR
x0NnW/UjSAz1QpviB1IjlwFJhGXUn7IRHpoQWlkE2cMVkTm/xrpQzxI2zze9UDESlaEeX/MwA3A5
wbl8sBk4EbcPDaVwcYNoXt1gYU9VDcxaKnqFoF1tmc9G3EjtUSU2+g38YjSNHQPfkHW3JsywS+Qk
YDZmK7eq0lnicu6IluzRHpSjVje5s7Y7vkQTOB1gx6o5DnOoe21sDuvetgJl+zsCpsxBYxIWq5z9
X3FgkAGs53qUr9QwYG+b4EQRoSavJyw/j2Flql+jAWbFz6Aw+Kja29mIFDy5C+4gAc2phUm8kzoT
Z9k82ZtfIWFqBK1VGXPE/i/AwIC266Cl4sVWB9YXFoJsH+WTvBF536MYRPHmRHJJQsm+EHbw3PUI
IgNP9BXhMxXs7rDrouHCFCngMmYq7tBhCLah65KinCvGLXByyxUrDz8ssSTnwcOu58hQ3z6xXMgy
8JslGnP4b4TL/3OEizqCRTXb9p8L4WKCYl4FCYnTcsnL/QXCBaGzvJ97wGD/1xEuSmpsMq36TyJc
SlXG7hJ3Z+noeJZZZd6vAC6YaKAhV3F7Hf0luEVqIZuMtvlzcEumdztcuOfKPNxGTkfKn5E220sQ
+LUFl9tQGz8mJLmTYFyjBzu5tA3TokLKi6tLkenaFQPyGYxPiXunWHap5qw8zkqn3xDHkw/lwhcW
GfPQwmHXXNmQ/sJe5+GZp9qbjR/LHYWIjmqGRcgKYmeR12+TNMEw1GEd67UhsdwOweQhjENgSw2p
ei2tJHa8/eNAvPkqT+2n0F5o0sqo7zVL4L2zjZLgMmnWFbl14VWivw8Cu5ZdSQ+GC6Ms7WsoN+Gj
HqfBdaS1cIx6o1T8FvvFJmrzYYc6pG7yoYYc08JyUh3VmqHEoU7BBIE1VOiDzHqSZG5hkk1fjUDn
pH0cEYt3cTc3XmBZ74whgOppw+UoN1963WJqGdjVTScPxJ9SSBFsVoQ7KHODTxhaPPtFcGvCfomV
Lt6oWoNSkLCnkUUnQ3EfkgenFeY9D+XRjXTlWDjStcK28MFqq94lOY5Dupnvm6aA9GOA1u7Vosck
6NiwI/SLio0HDD/5PhciBSQBREVDlltHrM9b3MnzKqu1ZxPrgefgpnGBFKQHE5nGQ4JCmJRIqUhW
xwqyuCISLBmXChy8VWXED7jSbi1Hwg2BWo+MijshtHr1pSlagC1m2sU+sH0Ye3NL5HsS9q7DaX1R
2mnGK84RelQ/zNJNA5D16Nja6GrDUG2TGDIDV95cZ9BpDplmw25uuFHzNHQaXkcZD20xq8eyjDtI
3wAtzuzBgDaa5eI6GbJsOxZgZgx28e/kaYfLsFKtYRUasnrDrrT2icNmXlKZHCamYj5tfKuLiOPY
1tEaxksjmj72R/DGalrUG4Kz+cYkFfsMahATtDoR+ALzUgGccmRvYqW8tPWw9luNYcEKj53ixe2Q
vZbYWhjNdKRewzjfOMJoLuO6BExYkvteiW6az2pOOl8YBmkoQM2cunZBkQX24nhHoIBbSZ4oPxiE
1B+TGYCLwn22USutOmB5HkH7T9Vrn1fmwUIsu7TCcclsDOCk8hhMh6w7Z3oTdn4ZBskj+CnZZc/d
wplw2gcDM9+wMN0zP5S49wpzHrf2EI5rEOvtmZz2ECKQRJMdOBigRZqIe1eqbALBytxumnYYOMzU
XR26mdKUNwO+oKNtTRaYZlhjD5OQ5h1zqsh2E0tOr1I9uVEDgu6Z0ZB/zMqOnOvcbSyzFX6mzOWa
PE0ChbrLyg1FGXK4KQHHPZRyBiisFsMbgouzqTrRHVW77HBXq+qu5rs+hPrMLJP56lXBxB7TDL4U
sW2EOrNDGgrjLZzq4ZB3pnNBAqp8yQammaueyHF0ntftcJ2LuV0T+Cs6nNqR+JJmmfWSZrF9VIqw
KdwKxzt7ol6MK1o7MPliyHrOmKM+dbVeelYegZrKg7nZlXYirYVtt+c28vg54NQ6geWVYe9NyEwc
jUotgaVh6JwrSglqPUrWFSkCP2qYQXgkr+TLfhiB32MFilamHWAMr1FPJY49GI68omm01zpytG2U
EUr3WiXA0ZpnIXrhPLTn6lDKD3Df+wPENGub25F8xUNWeZN5z0eDj3WX1A2tCHOi1Z6WACog6R9v
dGVqn3NmJSlatg4/dYoj/aFT1fbhgwz3F666JYT1fT6NcmQzOTBN8jGK4SiavOR0P0TB/itDaMTf
SE7iGDSh8mnKp1cWHDoZJ8A7GxX8r/UXMZ3/fS31nzk9pfKJ/URxrV+6178yT/CnvsmtpvMbwTyd
jJJpEzE9lRf9YZ5Qf1tS4csXtISjF6vlP7JTeEAXg4Shqyq6o/o9O2X+RshvyYuqtk7818bs8Df8
nqq1qJbf702DfLhFKB36ErImWVv5k9zaq4ZCwwNsRkVHgPT1OcI2jwWgwJXJybORjiMIyizYZbk8
Am7TO1o49KH0E0sr8AEW1gwOrZfJhejliGkuLYynsnSy83wk0VRo0bQd4kq9ZrYcuRXSqqsBHlox
uBghq0GWTzEwH5xS097KRM2+StLQ7IPChvfUNmD67VF1m2mKXaEWw9J5Ugd+OM9CWyI98ltrthBS
c6N6m5scka4P9N2MU6JYls34DodY9ZJXIFoDywnPCQBD+NaD7ksjxYM7YrHzuOJpk0wq8+upGrBP
JFaebjutirYq2LJNoKrMFlt84AodHBdR5IRnMbUi7qxbAU0tU/KeY8S8GHuT4eeU5sFxDMPYsyBs
bZmwh2c9DRyQj4S8dpLKAutAbCHDZ9jOl5Pe5seiMCwvEcp1nTlXtdH2zY7sUHDVGISCTtexVk1Q
Rxjl+gRGNo6qi2nMiZeMMZu4hiNsj0XtDRe+tZXkVLmaVRvRTjNs/WU2Ju0NWXGAFtkyXxSKae6h
VouXySpCwx2LqjrDxpodxODM+Sbux/qpIhV2nzHuBZRS1UCpVmOhZ3hVBzMUXniKQy3+MG0VtENN
JsoqzE23ZKc0mFSP1ahg1wdg3N06U0XMamwMh0SNlAsLK0PaAJmdmclmYcB2NE6lvZ0UbBaX9JZa
RP3OqBNtXShYX3hoqwhwspgk4n1dma5IvDoPMVuWQ6t2+lWbJQUlGkqjxWDk1fEdQUyScLoMWbum
asXQfJw3MDnKqJL2kVrXlxKohgYeZl1xnBHckgtUujo6J0MsKvsqgpn8HBVjtsOZiRkmmMx9FeqB
V/GbPepdCQRqLmQPfpz+0Co9YJFEznwZt9/GcSptLVdqCrg5ipFe2iG6mtPcOFPmrEfxMxg3s//3
U9xxiNmO8T7WUjKtcktMW5iN2mWAY2HDWqVtO1RMsPDswUKAMJvaoDRkJoxB70LWuzpjx008ytC3
tGmq1lZcLojNaAY9gEuXeHVN44fiAO/g+4CkEpngygS/qkTV2qtEnWNPVSC2T7pu7XuMDWvb0sUL
HCpEzpicxRGlzXSlyC4ZRppZ/NRWenkTkc6F96o21SZLzA5HX9lvcXDPZ42cNdc2XtidqlnBxh47
sU5UgyF5x4RzPTlR+Wpy2CHulaub1IGJxYlQB9gR6TKlYEbS3rOVqI9aOXYbnNEd5WD0aWjKFK6b
eC72zpRXVEDUnLi4mZJdz7d/VpEL8WuJbTgQH83xGrspaesiGLbpi0SWOEvz+WPi5dWEGnoMIvN9
WOKVyNhbXEM5US4LNifvRltDS9WipUlDzr9YXVLfpDko9iK12iu0f+Mmzozhhc9Q3wdVzCNt6mBN
GFJgrpuxzy6o6ugeYMYYrpM34ipZxrjGXOoQ9npHuc1LHJDpMIIQVUu+UEZBX6QIRYnynZHDbhba
yrappnbXwNJ+1IRF8Iuzihpv5kkqEj8eLGnc/P1F/P83Z+MShGD1+9nqDBPzf/5b/1J/NDf+4499
n4ZaOrwQVjmdlVg3Wbn/WJ7N3xRGoWQxdBbb30ee39ZnRf7NJnLPsglvaVm+/zEMNX9zyONTU2jw
H10BuvJ3luc/DUOtU+WgtRAVbAwFS73hx53jd0pEpNHyEkal4hpGVexx/LfeSJ0dZM7Q3DhZ3AH3
dsatBKztG0wC8Rv2PQwjhafM3PsfPsq/2NMuaf8f9g2mwp7FMGj8giqB6e/Hd6b9n+VlsE/h9Wx5
4Q8oFEHybfz4enPWGQwVg9Q3Bgnry+zjXfF+fkmkXP7iothz8QIyVA7ZYTT+8eMuMXwBiM91FuM5
2SUd0yE7KOWXUMknxrTd0DErtBp1srf6JLXv5cn+XXRztZXYDNxhtUvuaDazLnpiCY2fy4b6ZC8+
chvTI0v7Yi4XWd+cOYvjHAAgzhVjlC0w686g+eJkT3emKbyF1R9dEt3Gvi6YbtJ2p1ex5iZtpOMA
mbPqNppKzizRQF6GTKDOZIdBXOzp7K5e6XcUl0YVSI9hxnHbZUdjJ2Tbgui2JAGiemkbJ0ze4IEC
CR1HtJBRgdBvi5IVlYQ24Wayv4t0EqD7AEpnTJsw/FV4XE+SvumxRNIHYmlhthjT++eY7DiPL1lq
n5Rs7L42BSwzfJnRerJjiK2wHrJLzQlKuhUYC62aKQsvzDLUbrGUtE+llVd7QfefT1tF6nUU8FxX
GLEeHTLcl1j2FD9QmfOpMexLAaDzqWV0ejviUN0lQ5rtMJmPDI6QdK6RlaQj0qJNjlyi9CTTo2H2
dYawmccvytHIpWjdGy4tdjRTgQ3fS2Fcv3C4JkqP0hhuRM92wh/waj2VdgZXHj9cc672Do2chKIp
uRCGfiN3OlDlKdCpMBPpk0Enyd4gnvLSlDA4sTmYF+k8TztMmcDi1dYCPNiRoBi1hqqDLh7y864a
A8QrSlyIN5YVnzicLyaXRpipb3gGxVkhujrCbUMhwKqwtfzKmZryvmphX+F0LjKAz22Iyw65sHsi
325vmKCym1Ew2KoMxUP5JsBHdCHR+TAilobV4MmSk9WXspLHb0HMcueOBBLezaUSKSAQ2q+6nP13
HQPbYTdcpvssx95vLd0ourM4htWO+Vw5hv01DXDVnv31CJ5T2OcwvmBt6m352ihcrj5jjBg4gt9F
ZRVdq3IPd163xvZc1GobgwCzujMJKRH4o96dwAmMkiEDX5t2A4Z4aKHuubQGQSIg4wktexwLELK6
WT9oZV5SzJlRhDNIbe4jAAU7cynCYRravJ+qb2w6oDB+tWVluaeym5aCDSybCtRndTA2p6IbWoJM
XF6xeS7CkeYwDYh64SiWX9tA3E5NNUiBTUtWljoaktW1V0xjyihWD+96qanB2/7RJuPQBul9b5JJ
5sFwE54CPjPy9IvqZJWLXmIdkFjsQ7c0wIzoc5eBMOlgW4pfRCrnN6e6FxJsGEROnS6D1g5A8+WB
s0PfchBQIUj6/KUANlT083npXcEfT2tsHeQ4RIslvRQE22mUtfUwWIBalmaVcMq60W01QWnHP7pU
pDnQDyO7ZWuDOK4jp4zZ9Wz3ACLaKL1JjCS6pf2ruYbLTvR3aT5pQxt3a9hZx6SCv0DG/FujSabW
bLY4BxKD003aPmxysclRmE1ASGVKwBnKcla9qm01BysjbHtscWSizzsnzc5tIRneiAi/V3Lw65uO
75qOE4TxVdtl1J3kkQ13L06fUqVPv9r9omnRPSY2khg6vyfEnrn0xIaveh7njwnQgp1GpA0nf08P
XBvrVzFhhkvJnNpDUKnaWdymzt6MKLygy4f0URAagKKD2vIoEB2f4pHHfmd2jCuM2q7cAdjefQ4s
8TmIwm4fNOXwPtdI6vZsyrvGLFV+rqU4ZnKhb5vGkDcaQ/tkhe+S34vVZFW60jH+f9HA5N7AhoCw
b3BEPmJmaX1jmpHBC8we9IX1Qf066QFo7LGA06a1PM9t+J1RL9oaXS6iZE+hXfQZizs5h8GK5SNO
GfO8UlvltW6DiDordToYshH7caDlTwU7TM+GSPtqd3FwGBpVEltOVB3nnWlKHiNNIbiNR6B8N4H7
X5BvEPhya+yBs5Ik8ETatPWbLCszL+7m5mvA0GBwQ50CTqOwRuwFWucH9QKTKxiRhkhyl2ks5CtF
qofIa5usPq+jxLoYhVyc1XJIi0tM/KwJ1V7FMI69RmtEtBcNqbEVtgfach2ck6s0rlgx6rBnyYGr
SUfROGfHvM6qq3QxTXT5HEJzcvog98YpLi/BQsIxCZTxTIU6tc2mDjvkROjbzSENn+e6wkgBTxtn
QkW97R1aYOBfBg+D3BPZiGnZYZqN7d3tReZcYBMtrsocSqmCK/Qa/INzWw3UlI4nd4u8GF3Uk+dl
OPlfALpEB0LiLBMaE+t1QbEzn3GamvfWyUbTCr15d0qHlkYMNlGt8m4xMuBpMEM1OzYagNt2seXE
BcoeYbdM8vnWpRudZVy4tHUkESiYsgN9jE5LOxvwMGZYWRFc8tkq1yG3w224GINKGUwuJqXoiClc
PpBybV5Vq7sLTp4i7vTkYMadydQLO9s15k1m62rXv6dU9/oKzVsEG5uGRsQ6ua0X61JzcjHBItLv
HDgZJuMjDE+QmcVt1IzzXqe1UF6XCqvKLgCAfEG4L38pWM6U1STKeUcFZnoMAauua6Vr76zo/ue7
OHVRrD7vTD9u4hY19oPaCm1UmqCcZT5sAQ9jTXN8trGB+BT/HRjRjW61Uz038SyqpQ/7eC3cn7+B
P2/aLaw8aHRIr5b6512kRa8wJpsm82uPylCPWNL+NjzvXcV9KtbO06+2rUsi+/v1LuqyDv7I4qgg
yxZnjuWff7jeuAjbUBog1/GUW8V6tTLsY4V2//Or+lEn/PYqJ4sniBoy6J+2xpMt0fI5dnR8JsUb
FZheLZXrtLBuszbec+f9Yi/+4058eTnweATeZYRTdNPPB5+WTMzSRZ36lfU4To8BbEo6FZnDbH9+
WZ++rG8vRIRNdzhlYZJcrvvDpxdR4iVHUpv5ja+k63iLpOESYXjNMlf2alfyfnV7fLo//3hF6FBI
rpxo5E+vKPpm6Pgxp75Ad5J83ae+1YXI33qBspF9en08y2XhHf3Ci9bMhYNzfS1v6Uf9+aX/aLT9
8/v49DvBG6RhJ+R9EPghSEb34Yp14hfHROUvv0gYhwDdDB6pn7N5NUpUiqch81tPWTMl9JMtxvdL
yy92iq9S7rOydj+/LuXHB8C3CzNtDua6ruIh/nSrktFvC8XKMl/ftLusdMXa9hpP2jj3wRdk2V/c
qQrO50+/P1RjWUXAR6znxP/p5aD3R/CVw8xnYx1u83XgtSuCGYiqHqcJ/1c8R/VXr7d8rx/uWDDt
ILl0Xq/xB3+8ZUq/KdxdfEi9bOO45GZ88xBx7xAYIqvyi8fAIjj8+LD58WI/PWzstKYjeAJbaXbl
msLlF8CNS+egdtPopND7zjpXMLetkzzTfvHSf3G/gsbg0MT5nKGIvXwuH64bKAINbSl30lxV+BZH
h72Hlv79HwXpNRupRSPwqpmfvsz/JC3zT5dyYkNai28elCK++R8v5edsyL8VWP7nnM1pOiXIH54K
C2XxGxPx+JK9/49/vX9J0/d/eXtP/8X9PKH79mf/0P8Wfgq0k99Hcx9oLDYhZR5Z/H2L3LN6ghd/
U/8MRnDQT5bVFj4Kzxlukm9ZCO03pClWYnQ//gs459+azn16tCxgw4X1AoZFsZC9yO7+eJ+YYU0u
abI0r3/svXg7b1kuVukLmML/wML04z7i9xezIIkCa2Q3oZifniv1/watWT/9WL8/R5YX0wlqw45k
bYdbuoRQPv6YdXNoYg6as9eOICzIEtFZKFnSuuxGPB510PsxHqtNQyLZr0OKPM0qib+EkRxcxHRx
0PHdVb5FzZxPCJ0yBQOkgDEHnNEnrcEvPN3wnTLiJ5XqdxxkqARVoRWOQ3ekstnZOY3IsZw3tDSl
hDEwkueYfSlIbwFMb01RKtvKdigOmr7Wckb/clnIvCeRMKqautltyrnzwbP3Xpia9npo5G6jC2WC
XxOJ4zAy5IFBDRyhhdikN6p+KI1MOtiSLG9CM7UOOIzwKs3ORGfN1J/njWWfZdDh7wzqTy+k0qa2
LrD7VD3KbPELsm6RA9sZVzLmiGg0t0qdzO9ONyo4oTml7LF6FK+wouY3Mx7juzR3qsQb+864VRrb
OjQgGl046uammOfwa93Mceamqtn7VcHEiiOe1QGoUiCprEbVZDJpT/quNIRDJjXR/FYMxTsE3/Er
oV/4NgK03oG6IVrMpNoMKboL5fo675tIWclVlaz1ujeulVHT7iROa9dgH4fboociaJUzKxehyZpg
eCoe5SCdrjJcYeuBWa7jOlE6eyWUwWUZ7boBd3slHVBe534Ln6VDRaIrh0NhGNwIRZS3dWC3O8eQ
2jUQ8/xQJ6McrEx6t58n3jBTx8G8Jm1Etfc81p5h6cHWIX79lluatC05gqVoA4hRlR2oV6XpwNRi
NEYEkNIiy0srvbFX2PRSxSWLUp9LHErjlZzWYKmpbdlKfWfv+e7rFxwp+cOcZimjTrVEmCyt4VBH
5vjGcBeMEG3oa+ZPpYeHHndWmY0ExDmFkrXvgIgwaaxVasb0ngoTTHvOuss7WEilcu80pVd1+uA3
ZVVfG40FNCmLs+BZkEX9IsJIegjVcQIW2ahfER4pN2QYBoEsFR24GSSLGy3o621aO9GzkxXUqEhO
l2nHBhdX7YNyoa6UzEWlQy+sNBz+tLD4srwQ39CQ2o3cDWDqi1HLU+rZ5qldsbIVG72eyy+5EoQP
VtcEkMHzjtFfGlJMHtlz9cxZcMjdxCw4eseRErg9UB00hiy3KZ3kWOp2WRsimTdiWDkDPzk3twoF
EGqmn09yaT11YKawJYhAzC4mMedS4GE8dD0JUynXjCtD06Qj1Bk7J+gxmzdzCZZuZc6pBmlkVlpr
jVQhXY0ZTCBoNLH8lf7V+M2WrOYmN4vkLiz5f3gcTMt1JH1JJtHleTkFSrbvbY0LzZOmv4zA8F0U
MSyplTyrw13d5jq11boCITDhYXaVTEu+n09b7BgmGYdeGZEPkiTa6JKpXsdzV+7HSMCRMwrpPuHe
ImER98W7pI7Et6U5xFenDkAXZXzptGEy7w5a2Er85uvyykmH5rVNiQLL3WgfUNW6p8q089LNplh4
oglTtyNsnxGvylOkANmkhGindU71dZCoE65EbWGBr+gsC3RnfAokXfI1dG8yRku5rTyznYpoJ7Tl
FPWr0pNdXarVAfZq5ef05+07OVHccFQKP6mt4iqAtbMhl9K6VE00POMAvFYSLUZ4oPKt2nf9GQyo
0uVZsDRrRrnLcCS91gnRubjs073BsOEMefxL3QeNW5pU1Le9VYELoGItimgboiANFF5OiLQMhLIb
cD+s84TaVN1s43WHkdHTAiBKvAHLa/qKEUXKk9aUxXyu0Ovg5wnh11LDcjGFMshqpW2fs5xASUl0
gGB+YRwsve3PW0yc7tDL+t5qdcvXxsDYg5ulrFfr5l3p0H5GXQyFUnna+WE/OtCRIipbkOWdaD9F
WUmTQsNuOx0Z3Msd5xpqh656FkA/BxviT2XX75pO5VFjmLF0VhftdGtymvfwf8bHWaq0cznC+KKF
fbEZyyGg3rCSySaJbBPGOg0RsP9YxEqbemxC3vPc1h719YY/U/Vy0NIeRYtg8HVpVcBdYx43Xder
2zEP+7PfC6OCKUr3tRRJz22rAlcLzMHn1ZGhAaj4Sap3PHWLK20kdzZ3SUM7fV7c5Uk83dcMjehw
1mZ437ZM3j6v69syjOGTNqFdrSwoIKuE2tmjTD4GOJSSKW4axp0rNZrtxrRR2XMBmqEN83KbqY5z
yHvLoQ+9n7VjrBmVti2dCqn/VFRl9pVpnUnl3J7XFlUgozpR1xHI6oArmt+o2yGcXvLwNegSrhHO
Ieu2+yo3tJ3FKoGhWuQjPVSD45taRV8fjEWC/rKMTcZoSIuwwPRiErd0ZopL4aTxqzp1ks/fkw5j
FuRXcx/ld9YU44+1wnjPw/BVyors3mxpy3VyWooExhAoHyPhxMaWGliNju2nQN/5/bLdANIVuspk
Un1dJSRRkkSTsGY4VO8WJtW+i8VSnUFYRPRKracgm9aQpCVATnXhUjgsMWNppqdiAKzMpHPwdTXX
X+0hj96npG0u50Fu3sNRKA/SUI9nY0yulCoqHraRrRCLGpNMcmmAZyan6gs9aiI+itdWqeBfsaMg
cZ/M4n6i5HJTYmC56odgZK6QDKwsMwycq8yZnadCwyAea328laaO913VhrknutmtMYI5Zx+26Je/
7/4+wgdPWsv3TaGtGzIT/aU/ANMbpJ7PJ7ygrANk1TrlZJv3q/o28Zu7XbjV/diX3HnjXMXlisTb
TvZAVXrNdhuvf3WaP/EN//QekD4MvJoLAvHTljsaplTQvskT2BFuZoebDMXVMfmfbtfI11mF+7x9
dSQF7C1BdwaCNDrBjIjWQSyuMjugR/qOIWqDUbUI6eQOzjSoppU6e5VxVyTKL07Ff5IDTh/ahzf8
6SzZDDR1MtRLUTvAG403zZ1xkR11v9ikB2Ny/ZX0UuzaowEXjbo/V1r//Es7yYs/+8A+HRucIhB5
vXxghA0L0Gau7Ofr6MLcQVa4T1/o+t10f1e0+3zNn1WIOsuHQi8p6zinQZ7dCkJZjPQhrutjsZZ+
qXosrs8fZI/TCy7ATiRd9IfPxxVbVGUy03eAiiVdtMg86349+SbS0kWybdzQd47Yi/fUhW5dfc1Y
Wd6Kzc8/6D8JaZa8VCJwWy62PXNBgH48MeWh2cfAULBUWgezwOC+cHijt6qZfqGfnRpB/vSNfvgZ
fjqbKXy2tc5ggYtNXh4pNN+ofrMh3HIcXhCzfZ7YZ4OnoY/O9y3om1XiLRLm6XL/W7z419+JDIul
9983FrsvzUv+Ur9/tC59/3PfrcVU4mACNoGeWYb1keSAEGFpKlI9yB1MSovx+5t6Yf6G5MwejGkB
2w8qPXjC/aOXQbUX7QLYG38MgM3fUi+0k4z1/UbikI8oisaFbQk+LZrJp59pTJyac7JReyQQYASp
J0aQILhD2GdBB5lTrK+jBScEl2s4tLWefwlPtCE4PMpVTMGa5tkLjiiWWvkwU0q4HtS0uqUGOn5i
r8luPFlYRjg8Mrpl2oa+d3nS7zOF2qkVCPHxWZB3J0WcWRJ9IvQvPkkapYBq7bQHQsT1m23qgJRo
C4COI5sVm79aRzmN1LzLaQsWbeDiQw0Sl0Ry/0SV27gPT7imiKaRp6TuIS6auZGq+4r9uHADTe0i
VwFmcJdkDDt9jnXG4DM9qdaKCo5KT4TO9l4xLuUyYqslCSAMG6AJ80WmQanaz0z+Dk5bpeeVEabH
bILsHE/sH2NigZQdmJxnV22kicqV9Vq6kDHsboyyrhcuQ12DyQXSEfkMhTrxBPk1g/ZQFgGENKAf
FHubkbZPwIGtCYMkTxJZn2ed/eOzEtfUElQKVXCehBNXeNZIrd+uCseJ6TmSyEUSqrT5UDtR3Bkz
biYq1Iwu9yuG5Y89o+TiIGm59t4OZX5jZqV+O9SOla3qumZUidalHmSjCgmOJLVqvND7GF1zOdUb
GX9sju3ieExGk0B1iAtSnAyRsFYxR9IpTA9dp8tryYjas2JxUVLZptyaJ2tlEnWyryRBdh6JRPG5
mdRLZQxURtY8Lessjjct8243DEya3ucsz3ZisXFi/DNuysXamS0mz7zWqxttMX7quhlutEbS9mUk
0teRrctlvlhFQ1mMa2Wxjy5VHJ6+WEqrxVxKGfkIUT3p9lYlwnvcFcTT6FB2PPoYufnrxaI6z0FF
RTbeshH2N9PbxcxqkxHbl7qVu3qstlujKY1trdY2TqjWuTAAG97Eizk2Sci6Lxtwk+K4mGYNAPqD
B3eufIXSjNU8Gca3Ji3EWlu8t/JMpUa7+HGVUJ/OmsWjqw5zt+4X366CpQQL7+LmDQLQR+zlsfga
AyWWYvH9EvfDAty0lXjBFzBsRg5kO0AK8fWsTIvkY6dXUUGhoHMyFdvVvOTfUJMowrX3dT52fhRi
dKEYVJvO7cWYrC8W5akXuJWNxbjcmFiYtdCi8K9Ss3WcN8od0oHwqDLD+VzSNsiRQLusY3vcTieL
tL24pbPFN51bve4ni5c6AkZ9Li/+6lqYsAAa2mTHPJVHaLDJ4CdgWTa9ihZm6cz0pIDmzUHLgg3Y
KQv1cXDWwizrc2sQ6aaIK3M/UR/hx4v524mq9Dn/X+Sdx3L1yJltX+W+ACrgzeBODnAsPQ/9BEH+
JOFdwiSAp++VbJVUqm6po4Z9b4QGUpRYJA+BzM/svbYShMdTrF9o5mjim1J6cWTarUM9D38/HNZE
3A55qp2o09GZi5Fja9v09VyiCLeCdCsDu/vO9R49Vpe66bgffzTraevad4mUyZHDWio7JOr2zkai
BsXJWZ6GvFvssFY5JwNqxQ0qrymOSBQoaNIy2M0qGwXim0pJ8cYv4ZCc4qkMFd5e/vRjM0YBgEOc
cTFy7RlVX+gw1wFhly08bEsB5YBwyqhNzf5rWqn9NzEDW9RMejnjPKb1SDxbHIAXm4Te1P4SUh5V
d8loNfdW52MrGvrC+zRcxCFt6+gnHiqMayPne9vQX4SaozVE5P3kzDB2jNkYzUxnmqz0LztPk9uG
VJC7pFx0+5D+ZNZMP/E1epk9kHpgOlFFnZ5u524MnE1rFomzbZqRDi/l8D4VVV+9SJWTg3hBiJA2
Fcq9J9i5REKl6qw/+To/UTtenZTdvggYqJo07ci2IYyFhJsjJpJ67F+2hskvmHCCPstBFGJjtk26
739SfSa05Zc1DdqvwSyYS1pD1+417gxGHrWZlrTjtT/S71k146FsJcsxAbbFZ04IBiKSzBuACtgg
7lqtxdaa/5DqePug1lWi6IMQkrOsX50fsl2tIHfGYFrhqMB3gd8CORwFHlBkzFt3cY2bxm2+pFsn
CHHc6ar54eiRIE3ejBG3WyZK+YExU79HdAJ6T0H48g7fDLUlg7i/Xqj9bxOP/2cppYqif12C7cf3
KftvSzD1df8owVjzBEqVbLBr/lMJxlqYbSXeKgLaWA//vQQzFRrXtyi06HLRHVDK/60C00nGQoeO
8QtpAOtraqe/oh//+Vf9oXGhBKO6AWrIT6imvrb+p+5s6gXq1bJMIl60ju61r4YoiCvLriOt1dsr
y1UKWWKTzC2Lof4Vgo57mWhW6+P/iAsClwKMO01ZxvGmw99MDtYwDXe4gIKX3gOcr5VOEDKELal8
Vmc7eyXr6MZYLgVQprupICcW+iSbkDbjB2ipOT+JBZEOure0u2jHrHrSvRXgX0U6qd8PCJjtYb1Y
gm66KhjpHDK9cLZMBhjSi4KhXWzFr7Ic45OBGnaDsdaCdwO7pU0aeTEXfX3tlo51anKnClN+j8iR
q7uxayfmXS3ogmdWSphRvmIfb3Vqj/01QFm+ynKm+7av62eN62GDrBcC1DIQCGNljONQopJShIgz
PxllbCc42Nvs5IuGIie1/VNR1B0BuGSxIIvG2vOIlh0iq15gfMU6rXPWFUYn9iKD971lngV7Uqtm
JLkBVVaUipQpcGo7xTPOLwgDAprkqll65Bo5dNSgrg/6Qi5By6jM15b0yIfsHao0HTmYZi0KdMzn
VkqxZyGsIVweg0A+SeOiN808aqQcfyV5OTz5ZB1tENylKgmcPUY2rUm0Jq1UM6qOmOG4QHRiEcbL
XbZ+UHcad07a1lf9AFiwGYR5Yqg6I8FFCg/BstxXgVVCiSKfuW6Bi/KAA8iySCaZ7NLjFB3mAwBc
RC0lg3yGizB+mBiE7UpGGh45+xT0UoYu1sSwhdm4q+N43QvmChubxB2EKbMbJdCaDiOu/peqLtNj
PYoasfBAFwoj9+CJWH+jsEBpzTrsLGwWTBiO/bc80bt97s3LoXf9jOvJyPeT3fp7SnxQ8+u6olRb
kI0bWnXUC34qnNnaJuO15ndTodn6yBzcmNeDG9v1tShlDJE+dyL2XCx0ePHCdipjUP2rt0tkUm69
ceCjHVk0GQB8mAPCcEVf2obzUmPeQGPUFCLfkiddR0aD7ztFLJ9Crw/5Q6PlrmbtlfL5qegLd9/W
5JzXpeyOjjlyuROcdVk3fXz2eM/oHJoyMvWCz7yTQ5hCNN60sqr5aPFHA+tOJgIB7PJoJqVkYZN6
dDFog0HaLg3oOMYZKrHzZbUnY1u4+CwxsIEZtWBc7fq8tK48Jn8nS3PnXWsN9f2S1nNEkEO7B2vl
beBzYWUb43ifBE73sTYtjKo5dlkT1c3Bz6iUeaS8q35yzJMlXOdIRRiYm7RLjT3lOKHM5HyzbDWH
Txep4NYYrOIwaka+q2oqFhhE6TW7P/B1wq+PS+W0Z9/1JX/HnsGpWckL9CLL1pBle+ukrBbbrnEO
gYbdrM6Fu1d7zP2UDhXsrjUGytxCL9x0lYyfjZ6KqdT1wtro2OG3qPmStwqu18OU2OXD6CHAEmbQ
0eyxutj0gAq2NVavrc+qaW/mrAszc3GemcrIa3oQn+YBjfZQVqw/W6N5g1LvRRWaV+TfPlB/NzV2
Yirat7lfG8QylYn/3ElZi7nD+AtWGByp1M9HJIq6eJnTMj7Fdh//0qyhum/5WLcVm59ni5z1Pe0P
h4qDPjwaiE4IWw7pB1T09r3qWm8zWoR108jSP3kEUlwuxkKvQafKWgU1u5ce5qHqL4bJST5TjCPq
QS7qY0z22dVkOW2E+H86we4kGrqa82OT5eu7SXAS1H+gAUVrcpyjVZ/JpWi1JxPp9M1EoHcZ2ppR
A/Motau489avNc2b0G1XgtchfvsirPuAXtaEIJtVY33RMWB/dA3WMVCJH+npiI1pBKTXAtv0nqTD
+HZdCgejHRPrTTLzccgV80zmauVrF4M/WdEAv1gW1OzZG/xNjzjj0KCZuLbKVt9rYuSUHV3BMGA2
NK6oJbAPwpBwaCynMtAE9yKmHflBQHsk2cOJ1lnbsZhcwbiQJF3A0GQNG3ufrW/212h00wNUjTkq
RM0+o1XU6fUHQC0Vi7qv8wWK+aRfE3xfYCNIFu7bH361kad7yU8KnhusHKMZ41wHJEuG/UoJG9rm
Sp9blGXBgkkBy37Q2Iwaknu0JvnJ+0Fnd44GFBBO5V0yD+QyaoiAoZWQ3kQr7hZnryT+aRMYVXPl
Jz0nQa1nT4JZz5aFlLyBTAHEu+kcNlI/aG8dGlmC0Rr+YK/3CAxYScFH7BUT3GLNdWf9cMJ19i2R
q+jhlVu5N1KD756xjKKNhDLONr57qAI5U36mbvsqG/AtUPWgcLF6Dc79ONu/dDwuWHHASNznRi8P
zQ/WnC4OsLoBzaOvYvuwZKTwYIx3zrFd6DkBJ6DRA27MY6oIyvpARCFZ9tMlYfM9NJuZp4TfnUyS
vE2TDd94nsJVQdjryQ2A6QFmLxWi3auz5K5T2Has7MvLrElYzbwgRyqO8lEEtXkXj233uiR0G8LO
u+txbMzrgFv4HKeCIDsVLwKAJkNgzu0OdkxdnkSoWweXvuuIAc8+GPivPqxgNVgi512218rAPyJN
MT/tunDeHV3zUTOUneTewxZU2kAwghR7LGmHlgsEZdHyo6Zn1Adj5d9owqoPc5EZlyBdmjOA4/ka
6G79UFuiuwxiJwMMXuIu7pUZumqJRaMLNd1t31TN6ywzcZDQhgiyFCqPr/Rh/C2aP98D3LexkNjr
rTelzk3reX2ocp9mnnnNfbY9KXHAOSMq+KJBBAJ9mkTnIYCnZmHaXscGkE5HkABZeFmYuv5yAwsP
8EtC4sDCchDc308QgacyCdrCTW8kcJUny1YCfYKvP4jmsS9qXfSnQi7uM29Auu9U2oFTzcbNknYD
5opxuPDqQtwEKh+BXIrqa1WZCYIh+M5YVZCCvRpyu5j8VTqZ5ufVS5LnsmshUPe2BZOkXEInU9EM
sYPKJpqRbuxWRMD3xGu2uMCWJAirmiHcDNv1UdDxgUCRxQeJa2KnJaRBzMmamo+LOWmjv20bx+cw
om7auNIAlxI0yYoA3pbFptdQ8G9yLSfds5iRCoGlzLY9MuaMBjBJ3/gO6weLtfUOc/z8wI63Dv1x
NCKPYvqYZTVJpT6UvzwuxKkeRsRPdTW/tHLtjrlmFlxu+XSmiFaLxThJjisyF96oUo5XbSytd4ML
YMNYnwnEOi23jdEwcJJeA0hdmjd4ped3nIcpM6ul22qUeGFnjtbrVBYy8nNAnmUTpwc7Na3d4Ivh
tFJ4fuW0PkcmMMbtOq/iKhjz4mq02CuV6hKYV3iOMjPmm4FUuy0zsIx0hiS4kZOPBHWS2TWahmWX
OwIQywBjNoTjr+9Fw2UxVYYZ+l1fXgSLvd4PIDxvKa/lsUkUprKLhxdj6qZnofIFauoMluqVBh9g
rY+G9NZ3XEb1NTPhfKuvurN3icW94daDwe2byTssh/yxHgwEVkaKuCdlKDC3PqIaCoS3dZb23gVp
hKkvr0jXlfmVF7vLsSl9wDVkUtG4NCSL8yqv/myHhmY0sCqGNTs1cc2mul57L0oMbSh2BmE0NEZB
X98YXpze2l43P/g4HjwYlhbE+wZY0mYUa8wKURCBSIGFI7KbYsA0+IVYyA6FMoQHSkc0R33WNLdl
K/2Di2Qiqu2xewRAMXxwTMw3Yk7k3umH4UVbq+B5kJxMFo8OmnHdvV0JJ7p3uV6NcIQh9VHbQXLv
jLO7hQZuPvvaWH/Kom5P+lC3X54ZB29BMpKXCWAc4AVeKxz3GjMF0qguiKN1r3BvWu//v8wMHJZh
/3pmcPn+fxgb5Jng8/iCxj0sx8//+7eFj/rK30Wnxm/ArXGco/CAqRb80XRu/QaqB4UznGlb7XZo
2H83nRMd6KiljuewuqGyZZ3yt7GBof+GLhpyN4J31Msk+P2VqYFay/xxbeO5jAyQxCI41Qk6Nf60
aUSiUdaAWZJtI+7jYgz1Pt06tDF/+GT+m22/8WeeNtsG+ijPYy4RuHzLPy2uSw8+PfrHZCuHhBo+
gVFs7XwuxzwpYbpZ+zhZdvHEZrX+H4QGf16l/vk7/2ko0gTJinVyTrazcdkPEc4kuHyYfP/9L6j8
E//4GPnL/en3+9P2y+Avpmu8rFtqjc0SkdcVBdH/tH7/57+V+iaIEA3bIxMGx7r9Z7QU6x4uiTkA
xL/1nHrX9GKbfv3734N94X/5TUyildjk8WgBuzHVP/+D8r7wHX9xmABFupN4e/TPu27qEGZSk2lj
yMwFBnnObmAjxlHo2yEO8jfS46qLorK7X8nSM4vQmUk+CI3oiYUH79KZLfObeTaWGxqsK0JeYfjl
9bIeVocD3ZUxULPC65Mbl4BjsgqyeL3ySCt5RQCpvZDzLC7H2MxOJiBfEGZkVpJEYnkhBZFx1eda
/+mOHahA6iNlp4TwcUOg+LDvfLe4rc3E2Q+mDwDWGhfUXCKOaSRXxd7s4rIkOGcemhPe5rI+xLHj
vsnKNJPLykGES0zKIkX3rfBh/RZm+Dw7oTHEJaFrTm+EVlXOOz2IY3jDtsx2XM66sxtGmoYlkcxu
Bzc59CVPdZWa+kmsjb3t4OOhKXZjOhrynzjPMxZ+udFp3YF4Qdjk3P5oR9YCh/JDp5kTfUwa6Kel
1+1mS12VeQwQ0vEom8LtGEIHZHWYAwvVmUXHhdcJCfQaqgrVQePYjyZXxxXSsyUkQHp5LpxeJ35e
s5o4nJn5fc+VRQiJPViHJLWKPlw1NkCkl0/TSjADsjbuPcYQZWXtKH0n5FAWOrCRRaixmTUD3xbu
5POSTslbOZTNVdcaLDCCqduXc9ldTrVWXBmFJq/9OK720mzaiPq72TVBobOpEVVYFfoSFlo+bv2J
YQdj1J4lXkEwqfbpdIy+0TLZkda7pFpBJ3jQEovmXZrysslSbbcwz79ktducidJdnj076c6a7hQX
MieJZFNTVuWKna5oUaL8LPRkuNDsZm0fTHjnh6Jt8v2QTx7QJRd1NQ8df37bXI6+3oh3Udf2gWWZ
jGxEw/dFMVe/IFPHx7F2s2t4LvaHTAdwxPCjb/CyGHTmlbsrJqJVQ4e2+Xa2JhF12CDb63lMbFIy
RwMvLLPSIZxLh/rF1kvE2iUr+6tqcWfjpFckc238JXU2RjdhRLV1/V441nBu6RRo634YRA3NzZHs
L/sXldjMJDEoho6FEhk4aCTz4MMBS8Tfdhq85egRsjRE01i62V56RW9upLlYaCEzaoD3fpqH4TIf
DPTvWFubV61crT7q5sW6iQFrFlfDECeERQH8KXaNlbPvqzIi0Nkim4DAuxUme61Z5sTKzSvPgZFB
CJDjSnB9H0R6aZPu6aGgTEAfhRbjjuvRthm3wL+2ntuOJExSd9Jrp8/mJyZm5i1MTn8H2TE4gSDo
bsxgkXBUE2Jx2sYah41h8scMC6I/WWD1FqVVLFi8hZoZsLG1MieqXQ+DwJQMy5035MZX6/fml0cA
7Wc9mOQegbZCFWkP5MGPxYIEOMtOBiGi+NT0Ktil3TiTVaibg6KxKA5TSvSjPSHbZuCtsKha9mC4
ayN2yZA5l0XaLEe8TD3Kyzw7MvoKDpU9LCkeeqcLfSemzZX4n895sHpfhqYDZCR4oP6iVf78Ocj/
kqTmf9umxnFUpOC/rrjC9/Lzvf9jtfWfX/F7pWX/5jIuwIn7E0zys4T5He/jsIUxVZgHEo+/rW7+
bvDxfNhSgU+uoc7z4FOa/F0i4+umowceqhv2KX8Rv8dX/dPVqnwwLroHKiC0Moh4dFUk/eFqzVhF
mzbZ7VFZkL899Kgz4Sp8zn3wJgz6iT51yy0KEG9Xkg8RFr1bXphw1LZwDfTTClBmFwdlHbpLkpIi
PkGHMzP+55g/chNMjxg46iufYMJDOWhnYnk8DiH9vRly65p/Yb5fq1WE3Upsbe3fUaUhXdb0LuS8
bg/ljNa3SLPxGr/3U5tNYHzNNmbNACDBCcoUEG95l/nFnVNrmA/X8tfSdoh+h6x6gDbbHSuNHUji
YkqcS/5LjDCiry6zxemPMEMOXbu8dhNRQUapJpZtc7Ya/6jrXQ2FGcC163TfMBHQmfjVYyEIqrfI
Jhp8bvx8Lt5o/8mQSoLHWQ7vjkQ7LlNNbIQFLcBg/Aow+dAig2ZiVhML1zo7R2cwz04UDtjMRmnw
mMcHcf3tDtUNQ5InP2PwNybtDroNp1QZo35NhkMlndMi5XlMpveKU9kOtAtLaB+O2+/Qy+9ZUg/b
cQW0wA428pl6byTpHuClmT1YiHbB9GRMoi0kpWAEGLLCgRsD5rD9pV0GiOR7uc8TiIS1j3gwrn03
7MGoEUTHNERKjwGX22x0h2/hFTE5gtykkR/Iw0wGVw6pjZmf+audJbWBv4vt8jlvWxEljcdW2rDn
bcsQKNSq8VhkYjmhOX6IST1sujo9xLJ7nOJVRLJEhMON/QIcjtSzwjni4XnWZXzpZsVZAFSNjWw8
aL572xr21xzHRzH1j5MZny1PeTuCIELD9Vy0A4kVhX41l6nYdItTh+tU2tea3tdns47bKwYX+qEX
EtWFdco98kQIP76ecihp48BvmwZxwF9QGlvPz1mO69mznqxiS/L1O3kQDdHARnXXT+mDTgMe2gQX
kFLlPnc5PGe1lRSLY0bONOrvY52uOMBc9ivF6r3WGbuNdmRDljAOuwD0bEbx2PeUZjrm2Wk2NpYM
CI7EeXbZs8OPLIsInFl30DF4bJjyoLUPjtA6/n8IqYQPEgYMs4thR/0VGBxHGTOUbWdUNn4r+MYa
GnbswCheCL2It2TSMXF1S7ktA6Ja0rx+6xv7HazTOWlSJuWElIR+3gMnJ1JyU1s5uA8V7lMzzAmr
prknTsXdZC0xHs44fNh1/K0l3pfZ6Tgh3P55tNSKx3P8aEIbiBwZKFQO4DlcULKo/QWihYLtGmN6
Ev4SEtRgJ2EqM4qLAo4JQo/gPnPr4nIyYC1NIAc3ABU+a1eS1KwvMKDJ097YTlc+MdpHkFG4D2vC
J1UjLOLlGhjtJJkWWdCXiUDUWaoVJVHpPT9wq6VNyBW7MoYztEiXWhMNeglraFKjOJNvP8oFrngq
rS1yoxvSKIju68ZHh6ounJim65MuD3YCpKgQ6SHIQYXEa3XlJMWpGqW50QZyJEkt+fAWcZHI9Rin
WlQl+tkV9gObWp7senmadNiVruCRSdmaUb0yDfOyExjNuz4L7uOJfD45MOK1C6wMXDHzlrUYGIkq
7nZ4LJCODUEoQApcFP38Pnost/RyiKxqICCNqdOpWpt7wCfklhi5vAuYvnAwpcNVSmb3ppiChijX
2QpT9GqMzu9GnG6PWV9SfxOwHXU6zPSlbdmYBhIyppAk/bgpWJ8FLQnmJrGpGDtthrbvN9VQXGmZ
me80r7uM1ePPG+8a/RaMt7EVOisBnA6fAe0Aq9/+ObaUDrC0vksPg485PVvJDPBgfU4zZvbkSd6i
7hGRGUA6F2W/ROyH1hAwFwuKHkTzQpyPJlLS/MRrAG9+dsyzPdqEcLrWzTAJDCC+dsiG6Wl06mNR
94+im+EpiIHoHOl+s7jtN4SS78W0IkwwMC3lehvNMb69Qpeoe0S93Or6rEEQH4yQTL1zjt+MFWbK
SpVrQmcvE3plz6ebFyMKPOeRNJodagIqtMSKAs3Uosbo9NBNm2fmwESR9ugIOKtI4BuAk2LnY+rQ
ObceWR+zYFvE0futNfbe9sRlGrQfi1vd6ZVxCbToFi1SFa1G9zUWxTfBtQnWxDkLHW99hgCC1Mwm
IpOkRnSeOLZkX8vDwMi+8kpnx03VHh3fEJsgs9tjyq0VVat5HnTpHGTOmzIa2Ztu5LcavpldUvK7
xIxESHBxN7EnkXlr7bMhTHM3CADkscP82XTzIaqILtaq5dlCgRZmGmGkrJuJxW59bT+hPNrxET5w
6t6lGoZJL00fVm7eZ0IF2p2vyPJLkW0h3XGPY/VBX7bciqkl9g96937NJm27ptZ9Vmj6ztLRdQRi
3M0w+A5mWRxKksjDxp/XkBx7fLfARncFEWohwe55ZCA/jSY7+3Jci27P3U/MDvh+aRFmTLciO7fM
beCs7i6u1jYCFN/x8pE6D1g9B1w/WTuyV16AgENMEu3L3PWEA+TyFQOTvFpsTV5Bu2Gju6wfXc+e
cGAooXfbtnQvuWKB5Cfjkz/UJ01y/WRBcHa14ug7KW+LU/zy1hgfnLe+NnEZhKXDhtIMGjNM0Tuw
RoLw5RVesnEIkA0HicW2sZJvjlT7wBc9M4xGDc9+f+8Z+QOdEsa/fP5a6hkU2dy+w50iSt2Xn9rQ
EaW4qss8w8CkNV9qU78npQcTToYqdfabS9jGt5qffolazHs9ac5do30UE5pRAjQpZBKTcABgbgcz
Hp5TQPMbZosTa9YRKS6AqqgJzAaMenJj6XjwXLVCBDvWb6ZWxZ5q4loOK+BkWbUf7syWyuURrT3B
RHrprmAaK2dInrDByOstnddzMglJiG4SsK7jAfGF/JS6MR68QZ6ttidgO2mzbSs5iIyaIAoGOG+l
M9pbHW0QgVgMCnoXoAksZQ4MsGS8qW67A8DJ0p5ZzmRxJZuj3e9ZP7Z46BbWLG2+7WvUe5DytsvC
G+j1T61cDklXH81peUkh3+bBpAFcplDG3aREwe0tjqgMiyEMamB1yTYeWQobMr22mT4wHj/lEiBO
XVj3ZVzHh9ZxtFMwVy8ZK97I8FslwZ1+lSOfiGlzf85D3uxH4vu2AlLVRk94a8eMXWgrL6c1A4mm
+ayARjUhMDitEGEzPCI1I2zWOAk90b2YlQaLjZhunp74uu6KgyWYALo253m8drglk4Emfti7CzeW
1r9mHNpI/E6xS4kU85dqW2zpMKueLCDTnaguUTF+c0s+NunyzVynvfKy5LNUJzEujfs4Nlvq/yaL
CqN4nOt0ZBGjGRvKEy105gBctjAI9+jQe0CBXCNpsU033CAJ03X9Ngw2wE7n/EpL+0oNpFn6mUD6
xu6Uke7s2Knk6VbLPyf+7h2v3o1d0G1j3mJGUO18RdD1zgJBbVf9i9eIN4K0uMqt8mlstEPlxSgj
VgQrbbTk631i9y/pHFwa7XLfpxj6nHY8yDQI+BTjd5EVdzJFUl0VNbrHmajiVpt2k21Ob25aeltn
It99QWYbWlrwyN39EItyVxvpZd5kt7k2XzlpjrzS/7XCYqapcqPaEOepmjgu1lfD8y8yxMHh7Npe
WM8zUYuxed0xLUjsFsknT3HkmvM3DVG+gXDkRtOE7XLBQMtGut9Py5xvMRfo0Sz5EJeS2lBFtdK7
lPpGs4S+dxCaYBibg+sEuT/r3upklgi322FgPms3DQHImX208QJfL0X16LTuF2HY382A2AtLI/t8
DYwdPB3tAlLftz7neDltP4v+358GsJdw/q1o8z7r34UaCfxxIvC3r/p9JOD8ZrF2wRiDcpOtsUoy
/X0k4P4G7tqxQUHw8UL3/YdrxvkNSIiuVhWM9ZmrWfyjv48EKD1c9W8LGBlwB/yl3ct/Nc0wEWDz
ov4T2A4/zD9PBGgvWJrknh6hMH81ssm7tmE57IjjBn0Oce0Yr/ZtaXskcgZuupOSWdKSxDc2GLlN
3xlWWOHoMIKEAGDdK3e9XnihX4zeHjWSf+xTVq99KyBNKkj1tNTPo5o6tGOFrH0FFlh3zHhJesqe
YY5XodsEIw8vDydilG8jC75W9dSqxzdGHse5STQidoVf/SQ6ppjOuVNPuqWe+ZGHH0cCd6BrHO05
fmoRjSOl4w0Bra2jgEp1QAKJDoWDN2lR75SDKiuS6j3T1BuXqndP8hJOoBKiRUfp6fGCWupNRS0t
8BJ4aEthYGqc34t6r/OfN1zGFzWvPKbxKxz1L6NjT1HBwUD4+mumDoskuWQdsVu8+Lya3uMCAQ/s
ojpf3NhlacOZU6nTJ1bnUM2BxNK62vQcUVObfszqzCrj/jD8nGJYQ3HbKrlj8qKNXeRm8nJYJ5UG
c6yqTOwnZ3hzOCFtTkqdE7NXR6ephGzxYHWgRIx6N2ned6aO2qAFCpur05dTuFHHcZd7H0Iu92M2
yo3aXVG0yG8Y1Fim1XE+w0iN0JeWwJ857MvG4tgv8e0UrW+g0/AgNw7Zo6euCU1dGGaT31fqCgG0
+StWl0rL7dJzy8CBQe1vFJcec300b0+duo8SjZtJ44rCtkHL3l1WsgM3W5z6rt9jxUJf2NhduHD8
2uq+Yxp9cLkAmZ+iT0yTd871jsEpXVyv7ks0NhlhVtyhmrpNVx8Q5xo36c5WVy1Xbo86fjOJAokD
hdWWgUezr5i0giHmtta4toHFg7jSaTpTrXnBMqGdCnXLV1z3mbr3M7+5pke5nrv8ejR9TPSqRugC
NI7FKtgb1OK2VJVEnGHZJwpDuzSSZida687wO3bxzondy3nJZhoA6hNMGTigLStaO/xFqnYxV0T2
UtUzmapsdGCT4M4A46mqZ1b1j67ZHQN2aiLfl9OGeS/ANwomVIkYIVQNZapqCnOGHhVesXWr7sB9
tgnmTu4hJ3+WqgazVDWmjdRlepO+MEqulUSIf7uq3syuvxImzRlnHUP3Ei890zseF9YmKjHepwRc
LUozkp37jYshnbEKUGgERDdeUQdhYyOD7JyiAjhdI2JRxSZv5hfJmGx7xqJk5FYzIaAu5fM596pQ
TYL0a6VyJbb10lClbK8BMzXtVafz8Z8HVfAKct5jVQJ3mf1WIyaA5Fu9kxvabAgg/Up7anqNIQ5G
CkrpoONXpLqeAtwgLfU2qgWQNaoEjy0mQ4mngxJQBbqlSnU0kArk3AUhX/RqEZxJbGjxSzQ9NA1u
35yaf7WDOgzoAtBcPQHw5CehP8jWFimZsxP0DUNlftSqkdAsjeWf0c9UyovrHXlRmAswAN1rOj+v
36bDRTVNhHWlxnHuMszO1TDtoDmA9vQKHqZsfK0oLo5aOsCvmc0Xbxm0HTas4QSygw3WLN+XCpFV
45fmxWLPZyi4xX5chiSkG1s286RP0TI1+YHlU/6AYadF/BYsrxJjd9zDjVl9nVGb7LZmYBk71nXV
PmPWEOZVg6QYJM+5J+x0x8dVhLoL+QfFzRY+rsL2eo8ITr7pN3H52NCS++mhsFUo0mx9QAWl7rHL
95QplTZZZ6810JZV8a9l8N6cufz2qNmmMruyU1/bOES0YESrfurXcT9MkJJWvakvWxx8+6JrbZjO
nbhru4FyMNOni1ys2W23Zu6Nkzs+8ppO8EwvI/b4Tnvi8xuvAU0kUZv4CMrWIqAtRYypTyM87oLt
Z+J9BB5Ww9y0pqOhxOFz5faMo3lt9IDMziAvurC31xr4g/ZktXpwXQlBXaeXTz6C2aPBCHYjWRIi
Jo/Pi4/Inmz0eQvpIoN8slQhnlN5WeDQYlqCEHjoeZvTkTzdIqbglKwhw7yUzTZum4NdCobJiJSr
IXDBrfjiGJhI9nW7zSJ6qmU/GmYWkS/M7HfUn1vaZqLMGF8EWr81NXHRDs4tqTw3rSijVSgFmWEf
Y2niCKW8znT5EHtMGd1kueKMomUwGbe21cI5Ur/JzmrYIxqndl5eNDu5sGVzGFqipmXRXZCAtUXf
lWBvaq60AGpCMNZGhF+y3unSVQEuXrmP/eZ1cuZPjrC3PDM/cmncz2R7hfw0yNXhQ20KRTFC13o3
M6XZE3InorzsnqesLUNpMGh2i9cUrXycDAi3M2TknCK7ZO14BVm41SSc+aM4466/wK4PRdrk10Ws
VwQRJ9R+IbWAgSLrewcRMwaGTT3X1/3kP/pmeZGwh+ShR121nmNNRi0eCqfpGRrOexl09xP0L04t
vhfa71NBGWQjQOfmg5BrQ97ycbqlYo/Z5tb2g6tRTw5y8P+DvfNKktzKtuxUegJIg7oQbW394Q53
D1eh9c+1SAUNXGgxq7YewptYLwSZrMyoV6TR+q+svkhaMtLDBRzn7rP32luOpoemrndO4RyagZtC
KwmxV02FalhXhwm349rqi4cp48/N5NSU4Jywrt3ggHQDp6OTHTjuK9WUXPMLj5pS2BVxSN5nnZcd
astq8IbAMJpTWmhG0KUc4tuu+mJnRkq/ig77H3J7abtBP1AgDYX+jEF/2R/YX32J6mB52Pfjbgyv
bACra0dT7XVTFiW+dyv9Dd/wb70TZARn9fYXa8EPvVx//Mw/TgH0fghdGMuej20fnpYfpwCXxSAL
QwdTkvB/a+z6fTFofbKAN4Gn0Q2Dfd17W8gfyS1gIYIFHr4sGkGWcpK/cw6w7cVl9Q/70LIZhMPH
WYBfgb0gJ9NfzwEIPbCVQqOhGLLon+OKvMJYRZgJjXq61U0VX5uVVSAs2sUDtl371Z2aMTAEd6wy
j6BBt504hdFA2Y9PXYarRhEGPOn6O4cHeTkVZO8naWZPtRH1l0p02UXI/Z5tXemsS9VZbAszdwvb
tDjWRbl06E32vTZ03ROjVr0pfTd5qCrVnfiS6F8AnNcJO/cx32osVO9xRNC0ZZTWM2mWOBhioqcb
2+qGe8OzB6hszBxHJ++NlwLDSYE+snx5UXy2GzDIrJJBgeyGRx3uYcG7Nykp95ClwYxsb4Lg/+zK
vrsZVUhkdp41oHiZb/VbI7YFWxAD/s+q1Sf8ZM48mQhdpEAWZJueoqHaIcwQxZQsNGoLvKlAmmG/
lrzigZ5KvnOM2SH50PtUDVLM9EqbOn9pxb3tkoWY+U0rSv0OgIJ5lh6V15lq2vMoNP0648b4xZ4q
72XSh+jU1qNfrWmXqSssnfMY0pfIcD+kCunYaj0GYBff023le+HnvlW1e+GRM77WZUFUN4kd7xkY
mtefbG5kqEfYwNirNQZtfl1ZVFu+dHyXrFFPp5kNLrlbh0keNgwTjm1vY5u2UnoMqKlyaVt8hlOo
PzKjR19b4r8X0hfdvtNyUrNpnjeIrNX0ZQBgVezqoSaIgfhjXST4zhgI9amh0AkZem0MxIZWOgz7
m6mhC5dpR8iryZg7bTUUuLo2NZpW9Viwu7DXPjyft7Kf0rucJf1zNsXzBS2P/vMYtuqt9hP2t+EU
y63eF/6Z1H+6jeG8XpZhuuAgvGrrDzYzYpQ5l6zF6IkHeXSKtIKyWjsd2HhKZnTfKXn/5TsgEb4R
sETtHZwYVgtE0Vl4isVCViwXxiICa38e4DjuBlwZ1zlsyiNuDn1XLnxGO2nhhy3MRh1jEgEDAub9
QnQsOyvZNtKKt5B+SeZJV20InGGp4XMBPGueacx05aFaMJE4ReiEMpX27NXLmdXzODuye8NG16zz
UVmrcSFPRjkYvm6hURbCbs8mYUJUJlRda6FWQseOd/nMhALDgZoDvo1WmCg5sBk5Zp+FfwleziFY
5fnXQL9IHni4leuFmJk43K6x4QN3XHiasVPnW7LI45nMO+e6kR2onXYQ1XqvqghElTED91IFvDCf
rCnULnU9ZCPPGz9NWMyj/ETjRAKqP5UdbfAL9aBRU5ISHZlcjZ2l8AhJyTLTKADszNcpNJ2cjRqD
bjjW4ykaE4NNMsyqxXx07YV2+E0sRKvYwMGvFsoVaun4Yrkdf8PCwCJ8ovEyw8UKF0JWZ3JS7hdq
1pSNHUIF+cIhryMS6b22k++MLeZnfeMZ+ONTi1exqKYRjw9HZaqIybaPU0JJ4ZLWq9nLPKL1sRBY
EF/6AvsadC8/W1I1l2ZZahuC4vGX0AQP5gLJu+ezPwXsVJudW4IRkwMOAmGBFsOP72+GBTfmvZPH
0rjyrnRNDSIoKz0W+xYx6atIjNjcmllhfJ0EWDHgbv1rImUEhsKUZzfXafKpYaxvWk2Ap680Fgg2
fjLO0X2nAuGFHIIam52XQ84AT1VZZWtdVvaWfsH8UtAMcu4GPiFuaen7QvO9yylMq201ePpmHMPs
1E2RCgjuENUy0nBtOhNqsB2JlwHmZqDMmtJVnYt9Yp2jqX0ecvDPBhsRJ41zkA1G5Vi7hhUNqmfe
8r8ZYD0ZbKg4urYAEz7nkVV9rXG8XmKoFFkgSmEZq9aekY9szvinEXYpTszIbZ+531UvetQIUlZd
Gnr0F7mae6DXOCpXQvh1Qc+jqT3KhJ7EWMTGbWi8mGKIr6C1WPtOIC5EqTN/Jxycf61Mpd93VZg9
kFnp4KUNeDQHSd5KIEM/c9WZZGGj0jljRcM/Yo0TWEEtbKmybRc/iRPpD4PwoFGmxhhd0+fQv7lJ
LAnKumDdVtSHzUTuq3brW3X5xMPRjhEV+R1k2OzWNAdMn36F4O+W8q0czfw+J2S2qke9prVo1B7M
ZBr9vejY/a/iZnYvZjU4W6evy6uY2fkhyhRRFdw7zb2mmv7ArVrLeZ3Z5QYhGzfkeCv30OH71DxV
szl+FSKft2E/9fduq6Z458vQyQOE/vy7rFFkrAnZbwV3pX2RVd7uPHarVAWLsF5NNvbIDmYqR8Y5
ie/YYaHzkAOnhyhr4rMizKARB9DnG519ES2TjtPvW0OjayRs6mTnaPRirhZL8lsdpiXfOwgDTWqx
E5GyPpemPm4mIhBIcyW7GirsowfStDpjiqxCjnwdVzD2THW0+xgKbDG10csw+/2un8uc3UEkk3Y9
gccrOGUm2n3FpgbDZF2dURsIlfb9cDPOs015oywgm8TzY4e/Yissbbj6+yr5vylD21qk6j+x1t2X
fI3/IqRbv/3IjxHa/sQEzfcpdXf8iW8xof4YoanO011GZ4rwSEC+t7X94a2jhZi5GgYH4rZDedwf
Qrr5idMPBZoe9ClaHcXfGqCBSP/TAM1wzyDPUI5Nz1moDT9b69j5R37FxYmCME8HFYeusSF/TRZX
NdFD39oDhZNk0x61ytZeTE6t5aqpQ50NdpqT3XWn5NKNivrCyHwNvTUdDdJGpX01x0N17HuGThab
1fCAo1gJ+kFTdRR8Zk92VGu7qk48OrlcWFJm75mHAffNXnenaEtELz/gHAmvEj0XxcoqYu16lG60
D7kwrjKnuoIrAyVTP6W90l7jFptFlw01VrJuSna1n2JZGaqCIs4yys8uNN511bXO2qrEe/+ocwNI
tjyZuJt3jYFvvzGK9JFdc2fv8YEXl9NkiIMuBKEyBqaY/PjUTutBuOZDi/fKhV+lVwfLILM3OqV+
xdfeWPNkAVrAl9SZqhQX7poW1QhZgZly2Lro/BsjVjlSTGGqu4r/91HDKn6EhEKLbEbT6feaK/1q
TEV0Umah0cCy3Dyrwt4TzIolwqNjj4EFcjMMCjWmFI0pT+Vkd3EqIrtgBt/mI2HFuC/LOxx01Z1v
F/tsjrUrNvsazCPmWF5fULi6+c1JuvBKRXpor8M4IblIa559zJ2enLbDgdumZxWNxKtjGFAxwl/a
5ABqCz29GMbeeTIL71bibNrFdjq/hrHvPGoGTpJIsDhfZ4XqdvrQFke3qYhtF3O8tXXRBg0D56Fr
M/noKowENejkL8ak9f6qaIbykQ7z+DnOmnJnNZIZy67C6KEoNO/KnE3tYNoOFkZzKrRHthusKrvM
K7b49BjUhlRozxwhzHPsDJCECyoGM1dUt0loxAA9LKbthj32V75As3OCI3qDBpa9kpibadjyivuk
d4rPpl7jQNGy9l4lU/wFRgnbf0Al8VHGbFBjaroOLI+RPSqM4eFKAzHwKkTR8n2baBwsJfYFp/db
+osYiS8aZpanKdXHK7amnOLitBdnt9X6i9Gd3WIl2ZVCNtVSyeuHgRA5SD1QROV/5s4bPqCL5m8C
XFEN8x1cUoAhtr4pmzQ+4slImFTHiOJmad5lHY5MRjM3/iJ81QQE+eU5a2z/WwOpaRt6k/Vq5za/
XZmb1XXvdt2EGTVBd89ZomAdKh3/XvJ5wb7h9NZtrY3g21jq5eeYH6GRbLHRDlRcXblWrB84fTSE
R+cJFmhYCL1cF0U73nVTKQ7F5Bu71K05CITG5H3XVUnbYje7D1rG+njfmaE/0EyHxx0VmsUMTkHP
XTXRgHu3HZz+aaGuoHKlcpvZRvWYkTHl4EvY/EnTzGFdAn8HhkGXH9pYGb45gIVvYiEMOm37akNZ
MiLcaLWH1svc6740mgfaeKUZeAr+hZ143rrwvfRxdor8djQq6yHsKNYzFjh74lncwrsQZHupVQXz
dY8Iuym4Uo9zCe2AJDCodybH8lsPSA0AleMdxgUJz6c/vbSYoMnngM6FBIAZ1UYqBP4FvzLiSFNk
+Zvksc+ziPRuzYoB/BYRx/ihWfj0MOMg1SdRtK8ljWaUi6HGtVFPNgcCQbQcAI0QfbUeGutEztbf
9l6re4i3HBr95fjIjQVD83KkLJbDZc0n9lmlAugxVxTFaCkL1BgstBs/yXgYMuxSRn2JP9nYKFMC
ginbYZGG7QnKQDs/W7XUbv8zOPwWZ1w88WLpif/XrvxLKA1L/cb/uHsr2rfi67f65338H3/Bj0HC
/ETBrWBghPzr/zYS/BgkiENaRMW5j1skEXnkP+KQ/icTT7Olm2hjbO35wz8GCYdBwlqEM1blOp85
mLX/+399Gf9n+K38PZjYfPjvn7HElrXk236W4lzfIDeNUOy69GKQivx1kij0ng2Ho6bAn0AVsSqv
KkBufGWt0Wsmfweybboe+9q5zy2v54u3lmzX2/KVfWy+KWF7nIy6Ci9NhxUHqRHzyU1AVq86gNAn
ss9q7bXSphndNuvPXjfJEPXAZwjZhfRHPyAFsv3Trd4S20mfxYs+t/kJbUwdPeCS08qEOkLtF5Ue
9M8TlHo00wnyemJrBLV90PFP4NzpKGir/qF3DRpI5ymJrVWrOnzWbu8q0Dttz7+L2cNvW4NbKXFq
ZukDTFzJWix3jN1oD/5bwhGZpE5kbdJmcm5svEqP+ViyqIqQ5s04AoOTKfPZJh5Apyxa+6QZssL9
C1SvxiO6hc8n98TJ2IgZ/cjdPTIcSCKtATl94hyptzaIobwChwSLh1EkHeluQy5HVg9lvNZCwfba
LKyd0hPnmSRZRI8G/pmiVYHWUa2hu6X5SOhb0f6GmbRNMrkVlU7ALqnFNipMc28Og+PtcraMIT65
0gd6E/fROicUtlK63QZK0OAI7QD2c+vjQK/04bGBdp98zkajq28TYAyoXFbVb3GLeRvBFxH6TtTw
+0pCCWbTrPU4G/fSqLNdSyF4MHpk9LrSHA9z4VCPaIx4NUSixJPMeuLaUxiroyaxkidtqBtB5hn6
veel1YvF6fDSEZK5qycyFnhzjw2iokhzCzRIBLaWhnhYqamsadoKei9xLwejbPCzu1iPe+FScV71
F/rsO8+aUtpLGnFPYt/B0DiYrYQQmrugkVJmCR8iRgFCYDmDCezhFCAAYr02VOsFYZpZO+FUBveH
qnEpKs+Hx4r9m4aPypJXg+zHy0416rFqhWoW7Kq7H4yhfECVE/amNirvLtWBN4UeWmYHapHG9ipq
H53Q5aQKaHRrWAb2p5Hf97lsjOHCombQ4XZUkW2ZKb866tbSPDd7iz9udm4oThYPMoux+Y5hBW49
xrjXGXI4VJ4wIHIZ0UVVyupukKTyaviQw4qCRfngEg48OiF3snWredYzARsfvrhHt0rrI2tHnj1u
HUYp6LOF+TjWHLBd+oZxp1llenYgUm6tcOiobRD6U6y8/OjGIvqSjr71LU0b7QkYDDGwxm/2Ov2Q
d25Up69G54efZdpPty2o9YNG+/OIMdAsbeakRO4KUCHbvhyYuzyBYsD1q8mvUHvKdqfxJUVzMoUI
Af2o+kZmuX7Ipgic6LCkNJx0NFeEtxNe+dqddsAAR3wtUYoiZcm3airzeG0jy2x1o/F5WGtKH4fI
sb4ntl2wfaeO5dQWafJi57G6UYJy8VXVONaLZ5X5cX5HVSkqF1YKeDD1LJ3vvM6Ubwzrpu7tU1c7
2jOoRpUSfwGBt3KbFvWWD/IXyqFxBUfCmt6KbEQr8TDwRJtqNPD8DmnHIQSapvNakPu9BNtifsli
lRwNaQ/DymwMdWBUkNGa+TD7LI2m2QtSLl90fy6e9dmxT+OQGHcJTH4wvnQ8B8onpUoRAW77YDRb
NMoktgfUYFGGhGl7C2eDBTetTOL2gtRzDyHTInDYo1/iLKr60ls7fVk9aT4pYS23qi1zPdbLzpc3
c+GnO9Oik4er0NcuyiGVV9ZYYB7PYFsZqepe4jnPz0qr1clHUNxpUZRC6G+rr7rftvsZKBDFOvhW
HRVbN5TITXubvehiPgBAZgvtmwVtKVl5bZhdK68Kz6mVdIdwkMh9NqGKXJuba4KL444KgeqcxHlx
kaSW2scZpqOV1tjmIzUZw6Y2s2FfF5ZStFhn3aoeJvI5sCrxU/5n5vnHzMNI8aczD+7U//o/5cdB
5/2nfgw6DCZsB7H3vUMaDO8nxcT/pKPg6x72wx8z0O+KifmJLkPul4wfSw0YRMgfzkP9E7KGcBfF
xDYBTXq28XcGHZSXX8ccrmd4DOg2bFdJ/H/gPiRGOGfYiMygBSyUqREs3l569z+9KL9PVz9PUx8f
5Pe1JpqQydIVnMWHWSqMs7BNIJexU9qEyTO64g5l488f5EOrJ8tTA3HLQ0XyTHAEoBF+fZSJHLrW
CJ5KtQFyux121rE/tnS/0uF0Lu/Cv2wI+HVb69lAFR22vstzEphvlu30z2ITbcwQC9A0yWR8T1JS
g3V5jNsS00Jz8ruXP396tv5XD7cQLn6KjSZ2lsS+MdJGMEycbhkYsMAAWproOel982hburYvGQkC
9DlzY01zfkdqEnMMlojbeYCFoywWTzr1TI8dZ6jbRdm99kNX4C9pw8veD5PbVLjevkO0exqbTARV
xSSjWWCtS+qwEMSG9Ma36I6OFrdfxKZADYO/biYvugy7EsRNjGKhIGWG+nEEafc5aSL5jeyc2jYD
8aVVwzx922LJvbW1wnmmz6mfdlpbq2tgxB4xxyoH4AcQGS9ZW5hXxsjhEBdf2tKTLfP2uKhb+0yI
6LoQuW9sfafLt0BzGiL5ZXwAWuB9LjGvRuA9CrR0vY/v+nfp2zFKjYh2Q0LRXbTxfGjbXbPo5Ym7
FGqbnKUPfUjMaWU3gxYH3rvOPsD9ujeScN5a4HVeAKGVN0QTSmiSETzG1XKOLQLwvuj39Zz0B4Ic
zb0x9Cn6/iL1x05YXumL/F91LHyd950A6J3Z39MEpXFCNqgTYXK/oztNvg0KaNk6ZPV7cHLbuvTS
vHu1a2Ypk1qne2nASVoVym2N1ULY+JItC4zxfZfBnKo/4CKJOrBULDtYXfvY3JcNSDaa6bkcXdEF
sTukdwsW8ACIQ9ulYtmg9MsypSKfeB8tCxb6UObvCXHT3VRZ84H1QHRpeG13l/MUCQf03bMfNew2
wnlZ4GiylO6hfl/sGO9LHtwW1YuJQnJnY7MGyrXsg7r31ZDzviaKCh+MLNG//qar8/qrvWyUumW3
JKpEZ80UwZRbzUXdgIFOhbjHP62YdSzc/aCN8S5IrZuNVZONNelWx71SZZWfomoY75B4spsksszb
Sln1GqubiC77FjV0bQEXhXwEgXLAM1gxcynao290bEYTW59WIKwOXXq0m6I8LxiU69SNvzHg9N+6
PmQ7p2owniGHQwKXrgm329ZK8lMQscINCCYejlBv8UCXVBtUDV1OEbjygNR2+mhaXn3KWG9chKL1
bprGc4o1IY1+leG4PJCghNdeTOI7rU7R4xx2dUDmssUoZRTmESfzeMGLUFwCDMAWOpqEOT1E2H2p
RWPA2s2+jlQ4rXMl3FNOxVLQjbwixiC6G49r783KoQ4W42A9IeIDLuhmXd5OqkjOOjlhDpJ2Comi
sPVvduh3h1Jz1SkbsnWewA4G+aKO0soIK+GrY9enJ2y2lGFQPeWEWHYdd/oiwY1dhU5kXsf9JAgk
Av4XY1wT5DI1bTe2ybyNpqreuxnXXhV6+aMLpHQX6oPaRoMbfm1UkR80WxrfhgU7ykc8qg+Z6vyr
zDAm5G+rOkdCqO1A/EbhFjahU5CYW2fR/CAHPJXCU8OdxotJCAobZKKbMI5DOV3RBJcHyI1043Rh
tJ8iwqZsCyHWQufw7UPk8/7ivbIbxTvZJDugsOWuYQ6/Gwd0/FWEKLcaemBhIg3z08Q+Cr5mo6gG
nEbaOmE7BpYb+e3K1yIS4DG2up1lsBIG5jfvMnCNF2xgfPYDVlm9iWbC8lm7iHjamFyQT2gPJWrf
BR67/kLBqtm3TYHWkLQAMXSHWNyY8JEYeoa7YQHHCMXtxglDhEZW56Rn+Aay/RSnSfVsG1wtoAOb
vSaccmcq0Pss1epXGaqQFsJqiijhBB3v6EqvsBx5aq3RM/XUMeKvyfExercYkS5xP2gBgmN8n8Zi
2TMs3+VeE5OCs9SuGiGt9WY7PnXuNMFBwdmOGz+9arFiP/gWkH4+mN66TP153QOt31mdJtd+JeM7
QYHw9wjOz2dA8xavfOjdtOmEqM8y4iTC0ljSed6pVj4u5mZhzmvQGncFPi+YolQtWRCX94Ym82As
6vTMCsTbyWShME+hwBCocqyc5I3YYAPgTrlMq+Ga1gEir9wLWQmTP350YQlczdhXr3EEFHfCrMhe
cCgJonTWoBHbPWufLvRa4sO+nMdTFcX6dVWU6ReGeIamKZnkpawcHAe1U+D1QFnVroYxzq9S2Chr
bpHRtmltFkMhJLrPfKOS++qRBIjO2ViljL4Y081gyvRi1ITnItZEznYizxKvnbETF25aOt/BFuFE
VDIFnFU2yn3FGRu/qTSbMO62Gg2ElIeE24KWxY3APkn9tnCTQM092r9pHHny+pOn1/NF1kXhkk1O
y6to5t0opZFd//nA8k/ALe89NwPuzAbwbYoP05FriwJtimjFLFroEY+qJiRtb+zirzrNP85F9vsD
2WTWWC8aznv3+k9zkcxju2pnHsg9hjc0fdy69l8Wfv86wTJq07XAAtNysENgBLQ/7BV1TcRkW3Ij
qFNJBA6j+xV2bY7riYyCP3/dGO1/msh/eyh0T7AlBt+OnJh/HfOKRgfPTd4xKCdO60yXJGTO/38P
8eGtQawhF6x4iKqZq3yN/9EgH/RXteEfXzOLNBWOSpc1MSEpcPAfnkgiekVgVA8091b132lrCDxQ
Yn/+VD6++R8f5MOr1RRwnyAxmkFSSYaRmWRQIOu6v1GMSaskwjQyVb895t/yz/57+gNQ6TlP8kb+
a5n//BZ+fcu+Fb+YBP74uR+HXuuTwLCLug9Sx4Aj99Oh1/4EsXBx83LwXeoJeMd+P/QaxieLixk6
Iik43Tf4od+Ntt4niIT8PVyG9m9/8kHL/zNt//0K+kXaXyqw3uk/HH6XlcGvH8xuptmyA0a28RO1
bnEAlNa+MAkepVpQzCymBZ4qdXBwbLZR9aCSBSCr7vM2OkJE31i9vu2Tbu/EFjDzS3xPq2km6G/Q
XqSzorN+s2v/spv4+fTMS/bhK8HyDD7nHJ4t7MkmVolff2FQBg1OJMMLNCd23gxs9o+9HNKF4Lps
2e1KnEOMeccxMvxNZVK/4lmSbEMRtXJfOt58I9gQb6gS6VH58L+OFpkPO8l88OOCUx7mvmiDr5VK
HL12XrFrmpwJEzOKA4eCq5eEhmxzRYlq+d2GRf8K4294BsVGojCOhuTKHKP0KRMLe2EQKNcXkeqe
YR+FE/i6zqU6jv3f0TTMYq9kDOhNTVAK8mHUwL05smTdH0UJJl6wSfkJhz7+XcfrcXORgJxeCnaE
w4bFLxmpOdT6Gyp8mn2hO9F3p6aTdtXRr7QPW9GpFc/M21KPm/cbhceRHEXKGNN4+tbuhnYr0rEJ
RJ83PpWgqj/ampeuZbUkg7BnnDXdWXMihX5rkw4abovBuqIiq77KCJDsjc6Ydkaby72AhRytBiOZ
7+rI8aOVcjT9uSpG8phjXiiYECOgXk6d9PpiyhuXNoME0gEqzAkeK6ThslLH0pqZmDoZXtaAny6w
2sXXVCwn19w3wQVjPr+oa9thbVklkqigHO9y3aZzVo+9Byhu5olmEbk2qDP/upwtWO/W5jRsaNtA
sK1+w6PFIRnNQmje41DN9UUUzc7tmCxMNa6Sa2fhrKXFZF7WdQXjOYSdgfCbc7Czi5kAuPYZTtB8
IeBwHONO4NKE512Su9LaWy9L6nHdmhz760qLXgdOYHoAIJ5BJw55jzI972kVoXXhbbSzHCZRFs7w
erwWR4culdJXU9dlNa3JoPyJffm7TsnsPq6IVGiRNW2bKcVDznrnNjNNcc7m1rsAIheDCfTiVe+2
AuIOGCsFBeqpDiefjk4xBA5T9R3kmfqaFb+PHiAhKhNbBesEbZjChoWABy1lBDH9SJZEnswpLt9F
DZhLQ6ffdHpXUzlV648tzt23kF6mQ4ZNe1oRyAGxNCQtlvHObaS5mhWh3dUiwhJj5QTU7CqYFj1i
clvDSohtt7/yZ9VzJDAbDk5rVKWuuOiH2UtWmP69HrRECzEItAY7JUkGF8uiqPovoy1wjSSEAGra
TnL/xQ+L+cZNpPdATBgoyJRIDA9zLWdYW6kocfG1YfzmD1Z5niJNele0qtChBzM0i+FeVcOVI0L9
TifwZwa9SrSKousy+UaqBgenG9G1R/SXhGeAc1k9Fp5V3AB752MwlpxAHLwVJ2M2ja+uarRxbSWC
rU4jxobZt8pdhcpPyonKXnYueSGLNX3c80NuJaTrU6qf95k7OVe1wu9jaAAHkUGmQ5Mk2UszSfs2
m+ZuNzqa/2jGfBhXfu0PgZ5qxpkyAvhcaU2yKhxw3ttT0+HWLOtwN5lmwwkgB2YPW3lmU2d11FNO
KflMMx4TrsRSJ/hfcnbLAzOsi3ZTwaPi6eAB3WSaP5Hcd9xbNBJWnxECzQVQ6WTfWIZ1Hw/Kfskl
tBrftCo8rZaxiYo+vVaNmT2bER033MeyIC5EszFYPx5y12lfHLex7usph9EBQJ/dHaXQJ+J7xTVb
QeBLRc+hIK6ET+EVpAhypW33EiVsTVYQN4ZX9t1hzpZ4ln+BwjV+3W0jXBIcZyA3mcEtUxfvf/7T
xFyYHV2qCu9HG1D7HOCtOsituzMDtRP7n4aD/0b6fefE/uNm+8+P9UH75TMUxzaW2s2w1tfmughI
oqWbrb0BBMYlTo77c7f1WMEFfDxg+ESrvzof0GD5YaK2LZMzCCcDcj+mq38Yd6l06BtXEKEgK5Jt
bfp5KI9FuVyL16pn9bsmorX586e9FD39OsUvj+likjQ8XYcs+GEuLWfeUtb06UaseqpjI3LHK3oB
Vu4uOrKxd//uy2x/eLwPz3HOWLNDGaJIIlsFfRjIG3M93zfrKNBo2tisoiCFTBfYW2w34Sr6z0T8
O8ebDBk4bN7dfz0Rr//r/9Zfy88fBuLff+zHQGx/AmOBl8XHv/JhIHY+ER7jcQwd/ywsb6a73wdi
/xMRMSzVi2d2QUcTL/sxEbufLJyZcKBxu2DTW37qb4zEy2rkHxcp9EzXRCjhHzDGXZOUya8D5uCO
dKrkfHo8FkB7am4Os7uKvpPL+OmF+W+/DZZR9Z8eCenX0rECOwDNf30kEOgmuXIlAwGd8Db0c7zl
MiRlTIXfPN4XhVOCSqDNAYxZdtaxzJwj7pIGBCwHN72pzw96q4b7Ypy7Mwhk48zQF91hGCDFRfm7
ftcmjranroqISp55+S39Dxo13ABoUxkR+RfSId8a0ceSZMAXba3tz5FRu1+gBmjPVhHFX7pG2TtJ
FVpEMk4DAJH4hgX+i6TVLtVT87OVlCZEpAmt1daU/TTFYfVNn13Qt9HELSLWKUkhg9E0DLMVmYxu
9uttJmrrm+2F3bRVbsiW3MqkRvtArQ/MSLVZxvtmonEadh6BEagTnrrxMRFpayJuMlwRFcdEgWAE
rNZtLhJbRg/RZFqvfuRPp1T2JicR0FGcRdow2VKrDmmhL/R1Jy1rZ3bT8BVLAmz3sGw26IWUDuBL
PHjKb6413BAU8UwUKWJdRJHeRO40Rhc6x4l1rRwKgxJoDKRz87JCdvMGcJXcIiEucN/qzybmRrnK
RC9ufKGidZdqzjXrOMoJGpW+UOpiHYgXyS3mxeI+htKJFUVnNIE6EYaSpl18uFRV1s1R9/XhRoUC
VXzpO7nAvJMeMAr4HpSTljC03/T5U9EO3avbdONtglGWZD4LQvqRnKEKio4sdKYrCGUUNI2XRKrd
+24crfvQqo2tqzlVta7Rts9sYhjKE9fP7+ZZ+UflWPa1NgzpVeQ6YCGxgyNL5mk/M6tV1cnSoVVA
kWySq65rjXuAoxXJdCIWRO8TOmyHBE2S0ps5X/GZto6SWgcCeJofdNSc7aGphqcmtPmcxFKGW51/
DxKvJ/SQlF1bMQYb8RYBaLiMRL7XEslab27oO7e06WYcPfMVaPl4Qf17a251wQEmla71ahZFthVo
2GsgjybTTuyndzZyNE+ujKGsgNXEKj1xtGQozfzkzA4C5IC0cwe3gYX/q/Rp1TvEbpZUx7ChVHit
J6E0t7OnHIXs6ROnp0PG8A5FlHcM/QR2po1b9Nm8rSjZe5pbIFCUH9kx45cG0ijPmvApshPzpFEV
+4UCsFAHjAqsYG2NPq4U2K/ZZpa+3+LgEfi8TWnml1I58f0IeNHcGkqZ1+NUNY+mpC80sOpI1YBs
NLxHCq/Fk94kIMIa7CiKz7dWP5rTWD4Mc91/bhCl3rT/R96Z7UZurNn6iWiQDI6XnXMqJWVqHm4I
SeXiPEZwirfpy/Mc+8XOR9lue290N+Bz16cBY8PYZVWVUmTEP6z1rYBUEXYgRJ9aImFX09JEXPuY
O4tVkFYYrUNl9tUVS7permd/Ikc3NT2gM9/n3t+aGP1PozAv1xHyy/92GPRvkDvq6kP+VQDx59f9
fvd5IUEVNDQUnISC20jL//SMOPzSMiNksrFMGW3+tN/vPpO4DMv/VkAgEcXpsYCZfh8HGc4vtrA8
xJnYsj2bvf/fyr5gJPlPt5InXP4Az0FlZmIo5Z9/Wa1LcBBZGaX5xuyIzUlL7J/+FevDtCjvKqPx
C704JpuuBKfi+uV6INiKprwStziY6vfEDdMfuW1AKZlE/Rpb1pByVjW6XFtg2+7LMPcWf0LQPNeB
At43N3W+K7WvdpEhu4tm23GKBmtCtJwWwZa9KmTcmlTZFQK25q7sefvzbNbXpmamAVIx8m8GKutT
YCbsfbDiTjvMWAr0mPLLB9CeAG4CXydbdk3Orc2UJ93DjGPw7xsmsbduvu/cqe+RUFnmbd10zm0g
SuejiaOAQCHDzh6YKXiPdoYmrO49ZqhdLfAqtwImJsK8dOu5s/0pqwhGcTxM+T3w5GA/OMpmFe5p
H71bFe9xu2YmYKk63EfhkGx7jKst11nkftEPMiWI2kpgWNXedRf67V2QTbJjbUY0YyY99rQB4MA1
UsjiwyiETDeFW/dPeC/IzY2L/uS0ur1Yve9OG/bx3hLqMKunzO6GC8bv+ScZB/BcfbMyrhw0wCdY
dosr1CjTE4wkxhGlFW0ntfwhApkrIZZL1uS6AbPCmr4PX+Dej89WF1cfVS/g4fAgudt+nJ15m2OX
m8lId4u9Odnsltyo9vdGThoBTrgevrUpf/JdQTOqxs56dBJnnPmsjPTNy/voS5dDvVdKW1fVoLu9
rOvgvs6qvl+Z1BeLO76bi8X+15urjrXETxiXwZrfudqyeO7vsq72doEVpK8FthmirUbdkLVuJjvt
2eHn0MTpzUw2pg2pqwzuhJicx8iI7QPX5Xyk8lqI2XnZvEMqwv3CcQ/VRo/pa5+L6SrQFW0zrOfe
R0cx4GRGKDvfRvTbd15L+Ahb246tstftC/DLLLijvqlWIAAMg26uFXiWMCEcShj+W3rA7sH0uuQ5
Ym11DfBl3HSl19KfNER7htrLdo3RmtN1Bo38JxyN7A0H2pJFzUWw8vkpHd2884sVLCBsGLaLhlgR
KnFBQh1dsw7O9ojrghsXncnRmFTy0ZLkxVo2ruNzWjEdzM1KXiKvKZlLlv294tO9Adeb/JAzeWZ2
ENfvXTM3TwQAEALRRzyaRvGpCJnbeWEfbIA3Iy0c4pEyztYbqqlF0BdW13HmKXsFTsm4TaeasDcG
kNYmSbW7byZ7fmU0kz3UZZACDZ6nQ8lncyZPYn7MtTc/wgnH7mp6tOyrwMKAs29wplrgDxOrpEiG
S71Yubvz2BGVszIrh4EXRJsQFAwVXwlUdUDI4GOJvmvDJRdUlLXp4/WsO++DlA4HNJA5FyDLyuht
ht4Ed5lxbbZy0IfO+9BswRXjl3dDUGxxmZEmPUZbMrkSvElIRdGvZSVommo+q24mIs3FA3yYjWK6
INIfrqi53TPnXRE+CSxJapWPyjbXiWPjKDKx6FyNacwuM3AMDbRWA/OSnopPdgRGHlyOc01IMX+F
MUxHwG4U/Heyb51gZTRiNNiTN8NHEJK6tmo8NaD2NrL4nZp8sFa1HhjyfuOwGrR0kKikVG+OLjD1
lngNCXqJYpO4+rLqfh0S1miZpDJfgJ9o8jnPYBExYi2evFFnaEz6fnxUTRU8pGOQym0We+LOJx7F
grPL3r9oLPGkmNge6yjXP+rAK36VeQMC2YaLfR44meFkM5W1OMAG/RxNqKFdsyHH+Fj7QXFftKl4
mxlWOtCiu/7TIisjX2v4F4zHXOu90OSPJGJqqnXeFMMTlirvMDlTd2hLw99UhYWggwnJh8x7uUGq
IY5m7cvLUPXFDd2diTI1JW2PCAwXu7mfGiD+Qi1B6SPKe54bx9zzhBRvGIcR1cdOR+I5ahYm4BpD
3AsSB44ROP5ttVF10MRbaqgIdrIXjs8Q4+W27k20GSLnTIkIdokp4Rz92rmZ8ZkabM6d0Mp+9a0A
bhDsjpuQufqbWVkkqBq1RwhsUVf2qsAZ/dO1RqIyS0PER1M0/mtqu9HBCYjSmeLR3kxg4ca1O+F+
hzdItuvoVy2E96ImSscA6FtXXHorBOblkw+FCl2Azvqb0dP2S49MCSCUKM7kUM37oSojhAdRi7on
sYIDkobwVKZeuUvLzH7GDKD3iUnYwaqNtXFdGCgIGm9MvsKMxzaBqwUv1lT9ishTesYOhfJgN4Tn
4vv8oEJ1aF7iMn4ZooI9hp2n5kG7oyo3hBLG5qqlMWD216beYwzw2Fspv0MwV4zlvKl7l3dU50QL
p2m77wtlHu1sKq/afOhOnsvsdcUYmnQBKY0TnZwBzdByTvCfJQ/3HBSXNDYqdyPnDuBiP9M9rs2g
GV6giVQrFjzdoUMffEB0EJxjBhPL/xlZrFtEZu2CBCtAMlfDcewG+H95bmfYW+aZJ4YzbTjUgqC5
DQ90hY+St/JJWl11Kfhzd1W8jNDnlt6IcEhl30m3BHpqkauH7625rYo4/hXjnH4FdNLu50Fa6PAZ
v7HQQRHlIjzMkIvcT13ni1UtRH3oERmhnAgn9ExB0L6bQvmfdl+jcOHxh7sblIjMO4NWZB9QVzy6
ySDukHLkCIeG6JIPosXBG/U3ZhE3QP7c8GR3oUxXSWhPLzSyy5tqVfcIz6srEqdSUB0qPDpo157x
53L6aDd3yQjtrS8z6Y0bkG+D3E9i8j99HPkfQCz1FVAXPiuSBfWNNCfzYjiTcyS2lld5mkzvJwZc
+yaUkXnORqM7m8SHH4OIh3aVggGw1xwW5rYdZcDLyUd7dKA4v1cEDqF5h8D+6mUo4lZFUbFqIa/V
vHIowQn3KXmBUmqwrykbu6Pri2mbcVZcyJQM9+AV/Y2BlJMCg97rRhR6PISpBP4+lpgNYEEymY8z
qHKk9YQxWjq7Z/QOpiMc2UYFcbA0R+ly2ZJeQ9s4j+oamwDMNTcNryIBkrnvBDE4SZt9xrNObuVM
ClXXsYfEBjyxL2RoTdCXqi8zKz6EdlKUAqN/WJrEPwegkmuXgKs0rPRezeW8NSKTRpIVTryv+Atf
pdNsvZdV2dhQ01qCkaTvQw1Kat959ClXkD9qwJJoIPuPwMrzeZUhNFvAX9iMrLJn6aLHZhUlQ7rH
GYkOLU4SclEinwSNKXGKrSWdcBcWYNJXkh0aCa5+8mDnjtz5JIKSJWzyPBBMXLDFSH3OYeTcgpAM
F7RKF6rmEAQyDrZj35Q71I+EGIWqvEXf2AlIx6a7Z2fgE5Jd4pEIy1C6m0mJ8eANJsmShrb9iyZ7
+UCuGolPtR1pTBu+2RxZh5mYwKrsPJdheV8kQ3djmoM6u+TFckwCTr/NuU9+Yjq1SQYIR31W/mBP
3NZEmhBf3T7h3XFPQWwkIaLTSAB/8mB+tJ3v/RqRIso7X1bxV2eXxLz3YGOGdTyUyaGuPS4dv7fv
pzicHvGZd6+53YS7tBfGZwgbmx0Zb9EWmtLw7KVu9EhKSe2tpqJ0Xkzlx6fImeO32afFqViI3o42
1gWGNH32adZqPmcZtva1pNXb95av3yt7oHlykVqRPFLbVsr2yhSXrBFDnewlat+xX3syofA9tv00
P4V2a83Qy0X5hWyZAKvGAbLJVtW9jth2nhvmh3imTc/46kgGdTY6bTsqo76o45W2l+SXwCli9MRx
x/gmAlb02rcIqDaW77TZ3sFN1OOyYwKyJUolHLb4QyxStNq2VTdAPusve+jb39b6f2sm8P+rimTR
xNND/9cz839TxT/+nbDMr3/xTvz+hX+ZmuP2FDggkKMCRmQO/4dJ1P3F9pg6md6y2FmkIf8xOUBG
wuQCawTqEpwH/rLe+n1wYJm/2PT3qJFcilPcnX8LN/Ebj+2fptko29ikYeIgvhNtxr8oSfwUmg0W
vGzrTChZV37rSTJeiZ/quUwHdZDdRFHbG7At7YiZqmRa/FDQ3u/GUZJUu6BZkEXjMWcu1p05RxpY
WR3DWjNruevz8R1yWLpLXbarVkj2B3R6jdrebFnjhD9YiD4bwiVWJKw/8iL6JKDZ39BcJIcQmTu6
FAmfEJR8cgLzRPx1adlX0RgDLZ4Y+RPlwJK6nSJxllGHAZIC+5ooDHE9DQ3YCAJ+11lXebcN9i1K
z9A8kiTUXGVslDt0sE1Ff2pEaj9mdrwVFB5ApKHQF0EnstXEiY24Yzu4w3aQRJ4hC/e2i7qNCLS+
uiunLj8VY8W33Djv6QStzSN1Nm5zqMZjYyzULW/N2F+DRhAKX5dTbkYWuXQJmXWV99Nj4TvJPd9J
e6niWZzSeKY5EuVEBjpi7m4wj1Ssr5XlwW5v0TunGXVT7Yhn1bnvMg2jgxTQtWwEvmUdWO+J3SAl
L037VLK437huS2g5kXlzlt2F7eSdtUU3EqujSk0ca3Lakhw9X2UphGNSEcpNa3n91iW2l2jugTyN
Cn1OqIZpD47qM1jStj1JBwKxGK7ljMikNNxqG6HsXrdi4Mgxu4s1pskeJgFRccKf1I3FRUAuRNMm
92hok2OSIfCJwUpQjpV0HEn6g0JAr61q2vvJfIBdDdYi0z/9uXhn9Nls8Sd8BNpKAG/KauOzDcU9
QsEoY5JXISy1V4Yq3vpSFXtQBy8B4X97dBbJJTNzXMnj8INC+o3ZOOwvOAyVdDPmv9gShwCqZ9EN
R8M33sBi3Urwryu3KgDm8yO+LPv/1WDP7xR9QIYHq3cY5tjetvUNjabGivYpxeXZJvfpQVtV+sM3
3HGnWhVuUb+whRetk/0/HLz/Q4ex/+2ZeulVX37M/3Si/j6M5ev+OFLFLyj8GKf+AeNhqvrHker/
wtISMiYoS59B6F+GsdYvHG8+81Y0ex7DyCUt9o9ZrPkLcC7BIDbw2Ej+dkr/jVUkDP1/Hcaa7AcD
bpDA9TjXF1jQX31OPYPfaaS62EyoJLahpAFGB68HMqZazibnPm+CiSLIitQXhzJ21dpJ82wX2ibp
Zq4fvbeFQQ+hPBK5srZ+yafWuzUmJG64TcNbW2fjISmSgmgg1wmuLaPAJFVUcjrJIum/irIckCoM
gXPHBI8tkCJZL9sEeHdIb5+s4BQA13yRPtTlFG7Wa1a3WbECP2PdEnzp3M695b7JEhC7DnS5gyo5
wT+x4t0oS7KFygykycofO0hoo51QL2qnSrZj6eS8LBwWuzQncRz7D11+lXVwV/BIXYdzqm5BkLYP
hfSaK8Ah5nPPFvEW3bK3NqoiuPLweu6gm6lznLaxvwpDevuN1w9MN8CqGdZOZfB8d0QBuFRguc4u
lR8XhBFVVr7uZQfuPSfDF9zLGHyRmARWb3Jmxm45hfEekMoylqT0ZvZdjDEjSzY4q6wzuPssXTq3
ptLFXdJ1HlQg5EtrRzNrp9c1DZCPY3+lB8PdRVnEdohOffZW8H/NC5G0aPJCZSMMcxLmyX5cjjvd
LikHph/nEBEdh1QufFs3kBKI8xj98TVn9PyDJWF51kEPlS734L1scuF1PzztWM/BDCS78UGXZkFN
ynlrx69yKnq98ZXjP0BABhdS9H3jrdw04khENMPgoA6rrFm1vuabFESlb+j5cA9MZpke0zh1HnF5
GTdOQYIoPgb71zmEA+hUhT6qsDrZYo4guSn1iQmh3gRlSPPNSEHsU5lw6uZR84MIswklmcHVoOaB
6bya22M/yeYQW/je0LQ5GblYUFrn3idqdyG3MtfsfhJfb7g0mW1xqImL2CjcH+uga3k7vCHAUWlm
uyEl+a1rh/ELw2f1NLR5DGENJaPyjOl+Rkd2nO2u/3V23P7VW9hpbAX6nVp4agt87dvTsicWaLzD
XAfAoKmTe1JpXVwQ82Su4zgV5+ob1jZ+g9tqTA/7rPeTN6cH8LRljGye+t9wb0a4uK/lFB/HNDCf
1AKFCxWALma3sbqHJiuZbxERBOR2+uETAP0Cr9z8Wdf13K28KpkGNh7SZdxYpySvWbW+U6Jl48HA
F3BfwHNF+TE9WYljbGb4Fh574MUT6JDbdqU6gUzfC+WpsiapGCCizVjlVuxcUk8xuPDQVu1k4ZEM
mElGBkzh8CKKxZYoF4OixI12X8Y9U9XBalJmanGf/mhwoZ3SanbYl7cOCH7Zzclt9u2DHMeRPqPR
ZEiOZA0OX0Zgy89Z2TygZeCPoIDUVWv5xg5FrfmSdzrApm2l9/5iwGyQnpIoxmxELfZMU2fVM1PK
8Dgv5s1C+tPZUqK5ap2aMTRVJcdFX6w7WCXP6ZDXM59Gbl1RsMrLyAN1Ew9OvMVzlz6aDjj+TBu2
BPA5sSgh3m04lMM8ruMiq3fKaRmUpEFUfgG0nwFST2bTbsK8IuNPltlzFqQ8dqUt1qGgbWTXQhBb
YPX2Z+Mk+ZVyLPuB6U+N2UcIhgqN85pEMZhsHUT1vbRdEJbNMLHwH3xQ6/z7WJy4j+BbdElJww7T
YJPyw9tmDCuOoNTSI3YrU1wPJsmoqyzS9sdkJuVBkzmIrCEWhzZ3gs/SDLPbLrObT5ON0VPsusU1
8dmCIjObd2NbB3cLIePcIK28r+zI2XCGZO81LEkAv3aeiDULIGdvNY48Z9pJDpkyUgrHAZ2HZ01Q
CsuZaVId7EQQddfNjL8wTkIZc7y1/m0MsPkAzHu+wPt1EcYOprxnIW3eV/jnrmwPvaRtVsOTipmL
qnqoH3s5y2A1dyyFAjn7JzIDEkIgs94gozkPms+htYNrXDuCCKwa0oXivmNTw3Qmm+3yHtJotuOF
Bl/gyeBiqtokSaCPK4IVtSBZyzd9zn0fMAEbHpNTTY2E26HX14+lHUD2LIah+vJT2wNgmahKrnqn
H04BcXlvfhIvk5DGaqZ1J0Q4XkVzq+m/E/ZhsD8j/zGrdPeCmrV882GXOGuElOxjTFoDugJHGWiH
raC4s2VH1oDRxlmwj1VH7oiyXf0U6hEd6Sxi9dW4QtyzI/RuWm9gTOoXSfLscZA/WYrp3YhHEZwW
zx8zFX7E+7qdxSXWib7B8Riu1SiHu8m1MgSXQxKskPpmEspB42ysuPHvleGIq/81m3ya0/+6IX/+
6Jt//J//bJHPl/25yOfU8wRKNdYRdONUZn/UjuCcCBb1ackXmsD3jv8/UAbUc8s/gtU/UEb7TxGb
Yf1i28vXoHCjgMT38bf6carNfy0dbZxGFr/d928buMuv/0XY6sWzcoZe+mvGecMbDwYC4gDFFKbW
ZUXOhoS7Q8Fq+dn3PTFvTA/0dTBV1qlN1fA6fq/cC9PKb+22C7bGsKzkDc9e3LwxkYltODTbnIgX
cn1HeW/V7vA88krTqvvNJkXAh1InJ+Yt4T+R4M43LP176pnhbDXEGhMOJHysUMzgNjF5VDvgavY1
+gjraGkn43/m9DRVNOVgtdHDNo63RmWOp6BrJjTH2YJrw7RC4ij7G0VZ10E53ON8AlfUK3GA6Rvh
5NZkYDY8+8TQApIbxnIN45v3g4ihcZNaAzrj3DNPOpZijeMlW09GusPTsJOLVq4wT3hc1GH0LNRS
BZTvjGCyu1SDtm1sIlyhDLZbMFD5uiprZ4eVlZrNVoiYOH23CZykTS09c+2Ubbym+hUry4PZXthj
egk8ri3p9TSunVft2bSznKktf9PM8ZIVQ1tadjbxPt4obuOYsCZSmeRGlnm/VS6iM0uNzg3+neRg
dH19GMklucS+YfwsUs8EMSfFm8lFzjTcjn96uPa2YIsqjqvR3hooVK6L2W7ZkqZdv45Kge8FiueJ
H2+4q8ggXZezwB9hFfZBW2bjrljXOb+6iLC20BERJ2RBnGIRYNq7jigd+Mjq9Ck2zfg1ZL28sbo6
vqkSaAG4asx2ejaLwIleZ6KH23OUWZP9wbZGHQfIQzehEuEm7Gz1yO6e7KRR9cfOMiR5sP20ye3h
+xfi5ykXrAfgvftrPmFWVeiZG2vDiLf8lQjq0OBRmXwCh33W31bR2kfZAXlYKsnXkGsIhcjg7yq/
Z3FQ5v4jrOiKFK/GJhUIj8BbpYb85LYRf/MIA04OG+maaOPyVy8s9UMxhdYFgA27iXbi0hmsTO6g
zljXET7tC9EtepvDGX6SOPHgn2HH3NUq/lmbBoYdwxvTnSj9ZgeTmManN/xyE1qluW/dSB2Z5fS3
4Ip8uEsRhPkM/OKZrenwg8RJ9g3sD9y9I9qs2kHechuw0al3t+xqn0Qqmx1ICO+mqjJ1D7id193C
dXg1JNq/s0mHvrfIV90kZhpuPcSN7NJJK2K4kib3vKK8rYyrIIXWZs7ik1K23YlF1GmFPd4Adt6C
amkct4Avx01Ms/Ng4qAjfcAjyyYnYQuFImv6PA8xfgzZmF9LaruPUSXRZz93REemPuiFJAkJNmDu
xp0Vm7bxPmlf7qZCufeiz9l7orV5SpzKR1+E9+PW4lq/znzwm6uoiOtojV8Ao1RaR8/tELm7POYn
iWghyibfgWLmTCc+6fk9IUjTW/twNBIYWBJLCk6PdKeJkiFUBno1Np2uqr6EmsTPcUSdTn8WEIud
lepWIjI9oOo0WMH2UbcO0NNcxa07wr5y8JPzzNm8tR5xlUvaicPoEhFFwbokNBaxC2iFdiyrdeNW
ZK21KFUa0PSyMzv06EsqQS2jh6DJ7FM9aCBmSqf7tjLbXWAE7r7WzXOSZsabFnazgiEar9Op/zlA
G9u3doP1onGXPtXclVburFFvN2u4ptHaNkYWCLXssO7BfKuoLbYeIpudu/i/6b9sPorEWLeMGjbC
rqO9TxTSrfAbfeDhZoVDBUhTMOpdXlFDdORorHXiNscqx/OWIurdzfyROKFYYNCHyL3Hco8MhHY+
eGZa7SNWvu9NngzspxLjvitytriBSj+KPigPSMtIES9CdweVgXaHOd5bKbzkYKmJSFzJWowTBD69
JTQwPFd8uUEY0ykC0ZxjQvOCjO32QpDfGYU9bMsqjdjwq+mAYtWnERLpMSt42Rr+8nUyNABARXFs
RRbs0sCr9wXZyVtckPrUKS9be7AIb2CHNFvaln5jDtrdmGIWH24PKj+kRduRqsS2SgLqJhle46MJ
lpgeDEXJnjUcK0ACPZ/HrAy/OsvONhihoFwNrYMZCtC+Q/27VGL1lusFQ2WS9Ndjq/wDO0Jvn5ck
js+AhxO3CnHo4F0qVP/c2LWxiUFGEB8YzVzfvffMGAqfu9fU3YGx5jyt0J+YvKa9dkgn15FxY8Ju
2De51Xb7uJmdZdlGLJ4FEgCXGiqXp0Hqnj4xG5t0XciuvPKcqHseMsgnk6EcPmaELgx8vVLtpJQo
mOGSpy/JaOfHuCnf+mC0HX6rpLoNEQnepnWHEDCSv7Z5mey6iscCvkGEfkaTlidgtCG9KJExu+Jq
zmV120sdXg0lwtiIGMRD3nfdqrJjlvleE70xWIhx9bXMKTIHg2OH7I34kOFGOEqDGFbphoj4aqch
UO5QZKBMKaU6Z72XYJ7k54gcyfvsnThYu8NIpzQCo185jd9tcKXJu1a64tTOfrm3J+WSxCIK5vlk
3nc+geEsA4JXpQZ1x7gVQZAec034KsQDc0V2RrJvObodUPyld216jXwTopW7uHUQl9RsPVA6eZ4A
nOZmY/jEIq85DoZn3CAvzndOW+h7JzJRCQkk1l4RubfVKIt7TDHdCbiyv8TCxlidwGNho3N0z2dU
BhQRtqH1U8vjsfWDpjp34RxduwEbZyhFtnUhmbk4sRY07vMo/pr5QHaT33t30RiZz0RxaJRvRfSF
jlI/GaGXv1CB2eeax+F+0plzKvyCVKrOtg6YO8enbIq8C/luPFNZ33QIPObqaMqOtNvJJfmNq3Ir
4FIgpMhcwucYRAoc7Sn6haCFsg32Bm233V5qBNFPdek4134EioFBRDZfMUTsYVxPDIlWRVu015NT
GbsiTMWXCnsy/oYu2c55TnI6UUNXE8C8tRQBwxwTfxYU5tQ/o+asNxA9axSJJKojUnCvW9JCXnHF
GS/gULsL+H9E3kZa9ncueh540xWX1pwAEPAm4yErhHgIvIxqzKkD5hqFNT8W30K03JsO1SJOM2Sb
P4R1rl/TRbrmfovYvvVsbGGiW4OJib0KiSVFYUC2xKO7iOIm9C87LZpyrRbZXJUYzVNkzdV7t4jq
0DMlP1wnlTeYLPt7EVbJY8BE8hH6wXzUizSv+VbpRYtgz1mke9gCghtKHGpaY4qu+0Xix1BhIYYu
wj/nWwPoqGzYTp1LQgp5SskGsGH2NpCF+hOuMRpCyoAc7bhKjlU4d2gMF7mhsQgPA9dJnqEpdQ/F
IktsvxWKkJ/EPof3bqyc3zSM33rGcckkjeYA4VScJdtwET6SgTDf+vxrv03dqm62PSa/nza07kM7
0MHuACnlB/BJzfuCTyFiLUkfUMjah64onEex6DDTrk1JJ1rUmW22FEhDiTcVMS/aHUPOzQ8yp/VX
PQbtTd4NnGeII6c3KndC2lPeW2+Fygk5UrfoRbVGf9l/a0g5Qvce6/v3GkvnQ+qkfIMLhJlE60WI
OmMR28SU4NfhBG8n49TsV9NUuCcpfFRZ6lvTOsIa2XZgs6AiAZP56Bb562AZ+Q3OpejGywbq87wo
bO4aqyOQIwZfGQpzPLRLMFBJAMU+kw2YSkszRNf8hdamstRL9i3EzRdNbmqjzsV8yehYWIn1YBFN
ZGwMyzSuvRhNb9Tn6bNlGeULC3y33SgzLj/8RaLLRIMwGNZh0S6HidMRwtjPN7Qz+W2adi4o+Cyh
eGDy/0WQEEJjZn/oHmavPSIBzZHB5EPEmjYiFG8jF72y0aNcDqBUUDvbifg0FiHcNlcBq7xF71xh
fxi2xcSWith5w3v0Fmk0MCE0fLm0nI9qkU6Pi4i6/dZTh+bMvHoRWZcFrpGSCQS+5iFlhlmMw+v/
mmEEQ4D/ehix/iAJVP3j3/8TWwFf98cmC1qEzSAC4b73mzrgz2mE9wsybB/HHe8/2/6/ZDrbv5Bb
YbH4xz2AFdRkQvDnIssHck0Vx9rJFyzp2Uz9jUWW9+2a+1MdwFIGVwMWBuQBlokKwVwWXX+ZRjBp
y32rNkGrgT/sX3L0eSFrYqyuBLu0Z12m0TkTY3PxGyR3RChaebmVIgVTXtGo3+hvPW7rgElbNUQo
odOtK1PvisHjP5knmZE3iyX9ra+84pBGpjvs1LfuV0cobXZ0gwWGNAYIN6E9fLrZohQusEixRi+G
iDfJ4FClPNYQi+J+oLUzstbrVlotXU3iO6VPb+6ANCQaOrlm0uk+SkOGgvYZazJjx/DCdMJ4IBCV
OfL3pbNcPzqdpuehEcmPOXYQqgvZPIa1Su6gbNivbl0E74QX+GejJ69sZTZWsFd5nq3beAquzNI2
LnMCdb5JZ/E1LxdmuVydhtVwi5IdRLAv4r1DF9vNSz2b2f3QRSZG3uUCJv06f648piVMEmAjByK9
uN93Nhbz5f5ernKzQpAhRjc6tZMyr52mQ4WqMkoAK07tF922yXlEBXjwgrhkFs/sovTrfq+HrL4H
manOEmH8K4+ldZ2FM5lVqU0xvNQepd1Zz+ABvDs7sYY1QRd8hEuxEtttcQJdaV18Tj3k17o1jqkc
252u6vm5a0zxbnzXP73OB6DPA57BTQWVgrHKUi4lS+FULyWUjpR46kGWPY7lpHGXUG+NS+U1Tqo5
Mv0s7xWovPt0EpKteg6cLs+sa+HVA+kKxoBZT8Z70TncZVmLYo7oqvCdrmP6maXwT0piMNdjOgyf
DgixFwKFvG3thPG9CmT7FcA3M9dRVHZ3cWF6l64hApqtKAWwWYYvvj3pl8o2wj0RgPMZw5767Ea/
fUrL0UcNqC0U5Il7p5CTrWU19ida8PimwLefgTwQ0bEXyOxX8MB8frAa6gYyxhhzhSiPKMuTcOW4
UfFg+1FyGedG34zSRPtNJ6/yXa2lv4nbKWbuRIN5ZRsWW5FaBxPCA8ukIYW7hxYPTCYQtyDy5qPn
j+DvFFnp6ZQbF+SHzl4B6XqfmyDctfMsNgGJMYdaAf9gKZk9Sb8ov/KChR2qyuxsVsrdpwjPtsox
ylt79PUHm6rqKPrSOPhUiavWCDWRY+3wwjhBvVYxtrQqJGFJSrhbDAH1fdjK4qSn0cZcVBdrCGeo
JLntaV/czrytyIzbUsWjmB1wNzaccWezztN7DjQbM6c1ncMUoWdjlcZqEC68Re3yfU26uzH80brk
HJRHYWjxa4/q9cpNbFaLdZQcZDkaO6vQzPbAGz5kTQADvJjbbTVIXON+Pn0gxLXPXl0Px9hsqpci
ZqbZgzPIVlUxIredTFgndhTHx6xq2Rm36A0fBjZM23bU7VFV5fRaq57ojCjvrsygDZHMVPY2+L/s
ncdy49qapV+lo+c4AbPhBj0hCBpRpER5aYJIpVIANrzbMO9UT1Ev1h+y6ty693ZVR5xhm3kqJZLg
Nv9a61tOTGdGncErLuGk52jy9w4v41oOxvKJpZnDTM2RetPx5kABad3M29IPhwgaeREni1G0n4Vf
xcuel0jcr1EQMQCQV4fcMvrbbplMFte8eCNiwJNKcpUqE6Nvf/idi3BGLzJxUtGT9UTQdqi7Z5YF
ziOppuTkaR2SlZYNtRb0jq491FhTOOL205OMVHZrxmb1k1W5uoih6T+x+hTvBBCGWxqS4EhH5bi8
ly2yMeflSVNc4avyTKdb+0y6F+RaVEQ47PuoXtUsmEAOnt+xuk/0YbjYXdE226rHjLmWZq70TuEZ
THEVkG7szBOcP54wbwekfAi9UgB/NnUlHtzFMYYwqrrxuMxL9DsOugMNwvhp5K5OMQrDbS5s9tAc
WfVpExd9V5hoN5p6tZE0K86IGWI7cwVkI27WvX6CnYIKhpu13wy6ldmBRpPNpawzPwISk6p7H0kJ
zYcF5YXM6PzkpXW5dvjq9kMUZSikKutG8BzJRP+ymTL2zbKG8Yk2p6ohAjTV0a5nvkLGQi3UHkPn
6R8GamaOdeFrj6Uez9QwExMEvFd0P+gFrc1D6hYdawyUjM1iud2Xp7BsoJ7ik6Vo3mVI4sekZLTE
sO+pW+c2hWzgyYAduYjDNBstNDO9SuEUDtYpZ9aCJOcRQD4anForfp/XXNxFeEiwA7kIKolJri4m
q+iey/cw7Jg6F59mX4kXt214K6eePPvGViskaoi4mAYJ0i7m/7yMGMiX1tJubcxTRShGbI+Byazw
keYAvvMNmuhnO5vrADOlpxKpGHdCvfi4jRO9da/22orKe4+IFs2cvpeljPadGzFXm+wILBJ/+Ddo
H+osHc4ZYFHS8anyKIUI4zZNt8KorLda041gwID90nZ0tnr4j0ds2ypJN1nj9Puya9MXL+vjMBrx
Teh0ET5BOYyPQ6nwBDLZpaJpsB41m7rYcfYWurEjPkyefxCHcz0wrtRrJlsYGmrUkEv22+Wgp810
k63WBxoeJk5Auj/vkZPFwV9NEq5c2o84tspbhNZjLb9msPSVl1XHoi/HR3N1WeBZAjILOcC9ZRJs
v1eLq+4ZpZYP5MUiyhHqVN/o1DQyPiDtxAAKyAyi4TKIiIDz2shtamJ4jGa15FuOf/qbOzRELrAH
vNDUPh+A35gvcnWPyN9GEsJ+jIBRbOL7PtGbT9ikIz+D+4T1x7njShnfUbdAP/vqULEIhHI/WX0r
8reFhUsHFhs+f/vMIHW5T6lM3U6SgAwfe6JOyhD2TjDnuslWd4z12ygzTcqhPHaanHD57aTJPOuC
R4OnSl8EJNUcBSK+IZROFq37bc9JVqeOzPDsmJk91xs41c3ZF13x0lUSSDOt4wOhfbnafny5WoB0
d4FFUg9xE4eg+ufvZvIjpH8KrqndxEVUJHh2+tVZtOCweMlWtxGBk+YRMGx3Afenbvte+PsSLiP0
09WrNKyupWosWAU4ryWhYPN2N85vi9MgPEQ09dv65KZIz61jh+S3pgP4MipKiwpSgo76McUy+9mv
LiqlXAxVKRPJt4wi5J27+q3c1XnVDWZTolY1GRaZJgEvZqw+LdpsuW1m1Tj8zFYf19QZ2lvm9vm1
LFtl7UxiCgfNzKKLW1bYwFZDWL1aw8rVJFavdrGxaLQPO5f5j/K3m6xJWkAp2WoyY0tEf2eqZomH
7rcPTVtcmF+GURaMTEWacHA05+XOLCVkLKGV3a1o9OWrW8NiSV9Zz8kaILPkXJMli4mVJb8TZva8
eI955IxP9u8EmljDaCUO32E7/s6oaSkQNSIvdnP21hAbeyyyU/4729aBbecIgzpJDiqCZrQxogw5
gGuEWlsiCMgVVZbcCQmZgd2mtI+yUt2V1yGvBhnlZGUlORBahaI8A5M+o4jfITwDVZ6ec2qfz2Yj
8qsHP/rUEkhRG3dN8Q2M1WasWybD0GVN+AGYJuwnxzX49//KDXfVpv/rG+51SMuvf/2X/8Sruf7c
nzdc+w9inw6z+b/5Mf+U2+0/vNXD7v5DZB7GjAlplTalFVbq4df82+VW/MGahjKONG9grsQe/1eu
tr/N/Khbc0zS6Ot//HdQGgj6jnDxkeguvMZ/Zq4OwugaRJZly2qX3RrrzruM5v1SoL2PZMNYRGgq
a0x5U07JTwU/jBUspdw7n6IA17HaxFGOIjy3r5MxftYRIS4nNvMjX1r/VcF93tsSczMGG6DH3A15
8hisDtoXeBU6TgwQ5DhWtnpc0uyCR5j7FAmrfqw4FU70s2opK3PlfrXFPIeFWr5YAaF+a1SV9WlC
u444C+xuRMPVU4ODfJOYrsLDWT1TQwZY2cEWzhmSQL5fni0fkdp2KGmNXeb0uaW/t07SEzKFuMJc
lUpg0XzXwuekOMXkwOrVG+blT1pjw1ijlzAArvbcZEPGHpbLwO4oeYnG5KOPo/JoLvVtKsC6xHKx
z+MAo6OJ7Z8YL1mtR9vcjV5RoGe5zaF02hJ8uwPMHLLWjhXYP1oguDedp96MuIsPhllY+3jCwiPp
UObalI2HXjezr1gY6PtR3r+wyo9vRZf9AkfN3qBZv6gEsAJV22+aKsp9OpMhLwQdOYNu3vsu/SK6
wWZo5yW1bKVZ33O0vwfRQbF6VVY3rlb393YOTUOCnr9bZ4TcD10IZwAp98zWbu2lOAPVN73E2Qhq
nVBq2i2lVbejGLIdiuFPlSW03Ni2sTWN7pZOoa2ngwD0cQCXjF83c4pKZ03OkVg/bIUy/2D/5k2u
epcMr7hyZ5LYi+TtkjtE/dOXiAhkADznpjL7t57ZO7JmhkPfJsZP6Y1zdGQ7huS7xBk19kOU5g8j
ogvIw8tQRN2TLIYnH+Ievir7c9Q0pExj4mhiQTJP4ytnulPOyXErCyCSyjOuyYLUSo70J9v1SWLd
26SN3LVJBoQBqNtmsGm1GSCybfWpOODTu1i4JndjLtc6JCo+vYnGb/wTQyROClxQPY24bZPkFyas
UBvIVrDXPnULroayP0Wmdp375lJO4iewO3iZ43SjescPNK5gG8uZTtxi8zcM3adZERobknrfm92K
sI5hpPv+QVPLm6iWj8haANovzRPNpPa5NuLbLCHqpjGbMXrCGh3fDIbhNHA7yEmJdsgLc6+3/g5I
/IOv0OTYXU52NYULbej5KB8mduag6AjD+Mp/i6X4GTMYDwkRirCL+oMc+KCgKOJOW0vHpoR2Mqd4
HcGGHymBusaivm980iUpmfZAWOK9nexTkprnlrw6jjATaGfnHXkigTGXnJHpLwxJTKL7IXfucF4+
+Fr9mrre05za7xSRUgQCmolbkETU1dtDV3niksBo2M/+IENZjt+UYimeHdijbZPZR/Ld5blvYm1r
5xatqUh5WzdOu6ueyAGnDe3g+dLdRhNHeU6INFxXMVf9vqE/TNQdt9v57q/vhv93RsbYlHQwa//b
sp3DkOb/AFn7jx/6c8OkndgwHCYeAEHNNYrw9yNhB7AZj7VYewIZGf8tL7YmIgTkIyB9PjlM9tW/
bZsG2Qbga2Qb2DlJmoEW/AsTYUp6/sGfxrYJxxfTuGXSJ7hOn/9pIqyRU0xzzSI4nS4LtpM2Pxjc
OU4JYYbAiJ3vtjcfE/yQgUrM9zEV7z3z2ktTpu29HKvkjaGRfBszTZypOCMcMXnjqbGXeN/ifjjM
CHB64DpgU8n9dLdWV357nantocn3AdaP4qWWOENdL9XvXOwWYcMt/pqnZHQ3U+ZV4VDo8SVaDPFS
LUP52XujvSsHQtEIwIlAjOc7oHlIa2zKOBkCDpDpRWsS9XPMu25LC87yzCreXJaFA7LF6ftCRg82
iiE1b9f7fbQdjNoSoSuZDgEv4+AgiAUHSxyPR97AYV8vifXUN6yR3DyBVSx5TXmXDyoqmjMMMhCS
3/UmFWFB4US2bgxZSDFAtzPL1DjOs5swIM2127aDf9/FkfFDp38oJGGr4TLVFJK6bMCQ1XkguM1i
wSBMJw2bIHYNmcOtqkNlsoOVXv+Y9csltaafQ9s/JLXMH5E0taOyreRXg9/x4ANJo19CDaeaozVv
oTbhmhNa4C2NOFtlVz5Gbn3XzdZy0Rx2KBUzmLC1Aq9CO8Q7dgP/RQc2tJ/AGFcbqm7HKnCZPH6O
bee+LQ3dyZ0DWmGXlnUFsR8mKEOewXjVme8hTBXOddBG/ezbZXMeBo4ljOW1btf5dnRLDQzvWh/1
Oy11rVC3ypZPuBJB5WN4MN20w/zNHMZurO7OFN28x2NMg2wN3TrHT3bQqswLe9OUByLIVEvkdnpn
pKm+g8JMBw5I6jfldADxk+GtADcRLhJAg6UvgXAncTfXYHtipQLcXfm1gziy5VTUTps04XcNkWmE
tP3qO6I11VZnKwryqm2P9B8yesqdaAs2tTmA5YXkFuE3PFdZlnOBpUqulrKTAaAQCqVy37qDYyRC
r23rqyIiffn9HrRG2d5OxDyOwhTjzVzxyqfGr7fko8nzzZ5D06wFZc5pb9OMaqBRTZ9Z1LyI2rO2
UvlHzrjdxjXo1ZyNVmKEp4CvLoS181X0ugiHsmrRVjcc0sQmsfh8CN90QRPpUN36uLoqTXN+UjhC
LmWUVA6ayWu5YGbvMXEeTcNcQvC9J+H1gve2HSj7w0o1zhJrhdE/gmj7oZr+pkuyC4Yv/VO3B4gi
00o8ph5T6l/MqrP92DDEjeGp+XXzVDX4PPXIXk6GgQvGLnTcTF66iznSSdFduee9LwlTz4a3MajS
4XGugLO6JFMDWFQlGB3lbEnhuYEgLciAOjp1s7LCiCA5XODitqTRguCD/W107sVvGUhTIrN+q3GN
NP4tD9q0pQHv6mS9DGZCTsHA93zDNWcI48Ecd8zOHnHBn+KsI7VgQJwQrETCoWWb4d2n8oCeQEJB
haLm0jDAXReL9Tb15XyqSxxoiG03sjdvkrR8rxJxko35wPH0zdMzPI1uW+O0EDn6dREFDOr2Xcki
YygjdIdi7yO755lj7YuGBaAx25eyB3o5VXIJoTSZfMYWIlMm/B9Upp0sf5rh4vR0SdUW0RyVnOOm
DN0+gTxk8opxKkylea7z+teo5zezkge4cnXQjuPtOHrHItaOjp1ml4gDPuld3qWiF84OOQguY2bF
gTIZzjLEKjYDLaWBocU5HHSoCmNOHCsvRzxuJs3smAwE82Onf1JujOfeyA5wwTi5wImQ+bSuZsa9
1lhcPxzyroulf9ICCOZ2oSWo8ieI1WDEqLTGR9AUdL3gUilOkzl9CbhaRWV/5HEnAmNtiE+siYls
ZFUBqZD2gPFbbEr2tgOUchyx7UKfItvM0cigVQkG3jvDTp4SMiAYUREZZ8wQWypbaKUy8KAoPwo5
CFc4aj13Y5rcvSoP+yCZZDgM8ocpxIfeDVR5FSOMo5T+cLdLLhkEP3AlO9gad3nkLoTcJpy3blNt
k9zqA4y1NwPznkAVS8RQD1p9vLKelzx+dlkEyfC5OyAh98Rzz2Cp9I2zSoDj4P6QIOmYyObtAxLI
fdbFn3ge73kqj+0ssIoaD7o730rd/QXV86tlDFljvLIXDqqVbueBSaVPK42tFpln2y9eGBE+JVlt
o23VFwxKt0vlnxpOIlvXzp6brrlORX6xoomaWKPJt+AbT3T+3plj3Z4URU57qJOPvbMwOqM5x49u
oCHUfNc5/ZrOfYoMGOgdHzJdP4xpCBEZ7pwQlF36jWXmZpDw6jcDE3HTNi/08JL3xmoG6//R4565
4Yu+ir5ZvpVm4wTOFLmBnbQUMtWYDbuICJjhwXZisrjRR0CJNQCpva4nz54lceZq0ZGiee9+sPtz
7SOm2U4OvK7EfSOLIqRNBP4Yzx7wDZtIe+ThNO34EjYZF6ecUMrGmTC0x6N1LTHXhdbEE9SbHuy4
9mmK8J3NC0FOCG9uSP8afTR8PcxSeNum0x8GyKebyYMYXsjUDl1ntSby7Od714lLVneihkPU036j
rXFE/jxIQd+JX0OF83prl43p1dVhRMiM8QN+f3PbTVEB0q4usbolZPcmWCajblBtxa/qzLmluhee
UsYBiYO8ThUcVmtDVWdfr5vNHC33Fu12QSustTfCGXZkmABPJFCLfIlHMpE+wnHMkQjaz7hJoqHa
U18/HuISbBL7Zb0dU4nTeOlZfY3lEZeDGaau/W2CswtUmWb7zMRFW8Sph2tL6ofBBl1X2gP0leqD
D5TpSGS38JHqL2+Ghd8gH23M3k42UzR82oQgNziSKVVIVHJw65Gao7Uvq5k+9XGhyzmOmzsxjQpd
DYkNoCu7zmKbhBxcG4+P4GgEeykoiqXAx2agY/VFwzbNkoEQlXwRjGxCSOfxWZFWsMI5kpVPbTR+
3CGS+r6dGwlrznZ3EWVRm8zjoJaUFg1YbRqdGP/ku6bOnADierQzRTZua4EFlSxhGnjNvGzaqVo2
dTOwH8nSO2l61oQ4mTuivWK5kWBdn+J1RyySFtW06cejQ0vvfpiW74I7QGhDF9tGfR3vGxIWB+lX
xdnRI6wSov2BY8B46hJAY2U9paFI5tuqS5ugGzsa/TpGm4PQrmBj2L+8gdmDRAPgXrrlrBTdJImm
hWRn/Ru4M0OgVKvvDDJ2APQETiCuxGKUNN9MuQqkVmFydbqZc6XEl0z9Q+jqmKidGIfCqNIomJuo
v84YQT/iOmO+XXPQtWM2gqEaj1FSjtu+qD4z5rCPBQdBsmDjl0V1IH11MPRiBzylyq3yIOrIg6aI
oT8ipbMfh6psdmJRWZjOtiLvUfPNdi269RyXgbEb1XIPiae7LUdYx904P9ROdakjJ7/knRpvBcbZ
Zx/TTABg6VejtfcDOgk3Cbhhfu8eU/JzG1VDBksHEyVNl/WqEKFR1fj/Zs1sA8A+zAUyGZ9xOGTr
O5If2zq3ry0ZE445Cu6Asi5Too7Nkvxiq5chBnG0icz4nFin79g9wD41rgBNhZ914NnAUqFmALXd
j9pqfuDpTwLqecvHpHb6cNbcMqwjLGzaBJIHgnL9uIw1M8HOjBj45WZoFoqOtLnx3qk6pzHBZlKh
Ax9DBTZ0oD8LpnPu/EFNLOgMZIPJoV/QchCzsbKuEprx0/gmW0/kFIkXN8QbQDkq3zuSdXsAq3D1
48LHXlcOb8zfMRO72JNxHnFwTeaIyu7qRDyhCbARD/e5MbZhB0EwlALYf1Hr8ttWVJm7DqBm+v6G
pwYF9SCpOtpjv4/vzT6zd9qKJjPweHPK0d5GUaPaUJtHgjQrXrSmSgJ3oe1A00ySxpZw+ke/y92g
dCbE+slpyRfF2OZHY/J+1b3NMqnKnsPaksM2yvKTZ+rkeCpDfma+pXatUywHqc0K8qjLMK2aH/RJ
dmHt6O5F1Prey7J4ayeEGGTLiVo56TVLktfcU/m75Pj6krf+vzUZ/CWGzv+ZKIe1J+G/lgf2w4+0
/Nd/+c+mHfzcn3E8moXpbmCowEkTR9vfc3V1SpYMInXC8oT7b+Ccf4/joQQIlxod/j0YCM9ewTl/
0nH+IGmmA2RASQeE9lf9b797Ff5OJIAVwZTDxgbnWT4mtd/U3b/zv6meMidbZzqW6r1iburOlZ2E
JiaiU8bBiQE77trTRL/NY2yNPsdu308vqXTKD24c3oR9U9fWR5ypSDC2g3bV+jjeyd6yPpSdxfl2
TNql5wKikN1woixnWdScdoUmPbJwXTtfZApKdWtUrm6y4QrvBgVV3wpsVC9uz9izJyqMwdPDPTpY
CzdYxY3ldbS16AJaKnoG+5Z9ZIKTcQgZ1AQYXUGz5lyTVvluaP3sbXI897U0iGppmRW9+GsghSAc
xibZNhaU16XdWSqRJEhYXM+2lfuPqvH4iyPl5tsm8uSDR4nIsDE8icmdF1284oefiUEI/35uc/J3
3pr2Ivmy0xnLrjgaXBipqUmQ3OhvadX7MjCzIn30MPN+tryP4ewTqkt80RBdWIqTNq2z36InP2Qf
u0g0yQ2hKRKEI4hyuhVxfZRhWgjjl+U29b0N+uXCuuhwhMr0tg2Rz2lOwrqrq9AvjeVmGjLzIdIL
48PC2H/JnZzgkmGnL0SCaQ/KCSm9L5MfX02rXH7Z8USbgFXMlcGoWSnMfnYsaBTy9VgLHGwjMlCu
PR/6Ka2zvR7RHomRa2AVo/4cwVqPFKarps3TbVa68NUl0JgHOiWHD9LHXNdTXHCyG/pjPMbNba9x
TdgtEz5Gx4w4ycFazG8o/aowfMnka5qH/oAY7IaNRy9vq6b4mUigwx/Uu+GoLUhUbmI5P2Kpd3fI
2ZKIVcneXAwuBCLomIShhQQ1vsEzh4pFJ+8Wt+fwPXeyxUg5JvnrhJJywpHeUWxCbGen+PB2JRcR
jWNSJ/ajkY1Hw/CzXzgQnN2Umu6jihOFPAL/M9CdyLsOkIVDHzv+HiTm9A53EITfHOlLaJW92M0S
U9jGtjre3AkZn1A2C7tc3Ow+opTgIkgKEO9b/1HSD8NHt2iCWlOPfgNzsL+XuKWPdWyB6nuqeBJe
wm2y7Cu81eD92tOItxqUfcog0SRAc9A7HTOSpxgUtG2/HL3WT5BZal68NpSesREtmTwiEtEeZh6j
esiOza3TwZwjUped4mjg6I5JEhJpuZacuit0WbSR9tykbfpZWUp0gbQ1SKiQ9pyTAkr04qkp2U/d
Yr7mVpE/KGfKyfKqpNwkGNIC+FocGYEjx1snoaUU+FveBVoVO2nAtctYRcVaQzXQnJesbsbo4M9k
qia41kcf9hSZKNv8QNTOd3Khbng7Cz269ZfF5DupT8YzHRHRJtVqkFJ6bB+1nIJOLFvaq5634PcI
U6od0KfiigNUfaDRzq8tYuxtnUiXkxJ0gWrDw00rApOEDwy5cPlbBi1bzJd6v5Ugq74h3JfwSNrJ
ZHYguXOPSnsSmePj20QRQylNr8Jp6RHioeEsUiFafgJVyvdDbUWfBvOEcBF2vSdsbJ5d6TLNZdiV
BSRix/dJN8y1I1EYN7VndKecQ58WZIlnPsxz6p5JjyGLJcMi3yJdi6H7+e10SbxE++J7E4dkYo0j
awdmSLuzkxvcw/0Bysrw5tRD9u6qGWaJEBikzNlbl53OC7HsyC8xZTHp1MQYntFrWZZoaVtuXH2c
vqe0n9bUmXPuI2e5TjKnWDpqJ+ti9/50sKiQuh1d3X4HsVKe+EKar95CdcEMtPtXDzvkmEYeiUsv
Mo627yX7IddRk7zBMbbG4kTnyCXNXFhcdT2jVi+1yhOWnaqSd96QLnvorBiC4si5qSYHG65o7CdG
XUwgqhqh0Uh78zvSXPtNQjU0QjWlKdga2QG7afBWgjjUwBYWQvaCjUi3rLCaopfIMc4N+TkLp842
08xxn2fSM5sDrH0JX1xD+irHFdbjYRTFVQYmCxyYeKgq339KWhhbQh/Yw7Ai0gklTfja+jC94uuJ
wsjqiwfcPdFPlpfoBktc+8ZYpmfUUFov1tRVTZg4/fDTYh5DO2Ge93sr6pK3WqbYxEHuhJRo9dsc
018wDLG7XWqj+gABZhDp6sd7jY9vqxEmu2Boc14tbFV7FtboUMGiCSmEzynL0nIserHD8wUWiNOy
yRgmFvkT/W7z0+I3ycfC/xVOMzsHAXXOvHGrfnlFU/wwRipsGdBILF5qLuydByXumAlvxqziMJ4z
yzgkMuXeojqke90foas1XnXDmJWbUJPPT1J64oB5Or53yrm6W2KDG2DnyZ3Zc7d0Zt8Py75IvnO0
8r3iKs8duzL2TKn8lYTusPsZo3njGXNyT5OF2o2+Vh5iYmAUzsXLSfPs5tMZomjfunGyRY5fHpJq
KIMGX9/DxCFm5wyWf0OW1Dh3hRfvpV6hqJYNifeiZzIbJwC4bU1XN0vqDQ+IIhXDdq8OLeGXsDgq
pTfsIFJjUlKv+Vp/jdrm0mHuYcTkbxdSrPs4LjvSciyoGycVVExTSzLsCkebPvo0Ql2Zf8d6Dbcn
oGoXiMupuaQxAeM1BKx5rfwwjGHYktWR+0XXrW05KvegFflMRDKJ9/lsJGHCOPqlk2SMY8WsIKnx
AlFr7d9m0yR2hPhUoKlY27uMm6uNT8rrLLrOoaJgprSPL9he6FZ8M01Nw3CQsrtxHqcj6WBz7w44
IDFDkUutC5z75mKXASYxPyw0x71nAZPXKHbHbdMujOhzjYhxnvLq2c737cjoEmq1eQVwRGwNms3J
6Y3q1KM3ICxl+lYfjXHfND30IqgkWzfnRGYCQdyQNWz3oIwN6Kdds6NUXHpdCJYGe8hJZm51rHnV
56Krup21VgFgzRdHh3vmJY70OMzpqbwTasx4UpA+4myxDsxpXHQSG8tVbiT0Ug6L/gvDQLWVNidV
ZWA8noThH5ehSbZOVAAh1FwIOGTKljU8jh5jc50vV1ksYe/aNI1wvpo26l8KAqhIybjUUWzIv2/g
Ok00eS2TbQNA15z3rlyq1wlyUb7NRRnDpZ0WarUx6j/njqN9qVqD5BDTwIKZP66QwTR0vXGI6vSA
uZmhQE5H9K9hHir2oyIaMRv7df0cL/iFEMad9qFk3HHPiZTHMeVL+S2S2DsuVuw+dE2kPkdqj6h4
ibo9g5Zup3JJfsTwcrXzK3oyNl1nEb5AE3t2XQ0qg5Uaj77uL/ahdWBNh9L0SJMxVteZQOnq2uVI
NJsYa8F3Tna4CIgDNA8l/eY/qqS2hs1YkV3b9EonlZI6i29w/qJbdEP1Ybfx9W55mGazRzzACftR
4iF9HkYh521hc6fwhK0tm2HUm/f/r8D38+rp+ncxnWaU//pauk07OOh99d+CH3Xa/8j/13yWyc//
KcZbfyCb6wwL8VUbCOz/UPvCxQ8l3OMb7K29L38T48UfON4INHmEXBnKee5/iPEW9jaPWyn/wHbX
f2X8FTFeePySf/Kw+Y6FS4Dz2HpZtrlZ/308a4zdQltoztjCNOXAHkVHJVy1cxgGbW3YqwQJui+n
ZlWmB4agtzTO5IbUxhgteGCDFnpK0GzeLPczMYjN0M/vIvVPdpt9+P54Ur119QV5ZpLRhyzD5E0i
MGzd6FX6zMh12dzpLUEKguEv/dwjjvnQq3SyCi1DyUIsNswCnLOuNyoEOedkOmkdCpgFG7tjkxgB
sm/bSVq3siquSUSrIYz7E6IISBG/uLZjwj21zaicx7u8xeWfP+sEF48z9jQy/I0R5I2Ewq1Yksqi
6DZRZ92Srf8CirIEFWmHc7IiPwc13qNtNNt50adtVTcavvmFfaW9EYT7GfSDE+POde+wSuPY8trD
NDBEbVaHX2H3WHWS5Gr05csCugnYHiucVlT3fCy0jKXDoRD0ttegzxhLPzkAsImh+dXNqPshYR1n
k5Zc+nivi71bukylzf6lnHB3JVN7k63cCfQxfTuAV0fbx2vn+pJO59EXV7cnGCFJne1Mm79UB62y
KSxrDIDBPC49BqcOQoqZsItF8znJhus8TByFrAhVUXBQqfUns7bgpFUMDWLg7RPmfRMRYeacunEH
Hxw5oRSCA0S2IA6XgTC0F0q8Tn5NkaiXW69ZscjT0DY/FhMvU2Nwv8g5cgRF6r33scbANOV0ORvu
ELjKQSSOdY0Ln/xJGMDZplN7IVtYwkswwoHOWEq1yu8cbsEmmgq1T8U8hOBNZKDP5WNXZS9mUdcn
PI480mn8NuZFu3cZf2y72U8RO0pujxAcjz4n1ge7NJIgbeDZQNhDN6jVxVfGzyXGVQhzIDD6WGGf
h0UMK4xzDR+ftJ1r1tIapzO+dT1v3FSu5t7pXjIedRFNbC+4GbQlDW1s1Rvs1izM2Uvtp88MgYHo
gHy3VvNYCwVpC1In3jCiWYLCzoiRVctDCkIBJ6ebP9vsDjdA550tzIdTUps/V8yfAaVspydOHbYj
UmMVzds6QXGNEpoYiNHwgqL2wlHLCogOdNRGDx+WxhPBgMqERmPfYXNLgiSOPjU5vGKwQ69Q7c9F
ZD9pMiBtF+XnUXNf3bb4BoSpwhH4xB6oDmw3j0omY0pPVT0+60r70aK0FdyQNm6q+nBRVAEl+n70
jW2TVVgP82uBFy0oLC8PPFQouxo+WY92BbnmvHSjAMvL/VLLQ0+VdhJjYoHJqVSG7yy5WcgJzENy
2zDnqevycZb2SeaK5ziBo6zDVhtMax8Vw0fkm78MwpJTMz+5Hk+mqTHkpZ0PUEp5CwuEN3nsfoES
7Ig09HufGzi1d/MTjWuvfWdSdlNC4+tTLRSGfBCmRbKnKJDXWakqV31aCbK5TP3L1GfnDJRCLXu6
d/uS57WzSATF2Wdqek9j330LQSAwygEcu+mNranL7Fd3qVvdxIt3BgB6HZLcDxzBCSn2sHZ65Xzr
5ROo6cR4WxYX14DvUqFY8v3TqoesyU567320qfM/2TuT7NqNLMtOJScALZQGIJsPry5YF5/sYLGE
oa5hAKaVQ8iJ5QbdlS6Fe0QsRS9jZVfuEj/5+QCze/fZ552qhltt9Lt15DV3buO+TO7wUZvuLe0A
N5wEj6BLJApsHgHIRvGbXIVdee+AgWT6PO8xUVRHO14mj9yBp0Gny07wjFQwLx2FTHVzWVD3efKv
tSZmsUdyhrnCrmyKuy7sT5DVKbSiGR5D4nasC/TQAEJJwu8O7fNAC8wq1SpELxp/A1tt3dZMOgf0
F+4ipMod67WaeEhpTXYV14pQ+pzQGOL5J9ej2cmPSbf43OhXzQyxn3o5T+iWYrE4NAM+4SIYk+o2
Mfx4T5MMGeEqzjdVvVR+cI0ImMScXLOkpChl2mI4+e1QsEhPM/bB1nTjTrO2Nuf2rRaxvhYivA/N
7mCwaKU+QKgNi1u0TG7rBUy97jJEJccinwOX5r4um19Cz3/kIYiQn2VQGo9qhQoqBI82UsIhXbe1
ayCdKXSbnd25JydmCmDoyS4b0ne4SLW3qtC4ziGb6ODQ52spqVwvjfnRpGJ7ZfKbBPzEj61tINXi
Jk2vxoSobNqOAaLKNPCHjAEyvPKGvR/99ml+G7p6fGoTAzi1508iCtaWPcE9jRfPCtAv3Q5NGe+Q
ISneNxN7cqsIOpV9Z013jQOWfNXg2GdrToCF3U/CgDtpak9M0GqexOF8Zv5DcxXsilZy9m/5MDba
82gM29khT4RQc+s77N97AIDHiJ3Haz1RR+pb8pqfFstu+ti2AEsvasD/Arf4mvpIZXuF07CKHTAD
ojPrSgu3vEw2//+c+qdzKsfCf/+cGvTFZ1y8caH4+FcrFP7df5xRdUenMkM3hbUcN9EL/B6x4CQK
Dmp4CwL+5xUK4QtrkRb6whQGcmWshb+vUJYz6lJrqxvsV9H9+X8JGLWXtsV/fUa1mfU7wuMM/ccz
6sgUsIp45q8pqpgCy2na23kshodOjjiDTW96GkAluZPmNGPSckGOaC0Lh7dNxjn2OTYjneoYp3+b
x1B9AMC2e9G4WrLWQ325XC4fSmm3Dg6kOEIXa3T1dqgnb0d/E2UYAPOXiLfoXSKjcWOHJUdLuTQn
eaq+l+EsLwbG43YdVzYoR5PHODwtSLx2PQonOVgLeaWV5G8pB5wv3cigGa9YrZ9pk8KuXNsvMaK7
iy/oEmJ/JXdxpY2LP9un9IynaouXbhWaZnVXstHfAUp6kBvYCqzJ1eFObcYkvjTv86FTW8sxwjd8
Otp9h2YPA148bcbEZMYVTtOuSrAzhT6nBRpTyt0sImcj9KHhbJHix1qqDqouy48+cpWTXlXWlTFL
4xipRK5NciMf8ay6XVXp0U3MMpfEZds7v/rW6V3iBKW8HSfHDhTapUM5doI+WQ8/jlKU3zmz/mzE
vnmK2IdlQdzLCD9eLR9MsPRAJsN4oJ45FcRTSIuDBRj1ppWVuuAEGrZVPMTVLeo4mlPIap9nq8g4
i0bFxmgIsmrTxEGz1o38HXltcsFFlNOVNs7TZxRj5V0zzoIENbtsUwK/X7usbIAtQyO7duypwdzf
2GeuHNE1PzUoEiL46hxNGXZM13YRcMXc/7kgFDZ/dxb3E2KYbTfdzHVyJUI2+qOOGNnGowKt0BJo
oMygeagjvYGQkWQWIfjmbm03c9JQk9EbX9VsUhGUhTpECd+aDxwTpxfm383GS2pmpLYFdwS82bMR
nGyDy1CxXFnqMPEfRcnKnN3PYNwgl2rvhqJmr8Qccu5XxKWriAixPoIROEQ3SEPF9VqTYQ5oWYyW
z8t8HppV7dD7e8XeTo174op7g5RR4ErnYpUmgmJBeJQTrbTN6kXL9a5+rqTuHPWxtm6kAea3IbWf
X6PaGH5lnUFmRfaj2FFDa13lWsocK9Vrho2QLOKjsfrqtjKb6qzFzEiTHFNiMEauuGHXYtBFGU/a
a1cz0qNyiIFcrQZ1QuGj3KCsQ39LTjbfd7C6z0UZNvdNUiR73ndxh7hzjtClVUshaOyZAgqQpVLA
2D1kuNoLLXAqLrVq6qMrf47Trc+B83ooQrQ0XuSfu5okTStEFwXOMBq/wig2WMx22BqLofhMIxMN
FK1TOQH2pr9zJr1Yq1na/BmNuHwLI88/qNrAuTfYAwO70UdMqPQj6cTiIevG/CqhefA8AUy8mhIJ
yMrSmpJYiwuQLtvu1RaleJVe6CfrHrfO1WQWaUAraF8ygkPsMHSRCX4d6oiru+ZKxJO4mLlevBrK
I5NDS8BpDNmSKCGSRwpG2KqQNIsUrvnU3uEi6/VVL9Lkl0SouNVmLkZbuCpn7+Zp9KC4sQRD7w3n
qmBQFDBucu9m/v8Vf3F++q449v/CMV89iMjj4jOn8JWAkUSmbZguDBV43e0VuxjtarZRZHQts/8V
MB84JTfh4Ra6k5I31PAloqwwP4LbxFzDjPp6Sk1z29hI53sslHtrOU8hb0xvTKtDS4pdDB0nJ6pt
NZQFB8sievVqrQ/IsKFnGlFzQnvp7RWB0/xJuVZ3mxdefAzbvEUz03CiYlhmvEzM1+4k1Q6vSzy8
Ws29S8+RzNwXUtMRKRWfI2bTWz0SOi+/8zKD36hEuZKc7ZQ8TrhfNoCq/dkytJ6Ccc6IK1H3/Wef
2jZgE9wbuQESFzuhR/o1iyc0eG0VN6clsvq85OGtPTY+KDhIHogqxws3wim63Vya7mvVZ0Rs7TIH
jJcTCdIcjQXuOz8+uVbJnYUEc/wRaRolJJbZFO+9UsVDNPnTJc/89DUmmL9hcUxPPM/lT6DZ6a3A
Rk7FSWxa1xXB+G0na/9UiipZSm61XxV1mzX7R6PYik5nsFxX5vArVFPWrELfK89upXvXNj+Hx0TW
YmZawK8sX7J9zWlceUI9UNsrOy9plkJpy9ujy8InTwvlEd87DTolkhOrrxX7qq44kc7ud7x+p5pP
q3PNH6v+Gh0p3rSFdm27btOJ+tZCbf5LamytaVeNbzl/Mh6QgtAyH8+s22SCCUyfpfMhc8P51OWZ
dlNKHQjYcWJivU2zTD7op7+2JS3fTdqX11aD/qIveUsPZXkPzN8CfXIfJcNV2SMdao64gea39uPY
jHBTtnqKF2Kd9vDsQgUpL24519k9kWLnv9C/8t86xfQfi7bjD/n2+a+OpX8Qbbu/2cw5mXaClnJs
+WOOySDJi9kKp5oQtv7j4P472YP0ioQTGV+do6xNP/Y/yB7zN3f5Z/RhuXzaeX+6f2l0unz9Px9L
+UOBClGq6gpywD/kzx/IHgnIXHQRTRM2rPaaJuelf80cSHzQlL3PWapeZ5VJTkDwHsI5FOaXIk7m
txqyAG9arF8004C7E3526YcpvjRcAA8R3Xha0LZaus/o0e54zgquSkXMhp6ADk45Gnzz8HqejbVi
62hteifGP4nX1r5pflayyLJYz7LUYFVLsapgxWBp2RzoyzK35Oh+oHKDDa9GA98DW94aNjV3jwy8
GlpGOu1sp47/y7NgxInhaN7FS6d6H8o6eoa8AV3R7WpXt958rMp22uZJNLHnCtPnhqak7Vinxo1N
/Oko6OH7qrvUPLCxhXpcEFyzbPQbxAb6nkesOEdtziinX1bfYlmC+7o7vollMW5nsX50frbl2bI4
LyOXHbpjF/ODxeviWJtmfw5lRykNMaruue0qFMkhx9N+NKcTx3l51BMLY3Kstd3ehz+ZyDGnOCyH
cCyDOMYzw8Nc7dwqth4gzs1jGhbWXf5DBWSR1p7iBRUAiIYaaBeAoBskE6wfqoA2GROnUFTv9AU6
COsyfGfUlO3sOmrf6XMuUlJaC6nASTC+bTCGnZ0fkGFBGqysafbpgjlwDod4QJOof3kVmP66YBu7
jn7oCPRl8hWMSQZlt9AT+NEMDJ8a12prwStKX6pXsSAXjmKFy+sNDoO2yuzNKsr5vQzHcGXqoBtg
3iyTxgXoiH/YDq3L5wP5LvXgLeiHWiAQhyNKEPX+GK+1dIB05iDuX+qlmjlAMpaefJyR5wHf8idT
S9gSZ8FMqgU46X7Yk47ANwQyiRQOHMApVeSmd74bWc8zwdddkkfZE4twcdKqgnlSYS2US83T+91a
0Jehi81Vu5Qa73tt0neav1Ay1eCnJzTJaBwXiMbgMcBIKmQxXaKbvihl5t+oXzMuTQk+w1C3hjMu
Bx26NWHcqWgEWjeeW3yrECJ0Rbt0S63ZgvYwWAbz8RbiBxcJKoeFAsoNiy3GMHjFbkgY3xd11RLp
mPiiuPb6T4jX+mqY8+ym/2GMmIID4SdD1q+sJjJuuZyRXjDG8WK7udMC/QlAkFwUbBjofRkaQiD8
0jDjme2ZLWNmOWLL4yz9Qi3E7HgBopaQBu3h4LTbMUUK1PywU9OCUSVuD1D1w1YNo91/d4xo1umC
XimHPC+j2YXIMr2BhE34Q2pNVorXfcG3BCOtNzUUIwvuBe/KFtBroB7zsVrgL7FgYDyvuv0EgPfZ
0I12KBjqHmFbIMfoUIeijVrpAK/4/UnQWHbk2tqclk312svi4TVeYLTkb1zaD6PWajSpDHpvV7d9
qpvGwdUlCjB0OfVekQvUggRTA4dI4Vh3bETDK790yAAJfURq4lradBVXyKH5C3e0fdp13UfrUgq3
MgfB5KqMcjLRKKVuh1zPQ+7IRGiMaMQOShoQfRrDUYzxaLF9a+PPLOI2GXU7ArEBg/EVJv9OBX1t
1ESkGpO7BbOqL79wikPSclVxmmHoNwBcbG6xEpXP/Ny1J/xZlOQaRTS8GMSije2smy2FymrBp+vR
0R+zkbZnXH6u+K4ZucBLMZn/IhDJisltS+PZ7fCQbdEV6pLSZb8PA9dU/MlR8JhYzj3mrTBJxefU
lsNjVeA4XQsnlQcUpvxPegn8DYilFZ+aFRbxWihd3CoxmWHQE7s9tq0COZ8U/GNQsaG4hKD7H+Vc
kkJD+4Z4Ssf7rLBbldTaFxo3Ntwp2L6vh2RIOzIfNCU2fk17FEw1pRAy+mLWkVcrEvYVhbS2tLyd
I/KRY3VNt53pFlw26ZKgLtzt+d1lRtJccdFDnRbmY3qjMZV8Ddt4nCmiaJIDf/81M4zYIzCjq7j/
zvweaKk0eILyxqraz3a0vIe0tmfSJSqPXvvR19BoFfTNoG2Xr1FOJJBBb3NDjCPfcVUx6hXpWnmB
eICyrQtL6UAmRn0flouahoycKzedaUxiXXh91zHdFNVBLGnRlaO36uwIFLWcfx3zpUyKKDx4DF/F
uqVHk3JGp0RpWrW2MwQhs+4v3lbel5oWmF4vZTyeimmimHlm03uqLNhUfljZ2K8m3bMeZO/n901s
m1+kBCbzqE++ZL8kea+4kwcP32p68agVdINwzS/de5Nb7VJ5P036sa5Lh8opb0Ln5yatc65aEEpI
Fat/XeDM16Vh6KVyqmaDjKq6TNYCqcxVGfrBSBkByvABn9tzaPmhvjEwoSfHCIFEvUkLPdm3vKWv
RQQRFZhejyJ8ssmPLdFphved3sjqiIK/dKgFyvwm9tddVHkIyI3Ef7HJzDx0olmizV4pOuDmJLsF
VnD3Sar8R9/gz9PqIt6RbOFiSleYtXfj/AufR/Pk1zq7gs5m5CFSQ+f7AlDxMHPviqZLd5lf9G+G
4eF6M+M5qKpB2zOvNm8L1tWvRlKAPXSe1wQYSqwkYEdIia2teZ9cYcf/wmn9/03E3voPDTyBLD/+
9//6Z4Jh+bd+nw6L3yBWfgSyPxzC75Nhl8mwxTHOYYngAiRwzv77Edz7TbiOzRPUNSzoBl/n4Px3
uB4agggXSgCH8zdjY9f8K0dw3gJ/OoJ7tsXxWxjw/aaO4hs/wZ8nw43SHTaXtUntWUuptadpNIOX
tvNh5vx2QXVn7Pqi0nJu86Qo99YY1yc3jvwb7uQp69Z4ZPvellbxi6Q5fnQXMJuprOcHJslqDgJ5
Fz2WLOGIkeRxz4q71epg5i1I4iwlRyJANQGRkrh5DQtaNECc++jgoe1zCFg38tlO4/p98rVyZ2qD
/AaWJP2fOhwjmBGX4SlFzo+11U3DjU5PQ7VSiT0sOUkLM2Qat83GzesSAVql0WVIe9bM83Y0qSLI
oamzDVvcsSKnnk1XkprszyJFqrViD9t/OLnjf3WchjtaK8p2vUQW1/NoupsyTiwmmL2amUFlJYnR
VPFCKMG7DjziOntvlQN+PXruskurId/PXdGiuBn4U3adulOG6OXFZHoOBEnl6RsHSP9aocA+2eC8
N7qmOw+OrSwWlpafAE5q7FCpmTVv3dTWWfTr+Rm02DyY5JUpFZGIAlqT65PKt8pKc96cwBF17ffP
eQcdv2uhwXe2LynLkSjdubvEFUe0Mtm05tzjjbGIzNPgshOWx4OwEsPWHJx2F07dAFrvmGDanaqe
IILnLCiL1LsqjJZMVNM3UaBnBrT+NOR0dDUe5+8ZmwPRWBcXW23FR37Rkm/I1e5MFivb+KjmvjLD
9d/NWc93lVmE9xrHx3xFq47Pmy6LdiO/sWd7Cfa3fl4f06hu7jkx50dTb5O93qnmQdOsYd3YJHYb
T5AlIJq+y+bOBNbn/4dbFQQiFZgC+JWND9yUs+1Ml0IWOE1pfWuOV76XCwKXU+iQrCZh1FdMTL1H
OgnjB5lH9UH2bCtbOkbPGXaIQOe+diT963z5NJcQdHC7m5wP8LpiHbLxuLc+9GhlkEh00Ysh++IC
zGCxMIDz9SoKqslkt+wntNBlZFzW1wkZARk4peXvaSxWO6oiinc7Jk3ALt1RN0bYtl9p6FQ3looh
DmlTv4MqoINYmypwbtDMFRNp8ypnWXEqs4iPa+imPmrhRhynxmvvWn4RiaqomijLPAZkX2MyYOxX
HrtakUvnACXeuhqNfhshw6mgIBmcjtrRyagWGBi0FqtRt4yPQQ3ek0czY7gL41k7V9gcNlpcwwg0
Q0/nBLAxI0s7PVkZQ+g1+rdcXyUQkM8w0jldVcqrGRziMdqbMxvj2YJiwaCDhj6umlg9Y69gBaxK
kbHk6OeWQqxMwWRAezxnMXz1XpSeHkG2NpG/AeRLv0dDb99nhL8vDV7Bm75jnMgholkiaghLrzKN
BbCTCVRffFyqz9g3pl9hVhNwg/xkZlwhWWJ03SRcbmyn1wxQd1sx1sSkjw8irCukQoKPZaloemXT
FVMRw64nV0P6RgNDz6Gh9x8jxmdXozXpBy4wg7cdi1YdHUoF36POnC7m3HGG8lKuaOsao/dtHXnm
hcVOy41JN49uQRywYzV+mZj6L8HA9MMeBiMYKDL55UWac3DmWkBcURZ5Flbh4jNt5ju7nOaLlVHx
KltBx6vNUfVei3vjoMtq5Bdbbz6o3iCRp2pulyCP4bANe31ECZNH+7rzupNPvuWlaUiztmT1PqXt
lMzh8xALitI4EUfiFPIB2kbYPC+s7Nx9O2riMvTx9K15bns3y6Qd4G8KeS4xI3DP5vx2zzciA0N3
qrNKSTr46I+ufcIU26TQ1WdfgH6vvUZFz7Pw5tuy9fstp+rpkfPiLNGNFtWj71jDsclphp7oGz5J
w6cjTVT1U9dpDaVolHZY/PDGiWmqHGPvMQ/1Zu/YOYISm8dA7DAqr/3nyMjkbrbb4uw7qfOqN0sj
OG7kbW3mzldZx8XZs3qDvT84RRaZ8t6qVIypch6OjqlVIBP5eE2uPndWXNLNLxHO9jqDt7jGYOJw
om9E6bBp8YtjSJcvySwzujJ6rTy1fsuFstVRya3JBmRfeSMRxikt1N/9BtzXq324rUFCHWW1uhGZ
dHZF25sbK8+jpwh345kObUmpm8VfGHeGijY1oxVXTkbvleaW9g0IGtkBNcsUpi7lORxzg+J3IVFZ
oFMsA/0719wWhNxk0hs3sNyM/su462/NEVINO07dccOUllthW+MBscr0yTiMcWOtuWhQ3TT6yXfj
x+55sgoLFKgt7uiCK87WULpHq5yQ2Pga8RNlRafBmOrb0CDwu5Jx2vJFjcLmWM2hm78bybXEi8ZD
Ohf1AcpBHY2wdihL8PVH3tBYjfikGb+stNeDrGrEzqU/9aqj2Qdh36D26CTanWE3WMz5+BLvKSjw
wDzEU7aqBO/ZKbnh2Qh3kzidia+IjntRZo9kuq0n0aHbbpFwnIkS9jtZkJtf9ZoTXw1UjTJlm/tN
wgDnJMgZbRUbPcnsfqi23uwZjykvnoOjjE6sJFLC9UALSkObRspUvAqzQ6gRQtNAlFWgo1WlM0da
37kTcSuass7KA7vz0w00nBLr2cn88s7I2klfMZgjLw+uz/HfezSM1PSgaVT8agy6fCphHzcEJWiF
I27HWDJV82dEBmzdky6+LYzJ2OUGVgMvtZJnmeG1qP1EJ8Q4thvNY3+ccKC7NhNX3TRiTmAuqzIB
/aKcfguoGG3S1mk2PJydO1U40zYmlr/VPOYfEWh1WO+IDFY3aSWjk+cj4mZWpY5mt1gCx25fhNmc
rvggh2dXYM1rrRKve8erl3eZZNHv6gxfc17CbZ+NXwP6CYfT5izv01ZXTzYC+m+KBtz9bIQDqjaR
9e/S98PHJoNRzfin67mYsk2fh+CGeI6D1AC3UlPjryMxDr9qRyZrmRSoFv1i4u5siZB0nyi/6DrJ
Nykc0yGvp3wfhWYGG5hUWy3BY+NZjv/Za0RB8Vo3MJktO8oiWaqTCVxAE/jqpUm9bmsg6uZoZ9fX
orK6TylSCgAKynBW7Bv7o+ZbEfFCXbRPVqKcR4vVP+Shmcy7sku6HSUfzIUMpQ7NCJ3qZKqJt3T0
mcWxKHTj1HipewvG9j6W/OQGBnQXmSftrqy7Il0v/Kfhm/GpGdyYSBnuPNoF2lM9MLh2W6W/8TQ3
X1LPVjcYk3jwxQrBYMWDNXDbxjpLbUksIs+5YsVYQkCF/Zt0OA0HedUm+SmrZt0KskmvD17cNM82
GvlbTv/akZw4ITovWcBek88kxUl0h9OJUT4BgdLTJh33khskSQe6fi4WhpgPtzFwNVbO9BlmEn96
oo/L65il16rvO20/mWrvxCZzlSHKLoz4Y16v8J+/otjNrhueKR7XUWlinU14s6+YIzYnx0u5izRR
jo9Gkwvrp4flVzIYaJAT8qtP3iiT/YyV8tJprfHc1JTW9BxhAkl4YjNiI7tJJhKxTBo80Be8xgB5
XWEzK5lN9VjEpRbBivreNW+c+ezWPJ0ZRbFsnSvTvvE0m1IHNXIxC9zadF4dlg3HtlfWSwGd+EkF
k/6NDarnYaBXyX09G537twv0x/g/o6/y5m955/9R9PlNGRddixz1ny5qpmHavC6XtDOPTmChPyI8
zejPjMkxPeT6zLb/hd44jCHW6g+A07/4Ksbyn/lH2Hq5D/75y/wbtZyZFEXK4CvbaHvxOG/1DVER
uaLLTm3FFhTuFoVJ8J98zT8T9HxNj3suJD/fn6fzLf6bb81pFZzl6CFXW2NrCdoguxfrD4anG+0m
2f0nX+yffo58MfyfQNRMt4XhLRfiP+ycaGpHdp9XwBcbY2tuEIU+4o5fG3fWcdyJ9+xIL+lf/ga5
weOT4+t6ghT7Anr96WtOJc3LHUaK8YOb0b7dxTvtEX45yNcELdc/3+Ffkhn8d96L2gQs/n1m777/
aL7+eRyz/Eu/j2Ps3xy6e+gKZoaiL1rGf8B6zm9A8C6REN1mZPMzd/n7SMbQf1vCJwgPHCwJLvz/
/x3JeL9RPrz8C67L8dh2zb+0FQUX/NNH0HEwXi0LMQIWNqTez/71j78tNUv21iVGtuaGsexPppyH
sCV3GSUzG5e0LBAachy9rKu99CNaXk11XcyWf4ih3LF15C+NSTDTqHs7sGDW10k1V2t+CbGTgNJw
8ze+O4zbq1oZWUB3+4GCEOb7mplvoromyaKxo9SquX4Dd8ZONuYm5JXGsiFV1wTTLZotQwmYLfxt
S0/LMBcGSY/kmthHA7ONG4dF3QLu9BplbzYSWkObbtNkSNZWV6qdV/o3ajTTdS0t3t0dWfO5akmd
2QRbUXP5r+wEd6leYEGLzs0MhLQESc6Oq66SgXZ0QwO0A1Y69B40bkktZZAWY3bQqcw7+iR2V+Ae
qBLymfcOP3DmOWBgBgodkl8+4YZO594rukuSGE85jef7acrl2m0kDp+MEf3Mm+jTMSuX3YOpbap5
3EPuv+VM49eQkNeVW3BdNKNoM8iWoTfcbjCEol0zvf9VqfZ6EAnfe9pQ62dlgOxerLZVAqATSc+n
aLwiV9CUxiqT/C3l0FNXHcXt65op1Z07ROP9RK/hWnAFCVp6DlddZyPVmjoaxArmQqdlO7cjSNQH
Wdg89jg8VsznvVU8zem+V/wspY9NDqmhWOl+iWspGmRgs3RYD4Z+tWQndhgzxyCZ1YXVc4hwW3/k
7v2Wllm4oXbwm+obc2XNC+eRjpvQ5FdNQxq30mjlI2SjvsNh6YlspjeZZ9dKZQ+F5c17UxMeBzwt
2molk6EwLSaSRF32AWhzLw0GXlmZGhtSxpwTubTheqN3uhy8Gyud7F3fjf7iYp4Dqgjmc9Z53/bS
czi7WDwHXHa0/w5sZXsuURX1rQnuUdoylhrYBvEDEadhbbn2cEwqTogGpkK4OofINVU4e+bdxboP
PWDMobxyzA6/dR0/RbIUl6wWz9w324NWaQnBeg4u0Kcf9H88R13bbyRx64BE0rQJyYAA32UVSm23
PSGYK0+omy48PyRSAO+Rv5bjAPFAVcNIJ0wTLQcDZydKS15VgO37IrHwEGWRveZiaB+1CqwqmiJ/
6+hldphDNsBgNA4YWHVXD7zxHUb0TPk8mM3Wfu46X25yOMESkCzQkqmmYjWhOULqKRwDdbpkn4EE
fRK2TQYsK5bvyB49WmbrO29y79Ocj4JN3SyI7XTs/PloKq3YoDPk3qRYPVfsDxmY7cxOyu3gsZgG
aU3WIsvRj9rZneNLFoxd7a8xP73RZGBsKnf+4L0rGZaGD0Zpk0XQZboSbfzCr/WwLavui1AxydXe
pLDCILcLxMrIwuhX7Dwle6H0Wo26wjSRu2vTHqedMBZLbDqm99TYXFPsdeCCU60EksPVPNlP8cy2
mUtyFmgMRXaWXp1nPB1rm3BAKbsiiNsIOZXW2bcUD2jBnCf6xtYGc9dit9loodY+9HCMSGQKknuj
Se6iK50DddjxftYUxkleBtCQ0wXNwYwrzZy4x+c3AJUZJ+io+QISICjNVn1LzlwFqVAtgx4KW5q6
IWhFcPnglLJZsxHdWG7Mws4u+nuz8g5m6N6KMblQtF5+tBOL/FWbqpDQaveqIuMajOOJRFd31PWU
G6NmnVGhz9zmsZA3U34hKNCvKzb0gT2kt+Woyl0+ke6TERGxQTgRbgWq2+KEvXznptGm1oTa4r3A
rzCwubRiD7SRXFAAZHCLHgEfhQRM9NsOx4vXGQdFfgsHS9Kv2rG2UbmYJnryvo3xmTaY9lA5bKj+
xc3T1kTHU7azxzyy6GJngn9MHSvZY8WYtmXa1bvCJTIXDXp0FmR1D5M7VzuleySly7w6spEW2yWu
uWXcmuzYNvfAKpa1ywiIEL7XGO0uvsmeMp/D6Nn6njwKPl0u5bzbmhdnMrWTNGsOkW6jAr/BjZe5
zpvDzn0tmBqtRta8xxLN0SrNx4b4hT7tnNKLz1VjFoE/MamghyhbD2YcUpcDrqwMIidlNYRvvJIj
hI4F8/ZKp+AsEvWTPlFhGYSmzz3Z8kITWyPr61VkRPO5cttu58T5QR8gUuldvrQMJbcG6ZQND/HT
MDfc5Eni8NR2v2QYYvHlcIzWXJPffJaRpyMj5vpt3MR59cW4EmYexc6Tm+KNkWEz00w3zGtjtHPs
pjgKKhGKXdkCzXNl4dUz9s2WlLPFRxmcslpKk+BDbTJPc3ccPac/0XazlMGGzUbvpdqWU/KOD9Pa
DlO1q6bwceb3f607Lf08wubinj1rFsFvt6z57zn9qwOX5BuCS3PD8KuteeEJoIdAEahe4o0mVwf9
nkbUdvkmsWlY4kHKnEA335lJQ/bGVGUd1Ax41nFiTFSbq/Q6U9lz5XI1iwdipVXtXxJ/ULyCDAHa
XD+i9f3SrPqKjFgKOp7dGjPlPD0o2cqhAy+Y2QSvKlHc9Iyu161GwGxkkrEh79BvoI9528VeuOpE
NQVJZF7iwjhP1cQOO7UwtzVTum76zFpjp/ukZqIPiLs/xUuXniOBsxDXTKu4nGi4MobxSuNTs6oH
5u1mf2cLVa9ro/xOk6JFwNu9duX8kUmF9cGm1AY5AZWtTuPfDXGKNTelcGFoqFdn8B5Urik2nlkm
Bw1cZJ3mbrrrqu5RzuqKqAGrNG8g48MaZMePhz63jIMhPxVMxgV/eireRvR6Bk0xufnajiWTIP7M
U+fdyn6K937XvUM+vadNM9PSaJYBs410r8jFYZ6xD2XY1Rsvlt6x1CwmE3yzjxQMv7Doki8hwkFD
7yMUk0a0Y2f+kWmFvuZvLt8Jf6blvXdfQQfdnd1UMqDTje+nbf0DSmbOUpEIMU4pbDPzCMGh8YoY
8VJvowV91dr42k17cQPnC3BCHdmh+j/snVmWo1iWrqeSA7iqheh5LHpQbzJZ98Kylk4IRI9mVOOo
id2PiMrKcPPI8MzHu9Z98Yx0N3chOJyz97//RmsT6zwHiVdnkdsrDg9lUj7ddLkPtKKXMUqsyqe6
js+OgCEVQD6+FtKCZEtd7Se/61LJ0+b5UxIBFmD1vcXTIPU0sWqsuiC+zT7XGn+tWnwsqaId6N/N
M+CV/IhIOrsbq/gJtgiwFbHfd6pyvXyN6nn5qZQDexwJ09lLJGgE3yyFxZ4RYLnSyh5sfTGJCZCM
Ltg1Z2kII/owiAMGteKFn4WGZUKvmIspAx9lRd8NJe5MERRES02ZZeH8Ui+VDblRrmWJ6o1NuYic
oZBe5Ob2EN8G7mmUcmqP1PAlgKDVLxDNTCWexIsUOFIYmiCChbRSxYRZnaEGUY1pKArM/TnVHxZ1
+yhchDvm/IWVTlMGIUtPrCmbLZcXBSZaGssTB2cqALk4aZQLv6ML/781/R/bA/kvKbvWZ/Na/0lr
+g/Crib+B5NE2hZSXnWJtw5KwN/ZAvJ/IGTXidlQZE3/ncv7j9YUjwOVjnYpYz/DCPh/W1MNIgHj
WqBKGL0SP/VvsQUkmSCFP6BDtKak/9AwozDH9Y2khW/giV7WZXc+q5INnV1/mwNG1xz0pcE4o5K/
VGlBaCptVW8pUcUMaUIOZiEpWryqeZPvOnRbJ4VYaq+NlIwKQs15eZdSEa0FI2XokKJ4dtoLCiso
NvrZLAX9Ynhx31QnQoVGan2M77EEPpP2wlQ+dtM8aSIYjiol4QQv1+sG2DYYEuFACnfqTU9wUWCL
0I7MPab1slMBtPJm8XgeDemzz67Je4LB92oUFeERgLezDTWFbjhUze4C+5dxdE3DNCnq8gEXlmzd
jovRHWTxtlUvy8Ir+O7Uc5KcPEpJqZeWtKzLFfT56DQUmsz23uZ046hjjyNJCz5WgEsSRy5jiOCW
0lgbYwLiafMfcwPkWCfRdK9Lsvi4lBAAAyp1K2PMyd+Rxxo3YHaOwT8v5f5JQTCA9VKvLNwbkCVs
jHPz1U95hz+bTpxBLk4Uw5GoH+dqFvmFdDvvI2QAvqFd8d7uaTge2PYw5zLSxe56yWXJzFpJeExL
QfMFfJsx87uKizBWe3FVJAuE2ASxUWpiWK49Mr3DGQBGEd7monhZR+3IRo1LY+GctfOSGaI8vSlj
jTgLkli/llEa1na2aIYjGjGReVc07kkAxriiJYfME2kpUVEY+eVeW8Zy7zfMPpckaA76qR3wasG6
4lI91Emcu5ereLtn4nTeLa9t4ZfnrvKgnBThFTAXc/ThvPDUIavf5AtZuXJyrsIhzy8f2YRKCSeB
8eIrLXK8azamL9wxOjSlk7q1Tgl3WHQxlrNlrWKz0yhy7pPz2R0lNOdsvI027nvpMvOUI9JdMoGB
q6okwtkWsyV83zNG/3eLc43EZspGqJG4rKL9Axf+Eklu66zFDc5bHGni8SKmxZshtsANNd6RHCUT
nh8tw21TavN5tlURm6beSty09QV9myzN9gCtdsOQRk3yB7yysacVRMYTvTwgHhxaw8XwF30z/JU0
xIE6DhaX+Q0soePgXBjFiNz1Rvwc6h7yRV5Hh3rWU1nNxaAslJhdirfrDTwpFweD2lm8dLYaJxdE
15xC5L8vpg9ZNkAK+lZcE7ugnc6YFds3ZUL7ccVivW9yMlDzxCh9Upybk4Lj9F7vh3TP+CzyOni+
eLxW0zbi2F1pC0pUjEaU9aLIkbdT8ZQOBo8SpyjZ6HPGX4I9wwWnaEh9dfLEzkL9gGizOamMNN/j
qRDWYkeg7jhGRlBqOgnuk7iuuum+7DHFnGQEA4lNU5/vFlek4gRv5VZzrvpV34vPs9cgLtpK0VpC
rtAhwFmPPQXPDUcclWYzXaihHFHtdLcsiM41mVGrUHFijB8g5VGo61kaTPGip/nqKAgKnbxMh+Wq
PC2nmEBcOASCbLLOjWI9JGg0STqtiaiifVEZb0JpuC+jlPM4GrtL0BdU5TikpesayAOfTSj05dlP
VOREeDUl+WPP4HWL4r5v3ayQh6dLqQ/PZKPiUix1F2oaxL/Z83TrO5C2omlx8S0N5YXuXF8ZKsSO
mGxAxY6n1ghiw8BjTlvirHKZJ/AJobRRoElRgeEVFkgD43YnnlQsK2Htb4oCpIQKTr/awKTiqS4E
5VW8VcqzvGjhBPRFdnvHFhIyprZoJrTzFQUmzBGZt0TLKvmQKTUjYfjHt8ek6THmSAZoMRSemWjH
dZTcL6pq+VIxqSE14hotnlJl2R8p7Ovnjvv/iMHXWPMnHapfGdst5F7aqDDTPCfBVdCi/YDP5AEJ
qbBZFhWONf00ds8daXQeuUrwmHsZSpYh9BGTO04g2FIIkhlu62r3BDxWHvQxyra3RC9f6hLndQVS
rx7ooD+CCWWq+0JPVqyqRpWoiIvoadmCHf376P3/mzxJhbLjn+Py/1kTYlyl//1f59e4/NvH59+O
r5e//eflo/7v/2r+z9/2ddmnH5+X9/T1b9P8R+0r5lBYQyG//7limj/p72A+VEleFeD434IKETL9
b8WkL/E1xoyP2Ag6j98toP5eMSG9x7KYiokpEEj7/A/+3bxYxL1YIJqXX2RZkP8t4f1sW/VDvURd
oGj8O/o8/mHY9G3wI0n9FZBjTFy6gH6dVKbUWww8czgHm+g5+kivZv0GzX7hYNPKPmVdL5tqg+Nc
CRKIN8bqD7d8//MMcTmzOf843ZPhjorYi1ALGtKS/+LP/zD8kjSl6op4TN20dgkWt1OHKbBiQdon
OKq5WPru5pR2StqE1akHwfjF589BXD98vqLDEyPP3lCXKrXsd7ZpJqlpCbdl4RBzGIgOtAYvs5e5
1e8JobKweQqWX5e75WtzTF5In6t/MUOVvw//fvt8/HkknMQYmqvzn//h+6sMe69ZPWFP4/XQAV0M
gfs6JL18FC32aVKK+vMTYlPlES+bAUd0K88clTgYcpwMwgg9+a05qhdTdzNnge3QHuCw+pQfh8dp
Rt0sSA7VBkRb2Y/gGFb0Ig0HoNyj7vz1g5R+vpFLDTIx3hBLEjwhCv/4RZQWh8MhvsQuOyz+/oJ1
s28BPJjzwhqndYWPrGaeH5e4Fj7Haw2nJEvb9I7kUCkZtkx69UD2iNssVtFW3xaP4q+m1eLPd5oL
pJOR1CUjZVX71inAjqdXuHGBiKNtmZmu1BIya6qDBXY5B8muZXsiL96M7zGQmDC5V8zlPBF1I2fE
+elyaiP/r2/aNxcM6gj9x2uiu/rj0+/ltoUHVsYgYgdoRS6TJ7t7plo+f3ENuklohHOxfjX9nSfm
f3znvn/qtzVXYnGUqBWf2rt6iIWbJ3nzJP1Xg22RPeunz8H5XxQ1dh3avm+T+xp+7zi0VewKB47D
wsbfsv2I8IEgc+fYrzRrcqN3RcdZF78Zc7Il5xImzpxuXf4+gf6nVIXlfCO/f+U/XIo2r94/vGYX
KSYVvbwCaW4gRXkFMdRm35qc4LbhRab0qcHSufvrp/snK47ROkG3gqyw18rf9xZ0PFI6tXnGihsc
bBOuW7g/L4tdeVc81AHxFk6xQSNljU6dWgzFZLewhTecHlL3f0bw//wGzPv6jzeAa4HxzwECXZ9x
8Y83YGJWN8rlb9eie2S0aiudKK/ITiazGuymswxPNBMHOLyrLCjrTeWUv9hr9eWPc+R5uf94Ed/2
iFpiioSAMHMbp7dv9jXEd+5L4OMd7V4MsRODPdnvcca6Wxgm8bZnY3fWgyVmuwUZWovl1/JqV+/M
PObIsYFW1iSTFtlbMSfemJmBMdjzIgoZId/E9Zkwi2BUnHSrHqRdTdtHrSiFNPEUt+IX3BUL1Hhc
C6HoocbK1uk28to9cbDXbQ3s6pOnWWzFEC3rOWjX9f68173F0qyC29pYLV3FvOLnVzuYktEtWomF
923u92ux2jbEglP4pmb00GxhS4HWXhwYdEyC3kXYRbV/2/U212CgJDUzctMWqo9UC6dTMSwH0HMY
1Pv+PZnwI7Wam48cH23XYKpb1ZlQS61ExawW7mU92mBueNID8t7lK60NdMWdzr4OWw8BxWi/DK+C
dFgm4N6eVG9UpvQAHMY782R8rMr0aal9aCUooFdsL/sLacMxDlZrpd8O46a6kkLFZm7P09Mrjsag
fW7N4OW6yiRbvW5jPzpMCOdcmg9r9GmK4pca/adHwki5wUw5c5PG42YmH0lC2BkJ8Cukiji8ZG1o
NDw3m56qyCxph/qseMUor0cBDTlJ2CR0X5B198reWCtHqpUbBbGHVHFy4GoZOKH1Vn+P0YCGS4jx
JD+I/Rp1JXsL+T55vldKO7fOK/im+j1E+zpoiy8GO8nCKdaL12jNwi8C2H34BDaudsdovqQp8Inh
SnhbIy/BiWJ0CidzI1w8cpNL8wUGjT5g8rYhzNHOw8XjBQAfXZRVvzULM3XeOkB7f/Rbf7y7Hbqn
T4Dt2lTerqYQqmEbXMMbhKLrV/6aPMNsCDUmLrAGPm5mf995OOMR8nOScDFTbMDs0pM0s7CIErMW
hYVZowdCmnLIH2SY2eZ9efZuhjdY0n3jTPg0K864bk4L84YX0kO3gSeREsF0J35IJMOFpfV2/lhG
JFWzTKEeYv8biLz9DbGPdzD1b8YpYkncLH5V1LumeS/6N5i6MMWpQ1aSf4X6V2GCEsSH9rHDLER1
LtVjdI+UPVla4n5xuuHXY8u23vmYM8kOxig1d/dZ5JKb/TX2a8VL8h33GZdgBHjzqsUJwkSArT0q
hNLAkQzhdmWMvh7x0swHYpXmbfpGtzsHOfm9Huqf9a5LfCmysFKCtCQPj9cnMpHEY+deg3bLFurL
for8UYWlaEVP9d2wU6hqvW6FU5CNpHTHuK51RKzsYqd1ms4rPCYOm7awNSvf1H5FYp2LLtkCdyl0
f7SWB82LrUs4rQgW3SVXi9giCxvnyJICA8JUsUvfh0CtbeK6wL/F/G4pH6qwZ02JlBlkcnL9aEZD
SdyUe/1Jk+7H6lMqV4WwTWIYz6vp7OJL1PenWHxQsiPfp0UbwVdsnWqL9O99krZCF2ALWcm7NBRP
2opRYYfti47ln6k9Jq7iDOJ6DJWJW2/DEHyGpooAZE3QZzA61z0+PBOOosMK58s293OZWED7/CUe
l9vaKe5j5C3dXZrairU8Xe5SdAvOuHDENkx0m3sJKaIJYLlmC6cdbJXAYFMIJrcTObawdZ2Ouqsu
93G9K1JnfFhAdh7WQuECqp7PfvV6Vl3jStUX6IlzgbDyfF7601ph1TKZHWwHiO+8bfbVHI9tn7H/
QdHsS6d2mwN5ZndajRUQAXumaFaWfkcW96Fw86fc8Jk+Ly9eadefKJwc2dUO3Xvv8G84LXIsPEF9
XL2w31ccSV8tNzObLu9deD4kylW+mlvLYj9jF5ewAzeCBVoyt3SvRmCEZ7/ZNZWdvw9YjPcYEzhl
6yCNzwYb2m7vKJbop4u5xMYw1i2DcYsx91NxL8UuOIWKoe6m3p5fVTfRrBspjNtsy/ReOSgeNccT
Q41kNRxzOyX3juS6yLpljlCvmuvxilo59rVnSs7NVNk4CEjjptE30aOMUfSc7q3Y0KzMQQk0GbjS
aeVVIxyRT0NI8joXHALsOttesbLx4/ckrD6zg/4GJNPda0VYX5z2PN/Pyc0ecPC28HEIJoaB69pa
jF7MO1e9ioYrlr4yBOUOIs/IC8SwSLbxgBIzquRAXzUBGW3e5HGrfFj9tIgtBxTqaZhdtSl9wF2O
tsLb2TPWt48yC8tHYy89Q19XT/Vg/nWt9SeVNL4huiJgAwLxBP7yj/VNRoZGkUClcOGbqSzR4/It
5rIP0JurV6bN3RF3Jx8wWvs9qemfV1Y/V7l8Moi2Lip8OGS8Hz9Zz85pJF9+q6zSLVlTDiqV/dmE
y+Si9Hj8xff8sX+fS6gfPw0d5h8L2ayX8MKP6syNX7MPzddDqTc7j3iuNc+zEP6VMl79uXj+8TO/
3dtLL1bY/5D5zpk87rP1aJjxVrSUdbyi7CKHoCKS4sQiGMMGt4j35Tt2qzjFUueMe9SHj52yaVYG
aPzVlp5mEYwvrYcXHZrAkxpKdnMqOHDVw/Uh2xvui/BVB1FYhhlr3ExNNVS3V+rFyEMq5Yz+LmKL
f0jvytWELeZXQVNhz+Wj4haH6j6x0E/d3lAXZW6xGVnxbu/0r5wMX7jV8pvNodumDlkwfudKX3Qe
JzZUr13hOzpslrCJTLFx2XOgM+G22X/or9eX+CX+LGARYNUGS3fLjHS+6xTsrxiNqVQGQb8DtaOo
oshrUwayHja0/EdWgKjeqbo1rokq3RhbHH+Rv7mqPaJ5GklVdcTnyCV79jX/0EX71rh4ukRH40WG
joPZrQm2jfuSuE8GO68Dzn32u3RfP3RPyxcOQBj1zi3sX5ch2S/WeUfWSbNZbDWns3GM52gi/sOR
vGo+7Zj/2zf0/9YFApfZa3Ze7jgINDL8Xtnu7Ri/bR++jVPfYYc1YAV+VzwbYfQEc0/ECa/EGdS8
QRx8YpsUenMhhdrrcjRvIyW6qaFY023EJShl8Yjl/ufm8EhhvfiABtAzx6IIw/gbQoYFMxHRlfHc
ET4ykKDND4KYJ7k3ysdRsSsMWs3mCBPoX2A+z4v1x0box8X8HQCbJ1oxQmCaUoEzygEJ8BhcQ+nS
VjPkg8PjGdQdTYsTA6f826+vAvTGFBtODyJM/VtL3Eh9kYxJWbjGMV1uoCnSBHK8Oq10z4ze+he+
78+N3w+faHzrfNMKskE0f+LoNleL/FaXhCVYvMRf+ZmLYwPu59uRV9GJHn/dd34zVJr3K3LmYfBD
U0bXDy704351RsudaF1TzLAQm8UZ17BX8RC/EX8FaQGhiSlML0J/ojxC6cqRaWY76S5duFeJbgFW
HU4sZqH6yUOPk816gGyZzQBhCVRCogaHZuXErDRxNa7iT4wadzev/iKm270ep36/UPbL3MG/AFYl
dRqe7ucH3DXoOKpfnEB/0u2rAkCeihBCUQXhO5J5gfiD4mhIQVXK7cXLrLnrTw2r2yp+6nS9E28o
uF3cE53LBrpn/pyxwuBvOs2vYKWfN2wuRZUUxuwiUv7lt5teIBrEB1tK6VHjbbLXXJjLFtzjg+gK
dm5frMj6xbr+Gf1TWcwCdHNk1zLj+B8fs4wDhQy793eoI/VRV/uQS90k/BWo9CcLCi4CBld4dGLj
h0HPj5+E4WGhTtBR3csThoIXoIOrjV9QHW0IWM+YuuvF15yrea7htzk3sJ3CEpjW0ciWVo9hYQVx
21VTB74zpjQrmaAfdjt6dZOKrRi8tHOWy00pklW2Tm4O9a6S+VN3XxDIDkCiuO3NGXpclczURqxr
rOt3NYIS56HEZIdDg6WhlAY+efvreyz+yVNdygCsiipJCmYL3+6xINYZ9GJKnBnAJAzABWOIFRd2
4l1Jg7Gh2UXWuR7xSEwstM+h6FLonfIjRvm/2sjEuc74cRs18O8G3UKKDStE//YYsNmTcOCh0o1O
iQhNws63Oroz/7LP76rbqjuUL9wbYh0Ua/rI8W1V3JyMUg1Plc0i9+rTgsoAldxf36PfUOa/uqxv
u3syqVPRpFyW7MV+d4eU7bnzMpc+e2ZSWG141swGpJkmGaOmr+kpubu9EjtTH5BXXTz2B1vbaXDg
Fy5lsLDtCbQLjEC8q+1fvTN/smHwniCf4s2ReFvFb6OPgbzbM9KK2GV0PQKHEWnGJBHS9X0hINx/
4cFC1KJkocWYE7K+4hupd4dr9bx0YFfGVxtvRs7ma1T+Yi9bAov//Hy5IsByeCZcpPatzpy6aHGF
H5C4OPZ+GTEQXVJt+tjJAr1wCMmLahOivyEhubfafD0lG8hti2qXtQFCznTpD4QuQml+xd2oDmKI
62EdwCDDuV/t7oQbia5WTOhGYcuhRnYvfEmKigZKI5PXmwk8gmvNQ5Y6LZL70RZ0CwqDUQcdBYyt
Y/PhKG/yCWAqJd76tYhdhAHFciN/GYbXFy6aCO3sToLfJw5/kQyQ9qO9J3kRXiLFXexDHF5PYbU2
niDvxXf8lcHDqn3mTTOQjbyGQACn2vc9RgIEJwAleMY7sNqAcrHAHcE839dotFJzsSP0AKkelLml
D9UgyZ+BMmQymm1M+r0FFkhblOqDttJux7Lwr3jN6qsCvrtqK9CSMGLjYIJE/wmsVW5Lg68tq2Yd
eRkhUIKFrRZW1pHg387rWQpSeqB8Nb0gdW/i4aNQgrJ8LBKvgnJjLfEdIfewDw0z8oyFC2FfPoih
DPZ0BtSlDwKEM0yAN2QoSQAdswuFkJYNy6PXJrXEc1iL5pBYi+NYmnlq8W+qogdwhFn8uzqDTR+S
GR0qiunKUtzrdYsZFggiLgMtHL6LPWej3wEkpjfQT8GhzHiYHGm99CN+wASIdOPenmvU7hmnf1d9
YH+u2XvDp6tPftt9xbvQB5Qq1y1A0ZlgbAxJbeFsVY7hXDeEAmMzfMGOtnNaw7+OtviQO4u7aief
+gCyhX92xzdEos9Ygl63TBugcFZudzNlqwo092JfN5dd8qxaAgliz9GD5F9shm6VEcAqrnCsSlHy
YvHfPBkz5Gx2CaxHLJD9rAHc5Zkk73y79lg/EyVhYI2CRB/fFkdZBTFfbwzPR1LFj5lLJL3iSnai
nBao8V+6w9mGH+VBvNR8Yg9WyGaqI26r53vxVXDmvkX1BIugGrtwxhVRxas2iA79miQWDSPolWCR
/r4TXlnLfdB+3EQr98e15lLy1yrIH/B2yxdM9qywcmu4o427WEgBsnjEQPd5+kzeiR5vPquj5i7e
lMzFkzCNzZsruXRLmtsZlvAACZdgVFA58VTiFWEOL7K1nGPALaJSmlN8uJnMyyyAgAZQenBu94Vz
9coTymv8XNzJnex+6xWf9DkO3RCjyMRcR/c9jhmVqcHPSma0h7C95RaOv7IFqTq+XwFq/NmIeIGH
uiVseAb0z088RBvrdnPxNmyrXe43r/GKbq9z1A2j2jB9KJ0lymi3eJDYpJtV6XNyw1t6vz2L3u1J
uBMUc9xh5BtZ55NEJI1dLkFwmOHqjrZmmNu6yLOY99HsmZd1Fqhh9pSHelA84ViymQ4cUPQ1dmV3
zqU3Jw8bNfu2bnmjfX1bAXajwzZVLid+vR1vLndKsPWDGoJ5eoMXfVFg7xV3PA4bBOfpoSqZJyzt
3EETQQMU0Ott6ZaOdLnDfgz3mQ7EaaZeH7aPcr+qIdAAfZHLfvO4xd7FLc3Gh8c1mdODsIlfxOd+
FVwPhLIFJI7cNFMM0sDwJEd9v67BPZDLm1i2fZRg1F/73FNI4dvo9tIfj/W+e2Db8pfmfXMaafqS
BxrEmnnKaNKkWt2D+HANtcccgJUa++y2lbkEf1Yc6gpLCHDfsauveCM7HFsuaO54vAJxExPYmNew
X9NFNw+XPeS22732BJgJRGmiC9tcTulj9/hVg72jNqOCanwcG0x1aU1vI/CBP911zIk3JK90IaOI
z/gN5cRXane7hTdaE+jkuFny6W1j6evONWozP81z+mZNJ27jwXpfbNJ1t8lPqZPYdOlubiWuECh3
rWN4Hg5wdufi7ONdHGE1rRb38C9HIi16Nz4STRKtLu+Mlc4896D0421tM0/nKSNcSVQ8oczL5msA
31p1K4LON82Dgqs6Y4onPCMo/EeImc+Si3nzQ3RSDwydGHz61TVQvZlbgGLvIHNXfd6s5WN1XGwh
ifMzFnrfIb2Tw3JL/ekbmDtiwWSlN0dXTOk4+7lQuprZfbyFHi0fMHrq3WWg07mP4IXW+ez2T/HN
6jgls9PlyeBMaraIqNaydeWpLN/JXK5dvCrd7qE7xKtlbecPRqBuBGtigBHlIT7xOQkpKdI3Xg7+
l5OjXpjnxqnXfI1z0HwJEywszrvkXvD0Le5sBRvAcLa1gKBmexmcPYSP/M3sXrFvx2RjKBaEpT34
JXOtI+/hBPqGnxvrGv09u9mwrYNSNSdLeFm+N05kpbuYt032apY1dfZ63I0uiQ3b4Y6DlgVtJQcd
xXLz0Abtrg+y+zZQWZwNfRYEU+vmoSeC0nrScHRhmyXf19K8ff8oreTBSkMMYSyUT+txZTjd03io
3gbOqWxLNZj1yChCTcaryYavS+F6/cxDJBqHdAxvnXtjLvCWfXUocPLYP4snWXrUM4oTdiw8YlaN
Ch3D7ao1AfIXArLfh99OckcPpy/FPWOuYM4Ak8eLUbFfp8996oqynaqYktnjStgPvb/AJaPj9ZQH
Z97ZARL3UCHnc6N9K3GIcK7YgAbsoylTgXgPmE8IQgUbE4/Q2iTHc3hHMJoXFkkGMPyc98FOfMGt
dEs/Rm70gdW2K9eByLyD84WNlDnAg4oGAMhpjLZAYV5vlcEtPFOJdVa2BQjpEpsUqclut0wlEVbx
37U9h74QS9N5La5gpENW22Fd7i9b+V2BK8MFNHaPZ4Lg43JLG6++jxObrDUjlPy9nnKks5ItwH+x
vp7nn+DTWjKycl9+ai8OVp9NkDGiZi4nhnpt85LjV0KuQYcezxNqjIWQ4iDqgWFtJnfRrtoSpLnS
RbPkhS8oE3FOWBVB4utuczyfV90eWauR2/n5DmFOsc/30lcK1mDFXMcQZCEcvt38/3rUV1bsXn3w
bt71reSc+53kcOFN0FrTioCp8OqWe2pN0REftzlwOxwRp3qNuXxTBVbZXN1H3OAs4n3M2CrdpZPu
eZvdets77MFsoIRUrGqr3bavjE6v5itPxSW5SYjsLIQkcM9ododb09UMsYphnoVAI7fnP4ifZoAG
t4r9uC2elbDWLeklFk39XvLGh8y/RuYlJR/FnHWiT/k+87UQN0oPYdbSE9+VEDMJ5igd8cg2A9F5
DCNsc/VOlKz+ilOkL70iQ8I17Lo2TinlhMNk5aa4okEUOMqV7cLrt/MSuG3jD8RRPCieBLY7TBPx
cXqY1tkdWcEUy470xcJQwute4uVSRvxdsI16FyEM9+e9CsHMkk6MI3SOPKxyBHBT8+JQOb+m79wq
L7aLx6uT+RnjFvPqT6vqJVI8mMjGPn3MNqpjPGdhf6gvtnRCPCTPU5UZ/6YhFjkCnvUn1i6TEANL
IeZTI3KvFbdYdQV3THjm5+1c5GKhbZIKs+n22WF4U1dd5F2oxGICaC2Bgau2WjDHxG+J64+e9MEl
tpkhmhHkexbaSLFkNve4+XMTSvuGrpVPkdfiY2mL6wVT/7W47l/jfR27gLY3Cm/danozgs/Lvwwb
AGY2h1bvXffaV3IOFFw9T/XVLMEm3/SlZZAIyAj9wHzofLo+XrBJJZTk1B4QBdoJ4/KKnhSJvS0/
JqeFT7l69pIDbSuwSCB6/XPm9Zt4p1GD+rUFnO3UYBN7Ptim87HzlvFMglzJipzpbqQ97p1oWwhe
ySzrtqnsej150abUTCWIXlaVheI+t6ByvV6gfXPksk1om2Ev7Nr5BdG+JsNrAoCUZIuRBIa/98mO
7HZvWJ9DDIV2qZ2ZCy+bH/hrfj8EhU0apX32AMP8ihmRdMy8mGWQ8606KzTC6chDnFHRaaW+FXZ9
19xcerPN6LC+uceP7SFzEr+AHdj5lVWFyYHh7OdFt6tXwWY0d88cL0AvuLtZDOEh324qZH3P7Z34
Frunwe6emD/K78V+WkNLWxcSajMMAy3hPi83XdDeGZ83R3uV3ejRCHEceyLteFXa8kp6mI4dQqnm
Pte+oL8vFHv4WMSP2kODj7FuovOsTlDadpWnu713Ga10iX7fNHijLy8Vcj5efzbGzkqfy+fswLUt
vrTXLhBQt4dgTgpvVR32Xrm7uswJ9VW/5eUGe0/u8h5pLavJURJc1szp/nqvcVRvpatV001I4aKj
pH2+vfBbF++avgpuabzp0/zvsGleP0Rea6yh0bZwDLMFGCaD2YXX8krkO3gTFsj/6IkscNzOHY52
VxqhF07r3rDyPb9cg6UzEEu5i7AKwwbhWfSrcIZPHC4M/jbRbMceL7KQPdG5cSK02yoU+Bl5Pb4y
P6RyZl2Pn+zJ7YbNTfD55Gf9EcvKhOmu6l9OxVH1c9uwm7B45O1xVGA6cxFEb+0n7JWvite1dBkw
dDuWe3XAlGWjM2uGOIWrNRgntxvq46vIc42uwK1Y8pftdlo6ymIuQcY4ROVS6053dayGMfsvZoJ/
AtWBfTEShLELgKJ9R72lhQDug7LQzdaljzeydwsgtjpF2HzORkzcYB+vLPYMUqB42L3D72zrDUd4
8Sso52fUkEuBVAzDVsJIRPpG9tOTIlnisAbh93faI1JuzGWAGoKJcS9OaBvlF0MO/ecZ5fyRMmwz
aUa3hPmS/kC2i+pS0xArItJ3F++yRTtK2ZW+zlyl5lR6zBwoZqiGA4WOWn8owvGYOvkGc6RZG+mX
p8y+uKTKvopfxZ3snI+ltyxM8sWdyc7JlWWS1fqRH91XjLlGR3VLu9pEVhKcWVzWbYMp0EtrxR9E
8ni4JN6Jm695Giv43SOCzHJ/ZkUUK+05OZy3pd2efom//+oGfLvnnaoK6QKjNJeQb2+uUMcVgUR2
sY+tyvo1n/NP2I0/3vBvYB0G3qkgItF1s6AFA5FpNGQa8CU8AwKq/5U51p+vqn884m/wrxL1U9K2
fCLCiCqAJWVjZOANbr6JA2Ee/h1+BfzP0cnfEWdWFUpDSQT5Z339uKpuZyLgsvyW0LTjyASpKqHd
Uyniun3l/YqrCKv+Tz7NQB4mYbLDFOUb2N63YhNDZ0zc9GuiL3AIdFg2IYf0E2h7GOXMBWz6Xkhc
monBQHi+mDSeG4a2064EwLi/BuPrkmbzfuhNjcPybvya1vHH/6Xu6nbahqHwq1Q8QVuEAAkqlRaN
/ZStsFW7NY0FRvkpacyUvQ2Xu+Bi2iPkxfY5iRsnNQ7UplIvmyafzzm2vxM7PucEHv/Ir+Mf7Ovx
/dn95G7y67Ztxq9/8UMSZ6TrQU50nC7uNs+6HvYOo25wgL7BunqKwFxUvsReOJa+i8/IbTru/1yg
DOSn7hgHxmViqTfF075XsEgpxBhRGOdhwpJ0ymmcXlEk6UuWg5PixAYWmL6X/80oPuW//oaXATo0
b03UEj+oKnPnDX1PF7RourhH/B4QD+mRi4ri8+RESK38mf9GfjX18VKxddG1MsmLF4zGqAN5l+ba
pqWUlySgp3sj4ntkqcapIFIWLFQJcrpXE1P5zGLCvWIIGBbYEkoYpY85ielhi43jiiyoAcOFirqQ
tsAz4vsUAT4+Anh4vW7mvqg+ad/CZRQnooUiTij0aCwxhX2OEQ4EIpGXxBjZzPqXJGbZ30gCSWx4
WXlpc+wJufWIT+vBTZAc6b4cjJtR9i/2opta76I0/RECt+1FX+tVICNS3YHYZ5GfPT+SRm8iUucI
HtZ2WA4TP3sCs8wbHdpH+JcL+ID8jsI6CfTw2ol0NQ4sg9OfPCBpTfQS3YHsM8IXiMKTNhYDvQTH
e4at3UfkgdMke5JICjo8qS36B04eGdEl/Os5IJoLzvzaJCrM0ndAABCchdmzDr1nb5YpZ6GXPWvG
S98JAywYQjM70ulKeauuFXGQtl07oYnOOg481Ki9rHP+CrI5vc+MxfkswUdkSULtmO87mFHDuOm1
y0HvYD6dRSmZ66jAhUs1FmKxNPkQz0cPnGkG5L6DoZ7HOzffYwqz7zvgd1NKVEvDmFLaWEJ/IR2Q
JMq+aIyOhYE1vyjx5x0SemoIugSvCC2PODcqpFtVDGrLj3PxfH2Z1HrDaqH1DRM+TDQQ7XfIFYwG
ojRipafYWlvF8Oet1Vc6Kimb6VFpTUKIZkTPoYHSWspNTcOUEQEvqf0mpUCLJqWahLo7ioGTTYrV
uXxn1BLewKRWw43sjl5wFSa91rzM7mgGL2XSbM3B7YxmJV8VbKQhxHUvtQOq4Yj6cUuPDYPsT8zm
JN/IuearNXmh3TyCLwvhkJRuV7hcJXwkURdbohgdW+L8qsEXO03690KZhU9CWmiyJRHbBtUoQsLb
m+ptUxqdh4nYgUUBpfAVhl918pa0EikG860aExM093jed7a0aY6XJ3HL3KckHvwHAAD//w==</cx:binary>
              </cx:geoCache>
            </cx:geography>
          </cx:layoutPr>
          <cx:valueColors>
            <cx:minColor>
              <a:srgbClr val="FFFF00"/>
            </cx:minColor>
            <cx:midColor>
              <a:srgbClr val="FF9933"/>
            </cx:midColor>
            <cx:maxColor>
              <a:srgbClr val="FF0000"/>
            </cx:maxColor>
          </cx:valueColors>
          <cx:valueColorPositions count="3">
            <cx:minPosition>
              <cx:number val="1"/>
            </cx:minPosition>
            <cx:midPosition>
              <cx:number val="250"/>
            </cx:midPosition>
            <cx:maxPosition>
              <cx:number val="1593"/>
            </cx:maxPosition>
          </cx:valueColorPositions>
        </cx:series>
      </cx:plotAreaRegion>
    </cx:plotArea>
    <cx:legend pos="r" align="ctr"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5" Type="http://schemas.openxmlformats.org/officeDocument/2006/relationships/image" Target="../media/image1.png"/><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1358153</xdr:colOff>
      <xdr:row>48</xdr:row>
      <xdr:rowOff>62752</xdr:rowOff>
    </xdr:from>
    <xdr:to>
      <xdr:col>7</xdr:col>
      <xdr:colOff>282388</xdr:colOff>
      <xdr:row>63</xdr:row>
      <xdr:rowOff>71717</xdr:rowOff>
    </xdr:to>
    <mc:AlternateContent xmlns:mc="http://schemas.openxmlformats.org/markup-compatibility/2006">
      <mc:Choice xmlns:cx6="http://schemas.microsoft.com/office/drawing/2016/5/12/chartex" Requires="cx6">
        <xdr:graphicFrame macro="">
          <xdr:nvGraphicFramePr>
            <xdr:cNvPr id="2" name="Gráfico 1">
              <a:extLst>
                <a:ext uri="{FF2B5EF4-FFF2-40B4-BE49-F238E27FC236}">
                  <a16:creationId xmlns:a16="http://schemas.microsoft.com/office/drawing/2014/main" id="{6A24CE40-7FCA-4D08-8F7D-9A94C6E94C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06303" y="9702052"/>
              <a:ext cx="4420160"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4</xdr:col>
      <xdr:colOff>1251921</xdr:colOff>
      <xdr:row>64</xdr:row>
      <xdr:rowOff>152400</xdr:rowOff>
    </xdr:from>
    <xdr:to>
      <xdr:col>7</xdr:col>
      <xdr:colOff>304800</xdr:colOff>
      <xdr:row>83</xdr:row>
      <xdr:rowOff>30480</xdr:rowOff>
    </xdr:to>
    <mc:AlternateContent xmlns:mc="http://schemas.openxmlformats.org/markup-compatibility/2006">
      <mc:Choice xmlns:cx6="http://schemas.microsoft.com/office/drawing/2016/5/12/chartex" Requires="cx6">
        <xdr:graphicFrame macro="">
          <xdr:nvGraphicFramePr>
            <xdr:cNvPr id="3" name="Gráfico 2">
              <a:extLst>
                <a:ext uri="{FF2B5EF4-FFF2-40B4-BE49-F238E27FC236}">
                  <a16:creationId xmlns:a16="http://schemas.microsoft.com/office/drawing/2014/main" id="{A8CD012F-0C19-45E2-8058-11223424B0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00071" y="12906375"/>
              <a:ext cx="4548804"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48</xdr:row>
      <xdr:rowOff>62752</xdr:rowOff>
    </xdr:from>
    <xdr:to>
      <xdr:col>4</xdr:col>
      <xdr:colOff>1342757</xdr:colOff>
      <xdr:row>63</xdr:row>
      <xdr:rowOff>71717</xdr:rowOff>
    </xdr:to>
    <mc:AlternateContent xmlns:mc="http://schemas.openxmlformats.org/markup-compatibility/2006">
      <mc:Choice xmlns:cx6="http://schemas.microsoft.com/office/drawing/2016/5/12/chartex" Requires="cx6">
        <xdr:graphicFrame macro="">
          <xdr:nvGraphicFramePr>
            <xdr:cNvPr id="4" name="Gráfico 3">
              <a:extLst>
                <a:ext uri="{FF2B5EF4-FFF2-40B4-BE49-F238E27FC236}">
                  <a16:creationId xmlns:a16="http://schemas.microsoft.com/office/drawing/2014/main" id="{BA0E4976-96C8-437C-BD9F-F526DB98F9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9702052"/>
              <a:ext cx="5590907" cy="293314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0</xdr:col>
      <xdr:colOff>0</xdr:colOff>
      <xdr:row>64</xdr:row>
      <xdr:rowOff>152400</xdr:rowOff>
    </xdr:from>
    <xdr:to>
      <xdr:col>4</xdr:col>
      <xdr:colOff>1299883</xdr:colOff>
      <xdr:row>83</xdr:row>
      <xdr:rowOff>30480</xdr:rowOff>
    </xdr:to>
    <mc:AlternateContent xmlns:mc="http://schemas.openxmlformats.org/markup-compatibility/2006">
      <mc:Choice xmlns:cx6="http://schemas.microsoft.com/office/drawing/2016/5/12/chartex" Requires="cx6">
        <xdr:graphicFrame macro="">
          <xdr:nvGraphicFramePr>
            <xdr:cNvPr id="5" name="Gráfico 4">
              <a:extLst>
                <a:ext uri="{FF2B5EF4-FFF2-40B4-BE49-F238E27FC236}">
                  <a16:creationId xmlns:a16="http://schemas.microsoft.com/office/drawing/2014/main" id="{60D8B0BB-4BB3-41AA-A635-A6F9AC5870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12906375"/>
              <a:ext cx="5548033" cy="359283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twoCellAnchor editAs="oneCell">
    <xdr:from>
      <xdr:col>2</xdr:col>
      <xdr:colOff>481855</xdr:colOff>
      <xdr:row>22</xdr:row>
      <xdr:rowOff>103711</xdr:rowOff>
    </xdr:from>
    <xdr:to>
      <xdr:col>6</xdr:col>
      <xdr:colOff>1165413</xdr:colOff>
      <xdr:row>43</xdr:row>
      <xdr:rowOff>5997</xdr:rowOff>
    </xdr:to>
    <xdr:pic>
      <xdr:nvPicPr>
        <xdr:cNvPr id="6" name="Picture 1">
          <a:extLst>
            <a:ext uri="{FF2B5EF4-FFF2-40B4-BE49-F238E27FC236}">
              <a16:creationId xmlns:a16="http://schemas.microsoft.com/office/drawing/2014/main" id="{D45D27AE-B40B-4DFA-842A-49C0DDFDE421}"/>
            </a:ext>
          </a:extLst>
        </xdr:cNvPr>
        <xdr:cNvPicPr>
          <a:picLocks noChangeAspect="1"/>
        </xdr:cNvPicPr>
      </xdr:nvPicPr>
      <xdr:blipFill>
        <a:blip xmlns:r="http://schemas.openxmlformats.org/officeDocument/2006/relationships" r:embed="rId5"/>
        <a:stretch>
          <a:fillRect/>
        </a:stretch>
      </xdr:blipFill>
      <xdr:spPr>
        <a:xfrm>
          <a:off x="2005855" y="4675711"/>
          <a:ext cx="6857999" cy="4014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914399</xdr:colOff>
      <xdr:row>2</xdr:row>
      <xdr:rowOff>57149</xdr:rowOff>
    </xdr:from>
    <xdr:to>
      <xdr:col>13</xdr:col>
      <xdr:colOff>492565</xdr:colOff>
      <xdr:row>6</xdr:row>
      <xdr:rowOff>19049</xdr:rowOff>
    </xdr:to>
    <xdr:pic>
      <xdr:nvPicPr>
        <xdr:cNvPr id="2" name="Imagen 1">
          <a:extLst>
            <a:ext uri="{FF2B5EF4-FFF2-40B4-BE49-F238E27FC236}">
              <a16:creationId xmlns:a16="http://schemas.microsoft.com/office/drawing/2014/main" id="{3D8F34B4-C7D1-2CF8-296B-D696AC703D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20124" y="447674"/>
          <a:ext cx="7617266" cy="733425"/>
        </a:xfrm>
        <a:prstGeom prst="rect">
          <a:avLst/>
        </a:prstGeom>
        <a:noFill/>
      </xdr:spPr>
    </xdr:pic>
    <xdr:clientData/>
  </xdr:twoCellAnchor>
  <xdr:twoCellAnchor editAs="oneCell">
    <xdr:from>
      <xdr:col>2</xdr:col>
      <xdr:colOff>560294</xdr:colOff>
      <xdr:row>34</xdr:row>
      <xdr:rowOff>56029</xdr:rowOff>
    </xdr:from>
    <xdr:to>
      <xdr:col>7</xdr:col>
      <xdr:colOff>705488</xdr:colOff>
      <xdr:row>59</xdr:row>
      <xdr:rowOff>190062</xdr:rowOff>
    </xdr:to>
    <xdr:pic>
      <xdr:nvPicPr>
        <xdr:cNvPr id="3" name="Imagen 2">
          <a:extLst>
            <a:ext uri="{FF2B5EF4-FFF2-40B4-BE49-F238E27FC236}">
              <a16:creationId xmlns:a16="http://schemas.microsoft.com/office/drawing/2014/main" id="{FB1E7055-FB6B-7115-8EF0-CC7DF7AE840F}"/>
            </a:ext>
          </a:extLst>
        </xdr:cNvPr>
        <xdr:cNvPicPr>
          <a:picLocks noChangeAspect="1"/>
        </xdr:cNvPicPr>
      </xdr:nvPicPr>
      <xdr:blipFill>
        <a:blip xmlns:r="http://schemas.openxmlformats.org/officeDocument/2006/relationships" r:embed="rId2"/>
        <a:stretch>
          <a:fillRect/>
        </a:stretch>
      </xdr:blipFill>
      <xdr:spPr>
        <a:xfrm>
          <a:off x="2084294" y="6757147"/>
          <a:ext cx="8583223" cy="4896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545929</xdr:colOff>
      <xdr:row>113</xdr:row>
      <xdr:rowOff>77407</xdr:rowOff>
    </xdr:to>
    <xdr:pic>
      <xdr:nvPicPr>
        <xdr:cNvPr id="2" name="Imagen 1">
          <a:extLst>
            <a:ext uri="{FF2B5EF4-FFF2-40B4-BE49-F238E27FC236}">
              <a16:creationId xmlns:a16="http://schemas.microsoft.com/office/drawing/2014/main" id="{E22B5589-3120-4DF2-A417-108B6511E719}"/>
            </a:ext>
          </a:extLst>
        </xdr:cNvPr>
        <xdr:cNvPicPr>
          <a:picLocks noChangeAspect="1"/>
        </xdr:cNvPicPr>
      </xdr:nvPicPr>
      <xdr:blipFill>
        <a:blip xmlns:r="http://schemas.openxmlformats.org/officeDocument/2006/relationships" r:embed="rId1"/>
        <a:stretch>
          <a:fillRect/>
        </a:stretch>
      </xdr:blipFill>
      <xdr:spPr>
        <a:xfrm>
          <a:off x="5295900" y="12954000"/>
          <a:ext cx="15596257" cy="8649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24</xdr:col>
      <xdr:colOff>546757</xdr:colOff>
      <xdr:row>113</xdr:row>
      <xdr:rowOff>77407</xdr:rowOff>
    </xdr:to>
    <xdr:pic>
      <xdr:nvPicPr>
        <xdr:cNvPr id="2" name="Imagen 1">
          <a:extLst>
            <a:ext uri="{FF2B5EF4-FFF2-40B4-BE49-F238E27FC236}">
              <a16:creationId xmlns:a16="http://schemas.microsoft.com/office/drawing/2014/main" id="{7DCCCA6D-395E-40F0-B449-30F499596F00}"/>
            </a:ext>
          </a:extLst>
        </xdr:cNvPr>
        <xdr:cNvPicPr>
          <a:picLocks noChangeAspect="1"/>
        </xdr:cNvPicPr>
      </xdr:nvPicPr>
      <xdr:blipFill>
        <a:blip xmlns:r="http://schemas.openxmlformats.org/officeDocument/2006/relationships" r:embed="rId1"/>
        <a:stretch>
          <a:fillRect/>
        </a:stretch>
      </xdr:blipFill>
      <xdr:spPr>
        <a:xfrm>
          <a:off x="5295900" y="12954000"/>
          <a:ext cx="15594601" cy="8649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68</xdr:row>
      <xdr:rowOff>0</xdr:rowOff>
    </xdr:from>
    <xdr:to>
      <xdr:col>23</xdr:col>
      <xdr:colOff>232018</xdr:colOff>
      <xdr:row>113</xdr:row>
      <xdr:rowOff>77407</xdr:rowOff>
    </xdr:to>
    <xdr:pic>
      <xdr:nvPicPr>
        <xdr:cNvPr id="5" name="Imagen 4">
          <a:extLst>
            <a:ext uri="{FF2B5EF4-FFF2-40B4-BE49-F238E27FC236}">
              <a16:creationId xmlns:a16="http://schemas.microsoft.com/office/drawing/2014/main" id="{109EBC49-73F0-F3C7-3D0F-7C24A5901655}"/>
            </a:ext>
          </a:extLst>
        </xdr:cNvPr>
        <xdr:cNvPicPr>
          <a:picLocks noChangeAspect="1"/>
        </xdr:cNvPicPr>
      </xdr:nvPicPr>
      <xdr:blipFill>
        <a:blip xmlns:r="http://schemas.openxmlformats.org/officeDocument/2006/relationships" r:embed="rId1"/>
        <a:stretch>
          <a:fillRect/>
        </a:stretch>
      </xdr:blipFill>
      <xdr:spPr>
        <a:xfrm>
          <a:off x="5162550" y="12954000"/>
          <a:ext cx="15594601" cy="86499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ULIAN CAICEDO" id="{8B4C904F-D39B-41A2-976E-9CF6D3CCE00C}" userId="JULIAN CAICEDO" providerId="None"/>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606CCEC-CD5E-4C43-9C29-F94441C86EED}"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c7e7183a8049fcd4476666d530c02af4&amp;qlt=95" TargetMode="External"/><Relationship Id="rId2" Type="http://schemas.openxmlformats.org/officeDocument/2006/relationships/hyperlink" Target="https://www.bing.com/images/search?form=xlimg&amp;q=bol%c3%advar+department+colombia" TargetMode="External"/><Relationship Id="rId1" Type="http://schemas.openxmlformats.org/officeDocument/2006/relationships/hyperlink" Target="https://www.bing.com/th?id=AMMS_0e8011aa83ff1393ab0287f9fd067d1c&amp;qlt=95" TargetMode="External"/><Relationship Id="rId6" Type="http://schemas.openxmlformats.org/officeDocument/2006/relationships/hyperlink" Target="https://www.bing.com/images/search?form=xlimg&amp;q=putumayo+department+colombia" TargetMode="External"/><Relationship Id="rId5" Type="http://schemas.openxmlformats.org/officeDocument/2006/relationships/hyperlink" Target="https://www.bing.com/th?id=AMMS_bd5df3a48eceaba2bf9c4ff931b54459&amp;qlt=95" TargetMode="External"/><Relationship Id="rId4" Type="http://schemas.openxmlformats.org/officeDocument/2006/relationships/hyperlink" Target="https://www.bing.com/images/search?form=xlimg&amp;q=casanare+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2">
  <a r="1">
    <v t="s">Marcela Amaya (Governor)</v>
  </a>
  <a r="1">
    <v t="s">UTC−05:00</v>
  </a>
  <a r="1">
    <v t="s">Didier Alberto Tavera Amado (Governor)</v>
  </a>
  <a r="1">
    <v t="s">Ricardo Alvarado Bestene (Governor)</v>
  </a>
  <a r="1">
    <v t="s">Vicente blel (Governor)</v>
  </a>
  <a r="1">
    <v t="r">39</v>
  </a>
  <a r="1">
    <v t="s">Carlos Andrés Amaya (Governor)</v>
  </a>
  <a r="1">
    <v t="s">Salomon Andres Sanabria (Governor)</v>
  </a>
  <a r="1">
    <v t="s">Oneida Rayeth Pinto Perez (Governor)</v>
  </a>
  <a r="1">
    <v t="s">Luis Enrique Dussan López (Governor)</v>
  </a>
  <a r="1">
    <v t="s">William Villamizar Laguado (Governor)</v>
  </a>
  <a r="1">
    <v t="s">Sorrel Parisa Aroca Rodriguez (Governor)</v>
  </a>
</arrayData>
</file>

<file path=xl/richData/rdrichvalue.xml><?xml version="1.0" encoding="utf-8"?>
<rvData xmlns="http://schemas.microsoft.com/office/spreadsheetml/2017/richdata" count="96">
  <rv s="0">
    <v>536870912</v>
    <v>Meta Department</v>
    <v>30c3c263-a281-f2d2-6787-511d37d41ddf</v>
    <v>en-US</v>
    <v>Map</v>
  </rv>
  <rv s="1">
    <fb>85635</fb>
    <v>11</v>
  </rv>
  <rv s="0">
    <v>536870912</v>
    <v>Villavicencio</v>
    <v>061f744c-689b-fc4e-336d-58ff74f02bb7</v>
    <v>en-US</v>
    <v>Map</v>
  </rv>
  <rv s="0">
    <v>536870912</v>
    <v>Colombia</v>
    <v>c396e3d8-2a85-d230-f691-7850536d840e</v>
    <v>en-US</v>
    <v>Map</v>
  </rv>
  <rv s="1">
    <fb>179624</fb>
    <v>11</v>
  </rv>
  <rv s="2">
    <v>0</v>
  </rv>
  <rv s="3">
    <v>https://www.bing.com/search?q=meta+department+colombia&amp;form=skydnc</v>
    <v>Learn more on Bing</v>
  </rv>
  <rv s="1">
    <fb>1039722</fb>
    <v>11</v>
  </rv>
  <rv s="2">
    <v>1</v>
  </rv>
  <rv s="4">
    <v>#VALUE!</v>
    <v>en-US</v>
    <v>30c3c263-a281-f2d2-6787-511d37d41ddf</v>
    <v>536870912</v>
    <v>1</v>
    <v>3</v>
    <v>4</v>
    <v>Meta Department</v>
    <v>7</v>
    <v>8</v>
    <v>Map</v>
    <v>9</v>
    <v>10</v>
    <v>CO-MET</v>
    <v>1</v>
    <v>2</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4</v>
    <v>2</v>
    <v>5</v>
    <v>6</v>
    <v>Meta Department</v>
    <v>7</v>
    <v>8</v>
    <v>Meta Department</v>
    <v>mdp/vdpid/10106924</v>
  </rv>
  <rv s="0">
    <v>536870912</v>
    <v>Santander Department</v>
    <v>98fbfaa3-063d-4261-a806-2b84a0339e05</v>
    <v>en-US</v>
    <v>Map</v>
  </rv>
  <rv s="1">
    <fb>30537</fb>
    <v>11</v>
  </rv>
  <rv s="0">
    <v>536870912</v>
    <v>Bucaramanga</v>
    <v>b2b7d5d4-6e24-8927-87fe-0c327b2b2c86</v>
    <v>en-US</v>
    <v>Map</v>
  </rv>
  <rv s="1">
    <fb>495179</fb>
    <v>11</v>
  </rv>
  <rv s="2">
    <v>2</v>
  </rv>
  <rv s="3">
    <v>https://www.bing.com/search?q=santander+department+colombia&amp;form=skydnc</v>
    <v>Learn more on Bing</v>
  </rv>
  <rv s="1">
    <fb>2184837</fb>
    <v>11</v>
  </rv>
  <rv s="4">
    <v>#VALUE!</v>
    <v>en-US</v>
    <v>98fbfaa3-063d-4261-a806-2b84a0339e05</v>
    <v>536870912</v>
    <v>1</v>
    <v>14</v>
    <v>4</v>
    <v>Santander Department</v>
    <v>7</v>
    <v>8</v>
    <v>Map</v>
    <v>9</v>
    <v>10</v>
    <v>CO-SAN</v>
    <v>11</v>
    <v>12</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13</v>
    <v>12</v>
    <v>14</v>
    <v>15</v>
    <v>Santander Department</v>
    <v>16</v>
    <v>8</v>
    <v>Santander Department</v>
    <v>mdp/vdpid/10106936</v>
  </rv>
  <rv s="0">
    <v>536870912</v>
    <v>Arauca Department</v>
    <v>39038b52-0399-9385-24de-5d0c69b46eba</v>
    <v>en-US</v>
    <v>Map</v>
  </rv>
  <rv s="1">
    <fb>23818</fb>
    <v>11</v>
  </rv>
  <rv s="0">
    <v>536870912</v>
    <v>Arauca</v>
    <v>64f5d309-32e5-4ff7-24bc-d973ce26e70a</v>
    <v>en-US</v>
    <v>Map</v>
  </rv>
  <rv s="1">
    <fb>35636</fb>
    <v>11</v>
  </rv>
  <rv s="2">
    <v>3</v>
  </rv>
  <rv s="3">
    <v>https://www.bing.com/search?q=arauca+department+colombia&amp;form=skydnc</v>
    <v>Learn more on Bing</v>
  </rv>
  <rv s="1">
    <fb>262174</fb>
    <v>11</v>
  </rv>
  <rv s="4">
    <v>#VALUE!</v>
    <v>en-US</v>
    <v>39038b52-0399-9385-24de-5d0c69b46eba</v>
    <v>536870912</v>
    <v>1</v>
    <v>17</v>
    <v>4</v>
    <v>Arauca Department</v>
    <v>7</v>
    <v>8</v>
    <v>Map</v>
    <v>9</v>
    <v>10</v>
    <v>CO-ARA</v>
    <v>19</v>
    <v>20</v>
    <v>3</v>
    <v>Arauca is a department of Eastern Colombia located in the extreme north of the Orinoco Basin of Colombia, bordering Venezuela. The southern boundary of Arauca is formed by the Casanare and Meta Rivers, separating Arauca from the departments of Casanare and Vichada. To the west, Arauca borders the department of Boyacá. The Caño Limón oil fields located within Arauca account for almost a third of the Colombian oil output. Its capital is the town of Arauca.</v>
    <v>21</v>
    <v>20</v>
    <v>22</v>
    <v>23</v>
    <v>Arauca Department</v>
    <v>24</v>
    <v>8</v>
    <v>Arauca Department</v>
    <v>mdp/vdpid/10106929</v>
  </rv>
  <rv s="0">
    <v>536870912</v>
    <v>Bolívar Department</v>
    <v>38fa99f2-3e47-af72-2f25-81f620fe1128</v>
    <v>en-US</v>
    <v>Map</v>
  </rv>
  <rv s="1">
    <fb>25978</fb>
    <v>11</v>
  </rv>
  <rv s="0">
    <v>536870912</v>
    <v>Cartagena</v>
    <v>722cd66d-65f4-7a40-33a0-17719bf6238a</v>
    <v>en-US</v>
    <v>Map</v>
  </rv>
  <rv s="1">
    <fb>391055</fb>
    <v>11</v>
  </rv>
  <rv s="5">
    <v>0</v>
    <v>9</v>
    <v>25</v>
    <v>0</v>
    <v>Image of Bolívar Department</v>
  </rv>
  <rv s="2">
    <v>4</v>
  </rv>
  <rv s="3">
    <v>https://www.bing.com/search?q=bol%c3%advar+department+colombia&amp;form=skydnc</v>
    <v>Learn more on Bing</v>
  </rv>
  <rv s="1">
    <fb>2070110</fb>
    <v>11</v>
  </rv>
  <rv s="6">
    <v>#VALUE!</v>
    <v>en-US</v>
    <v>38fa99f2-3e47-af72-2f25-81f620fe1128</v>
    <v>536870912</v>
    <v>1</v>
    <v>22</v>
    <v>23</v>
    <v>Bolívar Department</v>
    <v>7</v>
    <v>24</v>
    <v>Map</v>
    <v>9</v>
    <v>10</v>
    <v>CO-BOL</v>
    <v>27</v>
    <v>28</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29</v>
    <v>30</v>
    <v>28</v>
    <v>31</v>
    <v>32</v>
    <v>Bolívar Department</v>
    <v>33</v>
    <v>8</v>
    <v>Bolívar Department</v>
    <v>mdp/vdpid/9421486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5</v>
  </rv>
  <rv s="3">
    <v>https://www.bing.com/search?q=antioquia+department&amp;form=skydnc</v>
    <v>Learn more on Bing</v>
  </rv>
  <rv s="1">
    <fb>6407102</fb>
    <v>11</v>
  </rv>
  <rv s="4">
    <v>#VALUE!</v>
    <v>en-US</v>
    <v>d3614470-a93c-5d64-a636-9da2dff33c3d</v>
    <v>536870912</v>
    <v>1</v>
    <v>28</v>
    <v>4</v>
    <v>Antioquia Department</v>
    <v>7</v>
    <v>8</v>
    <v>Map</v>
    <v>9</v>
    <v>10</v>
    <v>CO-ANT</v>
    <v>36</v>
    <v>37</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38</v>
    <v>37</v>
    <v>40</v>
    <v>41</v>
    <v>Antioquia Department</v>
    <v>42</v>
    <v>8</v>
    <v>Antioquia Department</v>
    <v>mdp/vdpid/10106933</v>
  </rv>
  <rv s="0">
    <v>536870912</v>
    <v>Boyacá Department</v>
    <v>951b3076-f33d-486b-9b35-d6d83aad8b98</v>
    <v>en-US</v>
    <v>Map</v>
  </rv>
  <rv s="1">
    <fb>23189</fb>
    <v>11</v>
  </rv>
  <rv s="0">
    <v>536870912</v>
    <v>Tunja</v>
    <v>27d685ee-2724-70fe-3ed2-724fbc283d31</v>
    <v>en-US</v>
    <v>Map</v>
  </rv>
  <rv s="1">
    <fb>336296</fb>
    <v>11</v>
  </rv>
  <rv s="2">
    <v>6</v>
  </rv>
  <rv s="3">
    <v>https://www.bing.com/search?q=boyac%c3%a1+department&amp;form=skydnc</v>
    <v>Learn more on Bing</v>
  </rv>
  <rv s="1">
    <fb>1217376</fb>
    <v>11</v>
  </rv>
  <rv s="4">
    <v>#VALUE!</v>
    <v>en-US</v>
    <v>951b3076-f33d-486b-9b35-d6d83aad8b98</v>
    <v>536870912</v>
    <v>1</v>
    <v>31</v>
    <v>4</v>
    <v>Boyacá Department</v>
    <v>7</v>
    <v>8</v>
    <v>Map</v>
    <v>9</v>
    <v>10</v>
    <v>CO-BOY</v>
    <v>45</v>
    <v>46</v>
    <v>3</v>
    <v>Boyacá is one of the thirty-two departments of Colombia, and the remnant of Boyacá State, one of the original nine states of the "United States of Colombia". Boyacá is centrally located within Colombia, almost entirely within the mountains of the Eastern Cordillera to the border with Venezuela, although the western end of the department extends to the Magdalena River at the town of Puerto Boyacá. Boyacá borders to the north with the Department of Santander, to the northeast with the Bolivarian Republic of Venezuela and Norte de Santander, to the east with the departments of Arauca and Casanare. To the south, Boyacá borders the department of Cundinamarca and to the west with the Department of Antioquia covering a total area of 23,189 square kilometres. The capital of Boyacá is the city of Tunja.</v>
    <v>47</v>
    <v>46</v>
    <v>48</v>
    <v>49</v>
    <v>Boyacá Department</v>
    <v>50</v>
    <v>8</v>
    <v>Boyacá Department</v>
    <v>mdp/vdpid/10106930</v>
  </rv>
  <rv s="0">
    <v>536870912</v>
    <v>Casanare Department</v>
    <v>e7b3ed4f-03e8-7516-f976-b525e8a0b565</v>
    <v>en-US</v>
    <v>Map</v>
  </rv>
  <rv s="1">
    <fb>44640</fb>
    <v>11</v>
  </rv>
  <rv s="0">
    <v>536870912</v>
    <v>Yopal</v>
    <v>b5d1013d-669c-c464-2466-3c8409cb17e0</v>
    <v>en-US</v>
    <v>Map</v>
  </rv>
  <rv s="1">
    <fb>73701</fb>
    <v>11</v>
  </rv>
  <rv s="5">
    <v>1</v>
    <v>9</v>
    <v>37</v>
    <v>0</v>
    <v>Image of Casanare Department</v>
  </rv>
  <rv s="2">
    <v>7</v>
  </rv>
  <rv s="3">
    <v>https://www.bing.com/search?q=casanare+department+colombia&amp;form=skydnc</v>
    <v>Learn more on Bing</v>
  </rv>
  <rv s="1">
    <fb>420504</fb>
    <v>11</v>
  </rv>
  <rv s="6">
    <v>#VALUE!</v>
    <v>en-US</v>
    <v>e7b3ed4f-03e8-7516-f976-b525e8a0b565</v>
    <v>536870912</v>
    <v>1</v>
    <v>34</v>
    <v>23</v>
    <v>Casanare Department</v>
    <v>35</v>
    <v>36</v>
    <v>Map</v>
    <v>9</v>
    <v>10</v>
    <v>CO-CAS</v>
    <v>53</v>
    <v>54</v>
    <v>3</v>
    <v>Casanare Department is a department in the central eastern region of Colombia. Its capital is Yopal, which is also the episcopal seat of the Roman Catholic Diocese of Yopal.</v>
    <v>55</v>
    <v>56</v>
    <v>54</v>
    <v>57</v>
    <v>58</v>
    <v>Casanare Department</v>
    <v>59</v>
    <v>8</v>
    <v>Casanare Department</v>
    <v>mdp/vdpid/10106928</v>
  </rv>
  <rv s="0">
    <v>536870912</v>
    <v>La Guajira Department</v>
    <v>5dadb66e-c4f1-8556-c08f-671a606edf84</v>
    <v>en-US</v>
    <v>Map</v>
  </rv>
  <rv s="1">
    <fb>20848</fb>
    <v>11</v>
  </rv>
  <rv s="0">
    <v>536870912</v>
    <v>Riohacha</v>
    <v>f49d0eea-63a6-74bd-7610-26e440494dda</v>
    <v>en-US</v>
    <v>Map</v>
  </rv>
  <rv s="1">
    <fb>123078</fb>
    <v>11</v>
  </rv>
  <rv s="0">
    <v>536870912</v>
    <v>Uribia</v>
    <v>079ebe16-eeaa-f321-420d-7a8c4b2a599d</v>
    <v>en-US</v>
    <v>Map</v>
  </rv>
  <rv s="2">
    <v>8</v>
  </rv>
  <rv s="3">
    <v>https://www.bing.com/search?q=la+guajira+department+colombia&amp;form=skydnc</v>
    <v>Learn more on Bing</v>
  </rv>
  <rv s="1">
    <fb>880560</fb>
    <v>11</v>
  </rv>
  <rv s="4">
    <v>#VALUE!</v>
    <v>en-US</v>
    <v>5dadb66e-c4f1-8556-c08f-671a606edf84</v>
    <v>536870912</v>
    <v>1</v>
    <v>40</v>
    <v>4</v>
    <v>La Guajira Department</v>
    <v>7</v>
    <v>8</v>
    <v>Map</v>
    <v>9</v>
    <v>10</v>
    <v>CO-LAG</v>
    <v>62</v>
    <v>63</v>
    <v>3</v>
    <v>La Guajira is a department of Colombia. It occupies most of the Guajira Peninsula in the northeast region of the country, on the Caribbean Sea and bordering Venezuela, at the northernmost tip of South America. The capital city of the department is Riohacha.</v>
    <v>64</v>
    <v>65</v>
    <v>66</v>
    <v>67</v>
    <v>La Guajira Department</v>
    <v>68</v>
    <v>8</v>
    <v>La Guajira Department</v>
    <v>mdp/vdpid/10106951</v>
  </rv>
  <rv s="0">
    <v>536870912</v>
    <v>Huila Department</v>
    <v>2752ef70-1772-e264-2348-e4146224c108</v>
    <v>en-US</v>
    <v>Map</v>
  </rv>
  <rv s="1">
    <fb>19890</fb>
    <v>45</v>
  </rv>
  <rv s="0">
    <v>536870912</v>
    <v>Neiva</v>
    <v>1ba988f0-6907-b536-88ad-b89bb1269fc5</v>
    <v>en-US</v>
    <v>Map</v>
  </rv>
  <rv s="1">
    <fb>253348</fb>
    <v>45</v>
  </rv>
  <rv s="2">
    <v>9</v>
  </rv>
  <rv s="3">
    <v>https://www.bing.com/search?q=huila+department+colombia&amp;form=skydnc</v>
    <v>Learn more on Bing</v>
  </rv>
  <rv s="1">
    <fb>1200386</fb>
    <v>45</v>
  </rv>
  <rv s="4">
    <v>#VALUE!</v>
    <v>en-US</v>
    <v>2752ef70-1772-e264-2348-e4146224c108</v>
    <v>536870912</v>
    <v>1</v>
    <v>43</v>
    <v>4</v>
    <v>Huila Department</v>
    <v>35</v>
    <v>44</v>
    <v>Map</v>
    <v>9</v>
    <v>10</v>
    <v>CO-HUI</v>
    <v>71</v>
    <v>72</v>
    <v>3</v>
    <v>Huila is one of the departments of Colombia. It is located in the southwest of the country, and its capital is Neiva.</v>
    <v>73</v>
    <v>72</v>
    <v>74</v>
    <v>75</v>
    <v>Huila Department</v>
    <v>76</v>
    <v>8</v>
    <v>Huila Department</v>
    <v>mdp/vdpid/10106920</v>
  </rv>
  <rv s="0">
    <v>536870912</v>
    <v>Norte de Santander Department</v>
    <v>d44c8def-e6be-c3f1-ab4e-e27af99a2e0b</v>
    <v>en-US</v>
    <v>Map</v>
  </rv>
  <rv s="1">
    <fb>21658</fb>
    <v>45</v>
  </rv>
  <rv s="0">
    <v>536870912</v>
    <v>Cúcuta</v>
    <v>5a90774d-aeea-6f03-17a8-2126ffdffef3</v>
    <v>en-US</v>
    <v>Map</v>
  </rv>
  <rv s="1">
    <fb>295605</fb>
    <v>45</v>
  </rv>
  <rv s="2">
    <v>10</v>
  </rv>
  <rv s="3">
    <v>https://www.bing.com/search?q=norte+de+santander+department+colombia&amp;form=skydnc</v>
    <v>Learn more on Bing</v>
  </rv>
  <rv s="1">
    <fb>1491689</fb>
    <v>45</v>
  </rv>
  <rv s="4">
    <v>#VALUE!</v>
    <v>en-US</v>
    <v>d44c8def-e6be-c3f1-ab4e-e27af99a2e0b</v>
    <v>536870912</v>
    <v>1</v>
    <v>50</v>
    <v>4</v>
    <v>Norte de Santander Department</v>
    <v>35</v>
    <v>44</v>
    <v>Map</v>
    <v>9</v>
    <v>10</v>
    <v>CO-NSA</v>
    <v>79</v>
    <v>80</v>
    <v>3</v>
    <v>North Santander is a department of Northeastern Colombia. It is in the north of the country, bordering Venezuela. Its capital is Cúcuta, one of the country's major cities.</v>
    <v>81</v>
    <v>80</v>
    <v>82</v>
    <v>83</v>
    <v>Norte de Santander Department</v>
    <v>84</v>
    <v>8</v>
    <v>Norte de Santander Department</v>
    <v>mdp/vdpid/9406503</v>
  </rv>
  <rv s="0">
    <v>536870912</v>
    <v>Putumayo Department</v>
    <v>45f7bd51-6a99-6e2e-3095-604393add4b0</v>
    <v>en-US</v>
    <v>Map</v>
  </rv>
  <rv s="1">
    <fb>24885</fb>
    <v>45</v>
  </rv>
  <rv s="0">
    <v>536870912</v>
    <v>Mocoa</v>
    <v>fb0d0b7c-d2b3-307d-2e00-ace8205ad474</v>
    <v>en-US</v>
    <v>Map</v>
  </rv>
  <rv s="1">
    <fb>69570</fb>
    <v>45</v>
  </rv>
  <rv s="7">
    <v>2</v>
    <v>9</v>
    <v>55</v>
    <v>6</v>
    <v>0</v>
    <v>Image of Putumayo Department</v>
  </rv>
  <rv s="0">
    <v>536870912</v>
    <v>Orito</v>
    <v>0b32c096-7333-77fb-af4e-abf896aec920</v>
    <v>en-US</v>
    <v>Map</v>
  </rv>
  <rv s="2">
    <v>11</v>
  </rv>
  <rv s="3">
    <v>https://www.bing.com/search?q=putumayo+department+colombia&amp;form=skydnc</v>
    <v>Learn more on Bing</v>
  </rv>
  <rv s="1">
    <fb>348182</fb>
    <v>45</v>
  </rv>
  <rv s="6">
    <v>#VALUE!</v>
    <v>en-US</v>
    <v>45f7bd51-6a99-6e2e-3095-604393add4b0</v>
    <v>536870912</v>
    <v>1</v>
    <v>54</v>
    <v>23</v>
    <v>Putumayo Department</v>
    <v>7</v>
    <v>24</v>
    <v>Map</v>
    <v>9</v>
    <v>10</v>
    <v>CO-PUT</v>
    <v>87</v>
    <v>88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89</v>
    <v>90</v>
    <v>91</v>
    <v>92</v>
    <v>93</v>
    <v>Putumayo Department</v>
    <v>94</v>
    <v>8</v>
    <v>Putumayo Department</v>
    <v>mdp/vdpid/10106916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6">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
      <v>12</v>
      <v>13</v>
      <v>12</v>
      <v>13</v>
      <v>12</v>
      <v>12</v>
      <v>12</v>
      <v>2</v>
      <v>13</v>
      <v>12</v>
    </spb>
    <spb s="0">
      <v xml:space="preserve">Wikipedia	</v>
      <v xml:space="preserve">CC-BY-SA	</v>
      <v xml:space="preserve">http://en.wikipedia.org/wiki/Arauca_Department	</v>
      <v xml:space="preserve">http://creativecommons.org/licenses/by-sa/3.0/	</v>
    </spb>
    <spb s="0">
      <v xml:space="preserve">Wikipedia	dane.gov.co	</v>
      <v xml:space="preserve">CC-BY-SA		</v>
      <v xml:space="preserve">http://en.wikipedia.org/wiki/Arauca_Department	http://www.dane.gov.co/censo/files/cuadros%20censo%202005.xls#Cuadro4.9	</v>
      <v xml:space="preserve">http://creativecommons.org/licenses/by-sa/3.0/		</v>
    </spb>
    <spb s="1">
      <v>15</v>
      <v>16</v>
      <v>15</v>
      <v>16</v>
      <v>15</v>
      <v>15</v>
      <v>15</v>
      <v>2</v>
      <v>16</v>
      <v>15</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
      <v>18</v>
      <v>19</v>
      <v>20</v>
      <v>19</v>
      <v>20</v>
      <v>20</v>
      <v>21</v>
      <v>2</v>
      <v>19</v>
      <v>21</v>
    </spb>
    <spb s="2">
      <v>1</v>
      <v>Name</v>
      <v>LearnMoreOnLink</v>
    </spb>
    <spb s="10">
      <v>1</v>
      <v>4</v>
      <v>2</v>
    </spb>
    <spb s="0">
      <v xml:space="preserve">Wikipedia	</v>
      <v xml:space="preserve">CC BY 2.0	</v>
      <v xml:space="preserve">http://es.wikipedia.org/wiki/Bolívar_(Colombia)	</v>
      <v xml:space="preserve">https://creativecommons.org/licenses/by/2.0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
      <v>26</v>
      <v>27</v>
      <v>26</v>
      <v>27</v>
      <v>26</v>
      <v>26</v>
      <v>26</v>
      <v>2</v>
      <v>27</v>
      <v>26</v>
    </spb>
    <spb s="0">
      <v xml:space="preserve">Wikipedia	</v>
      <v xml:space="preserve">CC-BY-SA	</v>
      <v xml:space="preserve">http://en.wikipedia.org/wiki/Boyacá_Department	</v>
      <v xml:space="preserve">http://creativecommons.org/licenses/by-sa/3.0/	</v>
    </spb>
    <spb s="0">
      <v xml:space="preserve">Wikipedia	dane.gov.co	</v>
      <v xml:space="preserve">CC-BY-SA		</v>
      <v xml:space="preserve">http://en.wikipedia.org/wiki/Boyacá_Department	http://www.dane.gov.co/censo/files/cuadros%20censo%202005.xls#Cuadro4.9	</v>
      <v xml:space="preserve">http://creativecommons.org/licenses/by-sa/3.0/		</v>
    </spb>
    <spb s="1">
      <v>29</v>
      <v>30</v>
      <v>29</v>
      <v>30</v>
      <v>29</v>
      <v>29</v>
      <v>29</v>
      <v>2</v>
      <v>30</v>
      <v>29</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
      <v>32</v>
      <v>33</v>
      <v>32</v>
      <v>33</v>
      <v>32</v>
      <v>32</v>
      <v>32</v>
      <v>2</v>
      <v>33</v>
      <v>32</v>
    </spb>
    <spb s="11">
      <v>5</v>
      <v>5</v>
      <v>5</v>
    </spb>
    <spb s="12">
      <v>1</v>
      <v>4</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13">
      <v>38</v>
      <v>39</v>
      <v>38</v>
      <v>39</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
      <v>41</v>
      <v>42</v>
      <v>41</v>
      <v>42</v>
      <v>41</v>
      <v>41</v>
      <v>41</v>
      <v>2</v>
      <v>42</v>
      <v>41</v>
    </spb>
    <spb s="14">
      <v>1</v>
    </spb>
    <spb s="9">
      <v>5</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
      <v>46</v>
      <v>47</v>
      <v>46</v>
      <v>47</v>
      <v>46</v>
      <v>46</v>
      <v>48</v>
      <v>2</v>
      <v>49</v>
      <v>48</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3">
      <v>51</v>
      <v>52</v>
      <v>53</v>
      <v>52</v>
      <v>53</v>
      <v>53</v>
      <v>2</v>
      <v>52</v>
      <v>53</v>
    </spb>
    <spb s="0">
      <v xml:space="preserve">Wikipedia	</v>
      <v xml:space="preserve">CC BY-SA 3.0	</v>
      <v xml:space="preserve">http://ko.wikipedia.org/wiki/푸투마요주	</v>
      <v xml:space="preserve">https://creativecommons.org/licenses/by-sa/3.0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Largest city"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Name" t="i"/>
    <k n="Image" t="i"/>
    <k n="Description" t="i"/>
  </s>
  <s>
    <k n="UniqueName" t="spb"/>
    <k n="VDPID/VSID" t="spb"/>
    <k n="LearnMoreOnLink" t="spb"/>
  </s>
  <s>
    <k n="Name" t="i"/>
    <k n="Image" t="i"/>
  </s>
  <s>
    <k n="Area" t="spb"/>
    <k n="Name" t="spb"/>
    <k n="Population" t="spb"/>
    <k n="UniqueName" t="spb"/>
    <k n="Description" t="spb"/>
    <k n="Abbreviation" t="spb"/>
    <k n="Housing units" t="spb"/>
    <k n="Country/region" t="spb"/>
    <k n="Capital/Major City" t="spb"/>
  </s>
  <s>
    <k n="Na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IsHeroField" t="b"/>
    <rPr n="NumberFormat" t="s"/>
  </richProperties>
  <richStyles>
    <rSty>
      <rpv i="0">1</rpv>
    </rSty>
    <rSty>
      <rpv i="1">1</rpv>
    </rSty>
    <rSty dxfid="0"/>
    <rSty>
      <rpv i="2">1</rpv>
    </rSty>
    <rSty dxfid="0">
      <rpv i="3">#,##0</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138E86-E026-4314-8A64-DBAE113B1FF1}" name="Akacias_" displayName="Akacias_" ref="A1:B14" tableType="queryTable" totalsRowShown="0">
  <autoFilter ref="A1:B14" xr:uid="{72138E86-E026-4314-8A64-DBAE113B1FF1}"/>
  <tableColumns count="2">
    <tableColumn id="1" xr3:uid="{D6783835-F803-4062-9AAE-FDB4D242F7A0}" uniqueName="1" name="Column1" queryTableFieldId="1"/>
    <tableColumn id="2" xr3:uid="{D45F7CAE-B685-429A-A18D-D59E536071E4}" uniqueName="2" name="Column2"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2-08-11T05:06:44.42" personId="{8B4C904F-D39B-41A2-976E-9CF6D3CCE00C}" id="{B5DC5291-6A6D-48C7-A6C7-D48CFE382A60}">
    <text>BP is Beam Pump, PCP is Progressive Cavity Pump, ESP is Electrical Submersible Pump</text>
  </threadedComment>
  <threadedComment ref="Q3" dT="2022-08-11T05:08:53.00" personId="{8B4C904F-D39B-41A2-976E-9CF6D3CCE00C}" id="{554B21F3-EFB7-49C5-962B-7A8B26EF7170}">
    <text>WI is Water Injection; GI is Gas Injection</text>
  </threadedComment>
  <threadedComment ref="R3" dT="2022-08-11T05:10:01.24" personId="{8B4C904F-D39B-41A2-976E-9CF6D3CCE00C}" id="{8A7D8302-9A73-4C71-B1C6-4B3DCE14D226}">
    <text>SI is Steam Injection; AI is Air Injection; CHI is Chemical Inyection (includes Polymer and/or surfractant injection); nnI is Nanofluids Inections; NI is Nitrogen Injection; SAG is surfractang alternative gas</text>
  </threadedComment>
  <threadedComment ref="Q43" dT="2022-08-10T01:54:57.66" personId="{8B4C904F-D39B-41A2-976E-9CF6D3CCE00C}" id="{EC31951F-36DB-4BB9-889B-66C815AE699D}">
    <text>Using ANH (https://www.anh.gov.co/documents/4172/Cuencas_Sedimentarias_de_Colombia_PDF.pdf)</text>
  </threadedComment>
  <threadedComment ref="Q66" dT="2022-08-10T01:54:02.42" personId="{8B4C904F-D39B-41A2-976E-9CF6D3CCE00C}" id="{0366A16D-EEAC-403F-96A9-4310780EA050}">
    <text>Using Upstream Characterization UPME (2021)</text>
  </threadedComment>
  <threadedComment ref="T72" dT="2022-08-08T22:10:25.19" personId="{8B4C904F-D39B-41A2-976E-9CF6D3CCE00C}" id="{4262ED9D-7D4D-4979-A886-69ABD815975C}">
    <text>ANH use to report de fiscalized gas that includes:  Gas lift + Reinjected gas + Gas to plant + transformed gas + gas to gaseoduct.
In 2018 the fiscalized gas production was 2253 Mscf/d, but the commercialized gas production was 1050 Mscf/d.
in 2010 the commercialized gas was 1040 Mscf/d.</text>
  </threadedComment>
  <threadedComment ref="T72" dT="2022-08-08T22:12:13.01" personId="{8B4C904F-D39B-41A2-976E-9CF6D3CCE00C}" id="{278CA538-86F0-4BE7-AC98-3FBEBFDAE74A}" parentId="{4262ED9D-7D4D-4979-A886-69ABD815975C}">
    <text>https://www.valoraanalitik.com/2019/01/16/colombia-cerro-el-2018-con-record-en-produccion-de-gas-y-petroleo/</text>
  </threadedComment>
  <threadedComment ref="R76" dT="2022-08-10T02:26:10.91" personId="{8B4C904F-D39B-41A2-976E-9CF6D3CCE00C}" id="{D776B7B1-62B5-4346-9580-94152522D5BD}">
    <text>Data from ANH report: Reserves 2018</text>
  </threadedComment>
  <threadedComment ref="T77" dT="2022-08-10T02:18:04.53" personId="{8B4C904F-D39B-41A2-976E-9CF6D3CCE00C}" id="{BA761599-396A-49D5-AA6D-4BC19FBDF2BD}">
    <text>Chichimene + Apiay + 10 oilfields</text>
  </threadedComment>
  <threadedComment ref="R78" dT="2022-08-10T02:11:03.45" personId="{8B4C904F-D39B-41A2-976E-9CF6D3CCE00C}" id="{E320C1C6-DE32-49A6-870A-0918B7BE0E85}">
    <text>Infantas + la Cira + Lisama + LLanito + Yarigui-Cantagallo</text>
  </threadedComment>
  <threadedComment ref="T78" dT="2022-08-10T02:16:29.46" personId="{8B4C904F-D39B-41A2-976E-9CF6D3CCE00C}" id="{21204627-F6DC-4143-9567-33068CB8C7FA}">
    <text>Cira + Infantas + Yarigui-Cantagallo +12 oilfields</text>
  </threadedComment>
  <threadedComment ref="R79" dT="2022-08-10T02:04:44.28" personId="{8B4C904F-D39B-41A2-976E-9CF6D3CCE00C}" id="{9873AE17-3FF6-4804-B27E-E3E701DD8B0C}">
    <text>Caño limon + 24 campos</text>
  </threadedComment>
  <threadedComment ref="T79" dT="2022-08-10T02:14:05.47" personId="{8B4C904F-D39B-41A2-976E-9CF6D3CCE00C}" id="{56DB3520-C5F7-4FA4-B4D9-82B6B2808C68}">
    <text>Andina + Capachos</text>
  </threadedComment>
  <threadedComment ref="R80" dT="2022-08-10T02:07:49.33" personId="{8B4C904F-D39B-41A2-976E-9CF6D3CCE00C}" id="{91993813-061C-47E7-A3AB-2463BC6DB191}">
    <text>Boquete + cicuco (Yarigui-Cantagallo is not considered as part of Bolivar Department but Santander)</text>
  </threadedComment>
  <threadedComment ref="R81" dT="2022-08-10T02:03:42.76" personId="{8B4C904F-D39B-41A2-976E-9CF6D3CCE00C}" id="{10EC9C8E-F434-45E3-B814-D8578688DD09}">
    <text>Casabe + Nare + Peñas Blancas + Teca-Corcona</text>
  </threadedComment>
  <threadedComment ref="T81" dT="2022-08-10T02:13:35.79" personId="{8B4C904F-D39B-41A2-976E-9CF6D3CCE00C}" id="{2E6F47D5-070C-44D3-BAB1-67ADAE18466B}">
    <text>Casabe + Peñas Blancas</text>
  </threadedComment>
  <threadedComment ref="R82" dT="2022-08-10T02:09:10.23" personId="{8B4C904F-D39B-41A2-976E-9CF6D3CCE00C}" id="{0023FFC6-039A-46E8-8E63-6F287132D253}">
    <text>Gibraltar + Girasol + Moriche + Velasquez + 8 oilfields</text>
  </threadedComment>
  <threadedComment ref="T82" dT="2022-08-10T02:17:12.43" personId="{8B4C904F-D39B-41A2-976E-9CF6D3CCE00C}" id="{70A75F81-4CAB-4384-A689-206C8CFA0516}">
    <text>Gibraltar + 5 gasfields</text>
  </threadedComment>
  <threadedComment ref="T83" dT="2022-08-10T02:14:57.33" personId="{8B4C904F-D39B-41A2-976E-9CF6D3CCE00C}" id="{99DC78EC-4683-44A1-AD26-041BE706B124}">
    <text>Cupiagua + Cusiana + Pauto + 9 gasfields</text>
  </threadedComment>
  <threadedComment ref="T84" dT="2022-08-10T02:15:35.17" personId="{8B4C904F-D39B-41A2-976E-9CF6D3CCE00C}" id="{CD64E6C6-5474-4A71-9BAB-A199E58F34DC}">
    <text>Ballena + Chuchupa</text>
  </threadedComment>
  <threadedComment ref="R87" dT="2022-08-10T02:20:44.65" personId="{8B4C904F-D39B-41A2-976E-9CF6D3CCE00C}" id="{D2921E57-2D44-4B35-989E-5AA00252E3C8}">
    <text>https://nuevoportal.ecopetrol.com.co/wps/portal/ecopetrol-web/nuestra-empresa/sala-de-prensa/boletines-de-prensa/boletines-2019/boletines-2018/Grupo%20Ecopetrol%20incremento%20sus%20reservas%20probadas%20de%20hidrocarburos%20al%20cierre%20de%202018</text>
  </threadedComment>
  <threadedComment ref="T87" dT="2022-08-10T02:24:15.91" personId="{8B4C904F-D39B-41A2-976E-9CF6D3CCE00C}" id="{1371A6D2-3AC0-4404-BBF4-3F45CF4B722B}">
    <text>1 Equivalent oil barrel is about 5800 scf</text>
  </threadedComment>
  <threadedComment ref="R97" dT="2022-08-11T14:45:12.33" personId="{8B4C904F-D39B-41A2-976E-9CF6D3CCE00C}" id="{7AF6FB8E-74D6-4C88-BA41-503CE35E7727}">
    <text>https://nuevoportal.ecopetrol.com.co/wps/portal/ecopetrol-web/nuestra-empresa/sala-de-prensa/boletines-de-prensa/boletines-2019/boletines-2018/Grupo%20Ecopetrol%20incremento%20sus%20reservas%20probadas%20de%20hidrocarburos%20al%20cierre%20de%202018</text>
  </threadedComment>
  <threadedComment ref="Q104" dT="2022-08-11T15:22:25.65" personId="{8B4C904F-D39B-41A2-976E-9CF6D3CCE00C}" id="{4D46370C-7FFD-4489-9A9B-2DC1439F982E}">
    <text>Boletin Estadistico UPME 2016-2020</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FR@%20Primary=%2013%25%20(CASA%207)"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A207-A31D-4333-AF3C-69874402C6D2}">
  <sheetPr>
    <pageSetUpPr autoPageBreaks="0"/>
  </sheetPr>
  <dimension ref="A2:AH27"/>
  <sheetViews>
    <sheetView zoomScaleNormal="100" workbookViewId="0">
      <selection activeCell="L24" sqref="L24:L25"/>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24.140625" style="1" customWidth="1"/>
    <col min="6" max="6" width="12.28515625" style="1" customWidth="1"/>
    <col min="7" max="7" width="16.42578125" style="1" customWidth="1"/>
    <col min="8" max="8" width="17" style="1" customWidth="1"/>
    <col min="9" max="9" width="16.140625" style="1" customWidth="1"/>
    <col min="10" max="10" width="28.7109375" style="1" customWidth="1"/>
    <col min="11" max="12" width="43.140625" style="1" customWidth="1"/>
    <col min="13" max="13" width="34" style="1" customWidth="1"/>
    <col min="14" max="14" width="11.42578125" style="1"/>
    <col min="15" max="15" width="34.85546875" style="1" customWidth="1"/>
    <col min="16" max="16" width="18.5703125" style="1" customWidth="1"/>
    <col min="17" max="17" width="27.5703125" style="1" customWidth="1"/>
    <col min="18" max="18" width="46.85546875" style="1" customWidth="1"/>
    <col min="19" max="19" width="40.28515625" style="1" customWidth="1"/>
    <col min="20" max="20" width="22.28515625" style="1" customWidth="1"/>
    <col min="21" max="21" width="34.85546875" style="1" customWidth="1"/>
    <col min="22" max="22" width="32.28515625" style="1" customWidth="1"/>
    <col min="23" max="23" width="27.85546875" style="1" customWidth="1"/>
    <col min="24" max="24" width="33.140625" style="1" customWidth="1"/>
    <col min="25" max="25" width="28.28515625" style="1" customWidth="1"/>
    <col min="26" max="26" width="89.85546875" style="1" customWidth="1"/>
    <col min="27" max="28" width="11.42578125" style="1"/>
    <col min="29" max="29" width="6.7109375" style="1" customWidth="1"/>
    <col min="30" max="34" width="11.42578125" style="1"/>
  </cols>
  <sheetData>
    <row r="2" spans="2:29" s="1" customFormat="1" x14ac:dyDescent="0.25">
      <c r="B2" s="1" t="s">
        <v>0</v>
      </c>
    </row>
    <row r="3" spans="2:29" s="1" customFormat="1" x14ac:dyDescent="0.25">
      <c r="M3" s="1" t="s">
        <v>1</v>
      </c>
    </row>
    <row r="4" spans="2:29" s="1" customFormat="1" ht="25.15" customHeight="1" x14ac:dyDescent="0.25">
      <c r="B4" s="2" t="s">
        <v>251</v>
      </c>
      <c r="C4" s="3" t="s">
        <v>3</v>
      </c>
      <c r="D4" s="3" t="s">
        <v>4</v>
      </c>
      <c r="E4" s="3" t="s">
        <v>6</v>
      </c>
      <c r="F4" s="3" t="s">
        <v>7</v>
      </c>
      <c r="G4" s="3" t="s">
        <v>8</v>
      </c>
      <c r="H4" s="3" t="s">
        <v>9</v>
      </c>
      <c r="I4" s="3" t="s">
        <v>252</v>
      </c>
      <c r="J4" s="3" t="s">
        <v>11</v>
      </c>
      <c r="K4" s="3" t="s">
        <v>253</v>
      </c>
      <c r="L4" s="3" t="s">
        <v>254</v>
      </c>
      <c r="M4" s="3" t="s">
        <v>13</v>
      </c>
      <c r="N4" s="3" t="s">
        <v>5</v>
      </c>
      <c r="O4" s="3" t="s">
        <v>14</v>
      </c>
      <c r="P4" s="3" t="s">
        <v>15</v>
      </c>
      <c r="Q4" s="3" t="s">
        <v>16</v>
      </c>
      <c r="R4" s="3" t="s">
        <v>17</v>
      </c>
      <c r="S4" s="3" t="s">
        <v>18</v>
      </c>
      <c r="T4" s="3" t="s">
        <v>19</v>
      </c>
      <c r="U4" s="3" t="s">
        <v>20</v>
      </c>
      <c r="V4" s="3" t="s">
        <v>21</v>
      </c>
      <c r="W4" s="3" t="s">
        <v>22</v>
      </c>
      <c r="X4" s="3" t="s">
        <v>23</v>
      </c>
      <c r="Y4" s="4" t="s">
        <v>24</v>
      </c>
      <c r="Z4" s="5" t="s">
        <v>25</v>
      </c>
    </row>
    <row r="5" spans="2:29" s="1" customFormat="1" ht="25.5" x14ac:dyDescent="0.25">
      <c r="B5" s="6">
        <v>1</v>
      </c>
      <c r="C5" s="7" t="s">
        <v>166</v>
      </c>
      <c r="D5" s="7" t="s">
        <v>255</v>
      </c>
      <c r="E5" s="7" t="s">
        <v>256</v>
      </c>
      <c r="F5" s="7" t="s">
        <v>30</v>
      </c>
      <c r="G5" s="8">
        <v>11342</v>
      </c>
      <c r="H5" s="7">
        <v>152.77000000000001</v>
      </c>
      <c r="I5" s="69">
        <v>754.35</v>
      </c>
      <c r="J5" s="7" t="s">
        <v>257</v>
      </c>
      <c r="K5" s="7">
        <v>0.68</v>
      </c>
      <c r="L5" s="7" t="s">
        <v>258</v>
      </c>
      <c r="M5" s="7" t="s">
        <v>259</v>
      </c>
      <c r="N5" s="7" t="s">
        <v>28</v>
      </c>
      <c r="O5" s="7" t="s">
        <v>260</v>
      </c>
      <c r="P5" s="7">
        <v>0.05</v>
      </c>
      <c r="Q5" s="7" t="s">
        <v>261</v>
      </c>
      <c r="R5" s="7" t="s">
        <v>262</v>
      </c>
      <c r="S5" s="7" t="s">
        <v>263</v>
      </c>
      <c r="T5" s="7" t="s">
        <v>264</v>
      </c>
      <c r="U5" s="7"/>
      <c r="V5" s="7">
        <v>0</v>
      </c>
      <c r="W5" s="7" t="s">
        <v>265</v>
      </c>
      <c r="X5" s="7" t="s">
        <v>266</v>
      </c>
      <c r="Y5" s="11" t="s">
        <v>267</v>
      </c>
      <c r="Z5" s="12" t="s">
        <v>268</v>
      </c>
    </row>
    <row r="6" spans="2:29" s="1" customFormat="1" ht="25.5" x14ac:dyDescent="0.25">
      <c r="B6" s="6">
        <v>3</v>
      </c>
      <c r="C6" s="7" t="s">
        <v>166</v>
      </c>
      <c r="D6" s="7" t="s">
        <v>269</v>
      </c>
      <c r="E6" s="7" t="s">
        <v>270</v>
      </c>
      <c r="F6" s="7" t="s">
        <v>30</v>
      </c>
      <c r="G6" s="8">
        <v>4514</v>
      </c>
      <c r="H6" s="7">
        <v>182.15</v>
      </c>
      <c r="I6" s="69">
        <v>306.27</v>
      </c>
      <c r="J6" s="7">
        <v>52</v>
      </c>
      <c r="K6" s="7">
        <v>0.68</v>
      </c>
      <c r="L6" s="14" t="s">
        <v>258</v>
      </c>
      <c r="M6" s="7" t="s">
        <v>271</v>
      </c>
      <c r="N6" s="7" t="s">
        <v>28</v>
      </c>
      <c r="O6" s="7" t="s">
        <v>260</v>
      </c>
      <c r="P6" s="7">
        <v>0.05</v>
      </c>
      <c r="Q6" s="7" t="s">
        <v>261</v>
      </c>
      <c r="R6" s="7" t="s">
        <v>272</v>
      </c>
      <c r="S6" s="7" t="s">
        <v>273</v>
      </c>
      <c r="T6" s="7" t="s">
        <v>264</v>
      </c>
      <c r="U6" s="7"/>
      <c r="V6" s="7"/>
      <c r="W6" s="7"/>
      <c r="X6" s="7" t="s">
        <v>274</v>
      </c>
      <c r="Y6" s="11" t="s">
        <v>275</v>
      </c>
      <c r="Z6" s="12"/>
    </row>
    <row r="7" spans="2:29" s="1" customFormat="1" ht="38.25" x14ac:dyDescent="0.25">
      <c r="B7" s="6">
        <v>2</v>
      </c>
      <c r="C7" s="7" t="s">
        <v>166</v>
      </c>
      <c r="D7" s="7" t="s">
        <v>276</v>
      </c>
      <c r="E7" s="7" t="s">
        <v>277</v>
      </c>
      <c r="F7" s="7" t="s">
        <v>278</v>
      </c>
      <c r="G7" s="8">
        <v>31197</v>
      </c>
      <c r="H7" s="7">
        <v>218.46</v>
      </c>
      <c r="I7" s="69">
        <v>459.81099999999998</v>
      </c>
      <c r="J7" s="7">
        <v>46</v>
      </c>
      <c r="K7" s="7">
        <v>0.72</v>
      </c>
      <c r="L7" s="7" t="s">
        <v>279</v>
      </c>
      <c r="M7" s="7" t="s">
        <v>280</v>
      </c>
      <c r="N7" s="7" t="s">
        <v>281</v>
      </c>
      <c r="O7" s="7" t="s">
        <v>260</v>
      </c>
      <c r="P7" s="7" t="s">
        <v>282</v>
      </c>
      <c r="Q7" s="10" t="s">
        <v>283</v>
      </c>
      <c r="R7" s="7" t="s">
        <v>284</v>
      </c>
      <c r="S7" s="7" t="s">
        <v>285</v>
      </c>
      <c r="T7" s="7" t="s">
        <v>286</v>
      </c>
      <c r="U7" s="7"/>
      <c r="V7" s="7"/>
      <c r="W7" s="7" t="s">
        <v>287</v>
      </c>
      <c r="X7" s="7"/>
      <c r="Y7" s="11" t="s">
        <v>288</v>
      </c>
      <c r="Z7" s="12" t="s">
        <v>289</v>
      </c>
    </row>
    <row r="8" spans="2:29" s="1" customFormat="1" ht="25.5" x14ac:dyDescent="0.25">
      <c r="B8" s="6">
        <v>5</v>
      </c>
      <c r="C8" s="7" t="s">
        <v>166</v>
      </c>
      <c r="D8" s="7" t="s">
        <v>276</v>
      </c>
      <c r="E8" s="7" t="s">
        <v>290</v>
      </c>
      <c r="F8" s="7" t="s">
        <v>278</v>
      </c>
      <c r="G8" s="8">
        <v>8374</v>
      </c>
      <c r="H8" s="7" t="s">
        <v>31</v>
      </c>
      <c r="I8" s="69">
        <v>153.01</v>
      </c>
      <c r="J8" s="7" t="s">
        <v>291</v>
      </c>
      <c r="K8" s="7">
        <v>0.74</v>
      </c>
      <c r="L8" s="7" t="s">
        <v>292</v>
      </c>
      <c r="M8" s="7" t="s">
        <v>280</v>
      </c>
      <c r="N8" s="7" t="s">
        <v>28</v>
      </c>
      <c r="O8" s="7" t="s">
        <v>260</v>
      </c>
      <c r="P8" s="7" t="s">
        <v>282</v>
      </c>
      <c r="Q8" s="7" t="s">
        <v>283</v>
      </c>
      <c r="R8" s="7" t="s">
        <v>293</v>
      </c>
      <c r="S8" s="7" t="s">
        <v>294</v>
      </c>
      <c r="T8" s="7" t="s">
        <v>286</v>
      </c>
      <c r="U8" s="7"/>
      <c r="V8" s="15" t="s">
        <v>295</v>
      </c>
      <c r="W8" s="7" t="s">
        <v>296</v>
      </c>
      <c r="X8" s="7" t="s">
        <v>297</v>
      </c>
      <c r="Y8" s="11" t="s">
        <v>275</v>
      </c>
      <c r="Z8" s="12" t="s">
        <v>298</v>
      </c>
    </row>
    <row r="9" spans="2:29" s="1" customFormat="1" ht="25.5" x14ac:dyDescent="0.25">
      <c r="B9" s="6">
        <v>4</v>
      </c>
      <c r="C9" s="7" t="s">
        <v>299</v>
      </c>
      <c r="D9" s="7" t="s">
        <v>300</v>
      </c>
      <c r="E9" s="7" t="s">
        <v>301</v>
      </c>
      <c r="F9" s="7" t="s">
        <v>302</v>
      </c>
      <c r="G9" s="8">
        <v>0</v>
      </c>
      <c r="H9" s="7">
        <v>207.5</v>
      </c>
      <c r="I9" s="69">
        <v>214.703</v>
      </c>
      <c r="J9" s="7" t="s">
        <v>31</v>
      </c>
      <c r="K9" s="7">
        <v>0.56000000000000005</v>
      </c>
      <c r="L9" s="7" t="s">
        <v>303</v>
      </c>
      <c r="M9" s="7" t="s">
        <v>304</v>
      </c>
      <c r="N9" s="7" t="s">
        <v>299</v>
      </c>
      <c r="O9" s="7" t="s">
        <v>305</v>
      </c>
      <c r="P9" s="7" t="s">
        <v>306</v>
      </c>
      <c r="Q9" s="7" t="s">
        <v>307</v>
      </c>
      <c r="R9" s="7" t="s">
        <v>308</v>
      </c>
      <c r="S9" s="13" t="s">
        <v>309</v>
      </c>
      <c r="T9" s="7"/>
      <c r="U9" s="7"/>
      <c r="V9" s="7" t="s">
        <v>310</v>
      </c>
      <c r="W9" s="7"/>
      <c r="X9" s="7"/>
      <c r="Y9" s="11"/>
      <c r="Z9" s="12"/>
    </row>
    <row r="10" spans="2:29" s="1" customFormat="1" x14ac:dyDescent="0.25">
      <c r="B10" s="6">
        <v>6</v>
      </c>
      <c r="C10" s="7" t="s">
        <v>299</v>
      </c>
      <c r="D10" s="7" t="s">
        <v>300</v>
      </c>
      <c r="E10" s="7" t="s">
        <v>311</v>
      </c>
      <c r="F10" s="7" t="s">
        <v>302</v>
      </c>
      <c r="G10" s="8">
        <v>0</v>
      </c>
      <c r="H10" s="7">
        <v>30.6</v>
      </c>
      <c r="I10" s="69">
        <v>31.34</v>
      </c>
      <c r="J10" s="7"/>
      <c r="K10" s="7"/>
      <c r="L10" s="7"/>
      <c r="M10" s="7"/>
      <c r="N10" s="7" t="s">
        <v>299</v>
      </c>
      <c r="O10" s="7"/>
      <c r="P10" s="7"/>
      <c r="Q10" s="7"/>
      <c r="R10" s="7" t="s">
        <v>312</v>
      </c>
      <c r="S10" s="7" t="s">
        <v>313</v>
      </c>
      <c r="T10" s="7"/>
      <c r="U10" s="7"/>
      <c r="V10" s="7"/>
      <c r="W10" s="7"/>
      <c r="X10" s="7"/>
      <c r="Y10" s="11"/>
      <c r="Z10" s="12"/>
    </row>
    <row r="11" spans="2:29" s="1" customFormat="1" ht="51" x14ac:dyDescent="0.25">
      <c r="B11" s="70">
        <v>6</v>
      </c>
      <c r="C11" s="71" t="s">
        <v>314</v>
      </c>
      <c r="D11" s="71"/>
      <c r="E11" s="71" t="s">
        <v>315</v>
      </c>
      <c r="F11" s="71" t="s">
        <v>316</v>
      </c>
      <c r="G11" s="72">
        <v>1</v>
      </c>
      <c r="H11" s="71"/>
      <c r="I11" s="73">
        <v>53.6</v>
      </c>
      <c r="J11" s="7"/>
      <c r="K11" s="7"/>
      <c r="L11" s="7"/>
      <c r="M11" s="7"/>
      <c r="N11" s="7"/>
      <c r="O11" s="7"/>
      <c r="P11" s="7"/>
      <c r="Q11" s="7"/>
      <c r="R11" s="7"/>
      <c r="S11" s="7"/>
      <c r="T11" s="7"/>
      <c r="U11" s="7"/>
      <c r="V11" s="7"/>
      <c r="W11" s="7"/>
      <c r="X11" s="7"/>
      <c r="Y11" s="11"/>
      <c r="Z11" s="12"/>
    </row>
    <row r="12" spans="2:29" s="1" customFormat="1" ht="25.5" x14ac:dyDescent="0.25">
      <c r="B12" s="70">
        <v>7</v>
      </c>
      <c r="C12" s="71" t="s">
        <v>317</v>
      </c>
      <c r="D12" s="71"/>
      <c r="E12" s="71" t="s">
        <v>318</v>
      </c>
      <c r="F12" s="71" t="s">
        <v>30</v>
      </c>
      <c r="G12" s="72">
        <v>0</v>
      </c>
      <c r="H12" s="71"/>
      <c r="I12" s="73">
        <v>39.1</v>
      </c>
      <c r="J12" s="7"/>
      <c r="K12" s="7"/>
      <c r="L12" s="7"/>
      <c r="M12" s="7"/>
      <c r="N12" s="7"/>
      <c r="O12" s="7"/>
      <c r="P12" s="7"/>
      <c r="Q12" s="7"/>
      <c r="R12" s="7"/>
      <c r="S12" s="7"/>
      <c r="T12" s="7"/>
      <c r="U12" s="7"/>
      <c r="V12" s="7"/>
      <c r="W12" s="7"/>
      <c r="X12" s="7"/>
      <c r="Y12" s="11"/>
      <c r="Z12" s="12"/>
    </row>
    <row r="13" spans="2:29" s="1" customFormat="1" ht="11.45" customHeight="1" x14ac:dyDescent="0.25">
      <c r="B13" s="27"/>
      <c r="C13" s="28"/>
      <c r="D13" s="28"/>
      <c r="E13" s="28"/>
      <c r="F13" s="28"/>
      <c r="G13" s="28"/>
      <c r="H13" s="30"/>
      <c r="I13" s="30"/>
      <c r="J13" s="29" t="s">
        <v>319</v>
      </c>
      <c r="K13" s="29" t="s">
        <v>319</v>
      </c>
      <c r="L13" s="29" t="s">
        <v>319</v>
      </c>
      <c r="M13" s="29" t="s">
        <v>320</v>
      </c>
      <c r="N13" s="29"/>
      <c r="O13" s="29" t="s">
        <v>320</v>
      </c>
      <c r="P13" s="29" t="s">
        <v>320</v>
      </c>
      <c r="Q13" s="29" t="s">
        <v>320</v>
      </c>
      <c r="R13" s="29" t="s">
        <v>321</v>
      </c>
      <c r="S13" s="29" t="s">
        <v>320</v>
      </c>
      <c r="T13" s="29" t="s">
        <v>320</v>
      </c>
      <c r="U13" s="29"/>
      <c r="V13" s="29" t="s">
        <v>321</v>
      </c>
      <c r="W13" s="29" t="s">
        <v>321</v>
      </c>
      <c r="X13" s="29"/>
      <c r="Y13" s="31" t="s">
        <v>322</v>
      </c>
      <c r="Z13" s="32"/>
    </row>
    <row r="14" spans="2:29" s="1" customFormat="1" ht="10.15" customHeight="1" x14ac:dyDescent="0.25">
      <c r="B14" s="33"/>
      <c r="H14" s="35"/>
      <c r="I14" s="35"/>
      <c r="J14" s="34" t="s">
        <v>323</v>
      </c>
      <c r="K14" s="34" t="s">
        <v>324</v>
      </c>
      <c r="L14" s="34" t="s">
        <v>324</v>
      </c>
      <c r="M14" s="34" t="s">
        <v>323</v>
      </c>
      <c r="N14" s="34"/>
      <c r="O14" s="34" t="s">
        <v>323</v>
      </c>
      <c r="P14" s="34" t="s">
        <v>325</v>
      </c>
      <c r="Q14" s="34" t="s">
        <v>323</v>
      </c>
      <c r="R14" s="34"/>
      <c r="S14" s="34" t="s">
        <v>326</v>
      </c>
      <c r="T14" s="34" t="s">
        <v>327</v>
      </c>
      <c r="U14" s="34"/>
      <c r="V14" s="34" t="s">
        <v>328</v>
      </c>
      <c r="W14" s="34" t="s">
        <v>329</v>
      </c>
      <c r="X14" s="34" t="s">
        <v>330</v>
      </c>
      <c r="Y14" s="36"/>
      <c r="Z14" s="32"/>
      <c r="AB14" s="35"/>
      <c r="AC14" s="35"/>
    </row>
    <row r="15" spans="2:29" s="1" customFormat="1" ht="10.15" customHeight="1" x14ac:dyDescent="0.25">
      <c r="B15" s="33"/>
      <c r="H15" s="35"/>
      <c r="I15" s="35"/>
      <c r="J15" s="34"/>
      <c r="K15" s="34" t="s">
        <v>331</v>
      </c>
      <c r="L15" s="34" t="s">
        <v>332</v>
      </c>
      <c r="M15" s="34" t="s">
        <v>331</v>
      </c>
      <c r="N15" s="34" t="s">
        <v>331</v>
      </c>
      <c r="O15" s="34" t="s">
        <v>331</v>
      </c>
      <c r="P15" s="34" t="s">
        <v>331</v>
      </c>
      <c r="Q15" s="34" t="s">
        <v>333</v>
      </c>
      <c r="R15" s="34" t="s">
        <v>331</v>
      </c>
      <c r="S15" s="34" t="s">
        <v>334</v>
      </c>
      <c r="T15" s="34"/>
      <c r="U15" s="34"/>
      <c r="V15" s="34" t="s">
        <v>333</v>
      </c>
      <c r="W15" s="34"/>
      <c r="X15" s="34"/>
      <c r="Y15" s="36"/>
      <c r="Z15" s="32"/>
      <c r="AA15" s="35"/>
      <c r="AB15" s="35"/>
      <c r="AC15" s="35"/>
    </row>
    <row r="16" spans="2:29" s="1" customFormat="1" ht="10.15" customHeight="1" x14ac:dyDescent="0.25">
      <c r="B16" s="33"/>
      <c r="H16" s="35"/>
      <c r="I16" s="35"/>
      <c r="J16" s="34" t="s">
        <v>335</v>
      </c>
      <c r="K16" s="34" t="s">
        <v>324</v>
      </c>
      <c r="L16" s="34" t="s">
        <v>324</v>
      </c>
      <c r="M16" s="34" t="s">
        <v>323</v>
      </c>
      <c r="N16" s="34"/>
      <c r="O16" s="34" t="s">
        <v>323</v>
      </c>
      <c r="P16" s="34"/>
      <c r="Q16" s="34"/>
      <c r="R16" s="34" t="s">
        <v>336</v>
      </c>
      <c r="S16" s="34"/>
      <c r="T16" s="34" t="s">
        <v>327</v>
      </c>
      <c r="U16" s="34"/>
      <c r="V16" s="34"/>
      <c r="W16" s="34"/>
      <c r="X16" s="34" t="s">
        <v>337</v>
      </c>
      <c r="Y16" s="36" t="s">
        <v>338</v>
      </c>
      <c r="Z16" s="32"/>
      <c r="AA16" s="35"/>
      <c r="AB16" s="35"/>
      <c r="AC16" s="35"/>
    </row>
    <row r="17" spans="2:29" s="1" customFormat="1" ht="10.15" customHeight="1" x14ac:dyDescent="0.25">
      <c r="B17" s="33"/>
      <c r="H17" s="35"/>
      <c r="I17" s="35"/>
      <c r="J17" s="34" t="s">
        <v>319</v>
      </c>
      <c r="K17" s="34" t="s">
        <v>319</v>
      </c>
      <c r="L17" s="34" t="s">
        <v>319</v>
      </c>
      <c r="M17" s="34" t="s">
        <v>320</v>
      </c>
      <c r="N17" s="34"/>
      <c r="O17" s="34" t="s">
        <v>320</v>
      </c>
      <c r="P17" s="34" t="s">
        <v>320</v>
      </c>
      <c r="Q17" s="34" t="s">
        <v>320</v>
      </c>
      <c r="R17" s="34"/>
      <c r="S17" s="34"/>
      <c r="T17" s="34" t="s">
        <v>320</v>
      </c>
      <c r="U17" s="34"/>
      <c r="V17" s="34" t="s">
        <v>339</v>
      </c>
      <c r="W17" s="34" t="s">
        <v>339</v>
      </c>
      <c r="X17" s="34" t="s">
        <v>340</v>
      </c>
      <c r="Y17" s="36"/>
      <c r="Z17" s="32"/>
      <c r="AA17" s="35"/>
      <c r="AB17" s="35"/>
      <c r="AC17" s="35"/>
    </row>
    <row r="18" spans="2:29" s="1" customFormat="1" ht="10.15" customHeight="1" x14ac:dyDescent="0.25">
      <c r="B18" s="33"/>
      <c r="H18" s="35"/>
      <c r="I18" s="35"/>
      <c r="J18" s="34"/>
      <c r="K18" s="34"/>
      <c r="L18" s="34"/>
      <c r="M18" s="34"/>
      <c r="N18" s="34"/>
      <c r="O18" s="34"/>
      <c r="P18" s="34"/>
      <c r="Q18" s="34"/>
      <c r="R18" s="34"/>
      <c r="S18" s="34"/>
      <c r="T18" s="34"/>
      <c r="U18" s="34"/>
      <c r="V18" s="34"/>
      <c r="W18" s="34"/>
      <c r="X18" s="34"/>
      <c r="Y18" s="36"/>
      <c r="Z18" s="32"/>
      <c r="AA18" s="35"/>
      <c r="AB18" s="35"/>
      <c r="AC18" s="35"/>
    </row>
    <row r="19" spans="2:29" s="1" customFormat="1" ht="10.15" customHeight="1" x14ac:dyDescent="0.25">
      <c r="B19" s="33"/>
      <c r="H19" s="35"/>
      <c r="I19" s="35"/>
      <c r="J19" s="34"/>
      <c r="K19" s="34"/>
      <c r="L19" s="34"/>
      <c r="M19" s="34"/>
      <c r="N19" s="34"/>
      <c r="O19" s="34"/>
      <c r="P19" s="34"/>
      <c r="Q19" s="34"/>
      <c r="R19" s="34"/>
      <c r="S19" s="34"/>
      <c r="T19" s="34"/>
      <c r="U19" s="34"/>
      <c r="V19" s="34"/>
      <c r="W19" s="34"/>
      <c r="X19" s="34"/>
      <c r="Y19" s="36"/>
      <c r="Z19" s="32"/>
      <c r="AA19" s="35"/>
      <c r="AB19" s="35"/>
      <c r="AC19" s="35"/>
    </row>
    <row r="20" spans="2:29" s="1" customFormat="1" ht="10.15" customHeight="1" x14ac:dyDescent="0.25">
      <c r="B20" s="33"/>
      <c r="H20" s="35"/>
      <c r="I20" s="35"/>
      <c r="J20" s="34"/>
      <c r="K20" s="34" t="s">
        <v>324</v>
      </c>
      <c r="L20" s="34" t="s">
        <v>324</v>
      </c>
      <c r="M20" s="34"/>
      <c r="N20" s="34"/>
      <c r="O20" s="34"/>
      <c r="P20" s="34"/>
      <c r="Q20" s="34"/>
      <c r="R20" s="34" t="s">
        <v>333</v>
      </c>
      <c r="S20" s="34" t="s">
        <v>333</v>
      </c>
      <c r="T20" s="34"/>
      <c r="U20" s="34"/>
      <c r="V20" s="34"/>
      <c r="W20" s="34"/>
      <c r="X20" s="34"/>
      <c r="Y20" s="36"/>
      <c r="Z20" s="32"/>
      <c r="AA20" s="35"/>
      <c r="AB20" s="35"/>
      <c r="AC20" s="35"/>
    </row>
    <row r="21" spans="2:29" s="1" customFormat="1" ht="10.15" customHeight="1" x14ac:dyDescent="0.25">
      <c r="B21" s="33"/>
      <c r="H21" s="35"/>
      <c r="I21" s="35"/>
      <c r="J21" s="34"/>
      <c r="K21" s="34"/>
      <c r="L21" s="34"/>
      <c r="M21" s="34"/>
      <c r="N21" s="34"/>
      <c r="O21" s="34"/>
      <c r="P21" s="34"/>
      <c r="Q21" s="34"/>
      <c r="R21" s="34"/>
      <c r="S21" s="34"/>
      <c r="T21" s="34"/>
      <c r="U21" s="34"/>
      <c r="V21" s="34"/>
      <c r="W21" s="34"/>
      <c r="X21" s="34"/>
      <c r="Y21" s="36"/>
      <c r="Z21" s="32"/>
      <c r="AA21" s="35"/>
      <c r="AB21" s="35"/>
      <c r="AC21" s="35"/>
    </row>
    <row r="22" spans="2:29" s="1" customFormat="1" ht="10.15" customHeight="1" x14ac:dyDescent="0.25">
      <c r="B22" s="39"/>
      <c r="C22" s="40"/>
      <c r="D22" s="40"/>
      <c r="E22" s="40"/>
      <c r="F22" s="40"/>
      <c r="G22" s="40"/>
      <c r="H22" s="41"/>
      <c r="I22" s="41"/>
      <c r="J22" s="41"/>
      <c r="K22" s="41"/>
      <c r="L22" s="41"/>
      <c r="M22" s="41"/>
      <c r="N22" s="41"/>
      <c r="O22" s="41"/>
      <c r="P22" s="41"/>
      <c r="Q22" s="41"/>
      <c r="R22" s="41"/>
      <c r="S22" s="41"/>
      <c r="T22" s="41"/>
      <c r="U22" s="41"/>
      <c r="V22" s="41"/>
      <c r="W22" s="41"/>
      <c r="X22" s="41"/>
      <c r="Y22" s="42"/>
      <c r="Z22" s="35"/>
      <c r="AA22" s="35"/>
      <c r="AB22" s="35"/>
      <c r="AC22" s="35"/>
    </row>
    <row r="23" spans="2:29" s="1" customFormat="1" ht="17.45" customHeight="1" x14ac:dyDescent="0.25">
      <c r="B23" s="43" t="s">
        <v>244</v>
      </c>
      <c r="C23" s="44"/>
      <c r="D23" s="44"/>
      <c r="E23" s="44"/>
      <c r="F23" s="44"/>
      <c r="G23" s="46"/>
      <c r="H23" s="257" t="s">
        <v>22</v>
      </c>
      <c r="I23" s="258"/>
      <c r="J23" s="258"/>
      <c r="K23" s="258"/>
      <c r="L23" s="259"/>
      <c r="N23" s="48"/>
      <c r="O23" s="48"/>
      <c r="P23" s="49"/>
      <c r="Q23" s="49"/>
      <c r="R23" s="49"/>
      <c r="S23" s="49"/>
      <c r="T23" s="49"/>
      <c r="U23" s="49"/>
      <c r="V23" s="49"/>
      <c r="W23" s="49"/>
      <c r="X23" s="49"/>
      <c r="Y23" s="35"/>
      <c r="Z23" s="35"/>
      <c r="AA23" s="35"/>
      <c r="AB23" s="35"/>
      <c r="AC23" s="35"/>
    </row>
    <row r="24" spans="2:29" s="1" customFormat="1" x14ac:dyDescent="0.25">
      <c r="B24" s="50" t="s">
        <v>245</v>
      </c>
      <c r="C24" s="51">
        <f>+SUM(G5:G10)</f>
        <v>55427</v>
      </c>
      <c r="D24" s="50" t="s">
        <v>246</v>
      </c>
      <c r="E24" s="55"/>
      <c r="F24" s="55"/>
      <c r="G24" s="56">
        <v>6.4063310875864407E-2</v>
      </c>
      <c r="H24" s="50" t="s">
        <v>247</v>
      </c>
      <c r="I24" s="57"/>
      <c r="J24" s="58">
        <f>+SUM(I5:I10)</f>
        <v>1919.4839999999997</v>
      </c>
      <c r="K24" s="50" t="s">
        <v>246</v>
      </c>
      <c r="L24" s="59">
        <v>0.81917906434844945</v>
      </c>
      <c r="N24" s="60"/>
      <c r="O24" s="60"/>
      <c r="P24" s="60"/>
      <c r="Q24" s="60"/>
      <c r="R24" s="61"/>
      <c r="S24" s="60"/>
      <c r="T24" s="60"/>
      <c r="V24" s="61"/>
      <c r="W24" s="61"/>
      <c r="X24" s="61"/>
    </row>
    <row r="25" spans="2:29" s="1" customFormat="1" x14ac:dyDescent="0.25">
      <c r="B25" s="62" t="s">
        <v>245</v>
      </c>
      <c r="C25" s="74">
        <f>+G5+G6+G12</f>
        <v>15856</v>
      </c>
      <c r="D25" s="62" t="s">
        <v>248</v>
      </c>
      <c r="E25" s="64"/>
      <c r="F25" s="64"/>
      <c r="G25" s="65">
        <v>3.3777925478091005E-2</v>
      </c>
      <c r="H25" s="62" t="s">
        <v>249</v>
      </c>
      <c r="I25" s="66"/>
      <c r="J25" s="67">
        <f>+I5+I6+I12</f>
        <v>1099.7199999999998</v>
      </c>
      <c r="K25" s="62" t="s">
        <v>248</v>
      </c>
      <c r="L25" s="68">
        <v>0.9155178155178153</v>
      </c>
      <c r="N25" s="60"/>
      <c r="O25" s="60"/>
      <c r="P25" s="60"/>
      <c r="Q25" s="60"/>
      <c r="R25" s="61"/>
      <c r="V25" s="61"/>
      <c r="W25" s="61"/>
      <c r="X25" s="61"/>
    </row>
    <row r="26" spans="2:29" s="1" customFormat="1" x14ac:dyDescent="0.25">
      <c r="B26" s="1" t="s">
        <v>250</v>
      </c>
    </row>
    <row r="27" spans="2:29" s="1" customFormat="1" x14ac:dyDescent="0.25"/>
  </sheetData>
  <mergeCells count="1">
    <mergeCell ref="H23:L23"/>
  </mergeCells>
  <conditionalFormatting sqref="J5:Z12">
    <cfRule type="containsBlanks" dxfId="45" priority="1">
      <formula>LEN(TRIM(J5))=0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534C3-21DA-4236-BA92-E2A3AE38A22E}">
  <sheetPr>
    <pageSetUpPr autoPageBreaks="0"/>
  </sheetPr>
  <dimension ref="A2:AG31"/>
  <sheetViews>
    <sheetView zoomScale="55" zoomScaleNormal="55" workbookViewId="0">
      <selection activeCell="K29" sqref="K29:K30"/>
    </sheetView>
  </sheetViews>
  <sheetFormatPr baseColWidth="10" defaultColWidth="11.42578125" defaultRowHeight="15" x14ac:dyDescent="0.25"/>
  <cols>
    <col min="1" max="1" width="3.28515625" style="1" customWidth="1"/>
    <col min="2" max="2" width="14.140625" style="1" customWidth="1"/>
    <col min="3" max="4" width="12.42578125" style="1" customWidth="1"/>
    <col min="5" max="5" width="11.42578125" style="1"/>
    <col min="6" max="6" width="24.140625" style="1" customWidth="1"/>
    <col min="7" max="7" width="12.28515625" style="1" customWidth="1"/>
    <col min="8" max="8" width="16.5703125" style="1" customWidth="1"/>
    <col min="9" max="9" width="11.42578125" style="1"/>
    <col min="10" max="10" width="15.5703125" style="1" customWidth="1"/>
    <col min="11" max="11" width="28.7109375" style="1" customWidth="1"/>
    <col min="12" max="12" width="43.140625" style="1" customWidth="1"/>
    <col min="13" max="13" width="34" style="1" customWidth="1"/>
    <col min="14" max="14" width="34.85546875" style="1" customWidth="1"/>
    <col min="15" max="15" width="18.5703125" style="1" customWidth="1"/>
    <col min="16" max="16" width="27.5703125" style="1" customWidth="1"/>
    <col min="17" max="17" width="25.85546875" style="1" customWidth="1"/>
    <col min="18" max="18" width="40.28515625" style="1" customWidth="1"/>
    <col min="19" max="19" width="22.28515625" style="1" customWidth="1"/>
    <col min="20" max="20" width="34.85546875" style="1" customWidth="1"/>
    <col min="21" max="21" width="32.28515625" style="1" customWidth="1"/>
    <col min="22" max="22" width="27.85546875" style="1" customWidth="1"/>
    <col min="23" max="23" width="33.140625" style="1" customWidth="1"/>
    <col min="24" max="24" width="28.28515625" style="1" customWidth="1"/>
    <col min="25" max="25" width="89.85546875" style="1" customWidth="1"/>
    <col min="26" max="27" width="11.42578125" style="1"/>
    <col min="28" max="28" width="6.7109375" style="1" customWidth="1"/>
    <col min="29" max="33" width="11.42578125" style="1"/>
  </cols>
  <sheetData>
    <row r="2" spans="2:25" s="1" customFormat="1" x14ac:dyDescent="0.25">
      <c r="B2" s="1" t="s">
        <v>0</v>
      </c>
    </row>
    <row r="3" spans="2:25" s="1" customFormat="1" x14ac:dyDescent="0.25">
      <c r="M3" s="1" t="s">
        <v>1</v>
      </c>
    </row>
    <row r="4" spans="2:25" s="1" customFormat="1" ht="25.15" customHeight="1" x14ac:dyDescent="0.25">
      <c r="B4" s="2" t="s">
        <v>2</v>
      </c>
      <c r="C4" s="3" t="s">
        <v>3</v>
      </c>
      <c r="D4" s="3" t="s">
        <v>4</v>
      </c>
      <c r="E4" s="3" t="s">
        <v>5</v>
      </c>
      <c r="F4" s="3" t="s">
        <v>6</v>
      </c>
      <c r="G4" s="3" t="s">
        <v>7</v>
      </c>
      <c r="H4" s="3" t="s">
        <v>8</v>
      </c>
      <c r="I4" s="3" t="s">
        <v>9</v>
      </c>
      <c r="J4" s="3" t="s">
        <v>10</v>
      </c>
      <c r="K4" s="3" t="s">
        <v>11</v>
      </c>
      <c r="L4" s="3" t="s">
        <v>12</v>
      </c>
      <c r="M4" s="3" t="s">
        <v>13</v>
      </c>
      <c r="N4" s="3" t="s">
        <v>14</v>
      </c>
      <c r="O4" s="3" t="s">
        <v>15</v>
      </c>
      <c r="P4" s="3" t="s">
        <v>16</v>
      </c>
      <c r="Q4" s="3" t="s">
        <v>17</v>
      </c>
      <c r="R4" s="3" t="s">
        <v>18</v>
      </c>
      <c r="S4" s="3" t="s">
        <v>19</v>
      </c>
      <c r="T4" s="3" t="s">
        <v>20</v>
      </c>
      <c r="U4" s="3" t="s">
        <v>21</v>
      </c>
      <c r="V4" s="3" t="s">
        <v>22</v>
      </c>
      <c r="W4" s="3" t="s">
        <v>23</v>
      </c>
      <c r="X4" s="4" t="s">
        <v>24</v>
      </c>
      <c r="Y4" s="5" t="s">
        <v>25</v>
      </c>
    </row>
    <row r="5" spans="2:25" s="1" customFormat="1" ht="25.5" x14ac:dyDescent="0.25">
      <c r="B5" s="6">
        <v>1</v>
      </c>
      <c r="C5" s="7" t="s">
        <v>26</v>
      </c>
      <c r="D5" s="7" t="s">
        <v>27</v>
      </c>
      <c r="E5" s="7" t="s">
        <v>28</v>
      </c>
      <c r="F5" s="7" t="s">
        <v>29</v>
      </c>
      <c r="G5" s="7" t="s">
        <v>30</v>
      </c>
      <c r="H5" s="8">
        <v>119468</v>
      </c>
      <c r="I5" s="7" t="s">
        <v>31</v>
      </c>
      <c r="J5" s="9">
        <v>0</v>
      </c>
      <c r="K5" s="7" t="s">
        <v>32</v>
      </c>
      <c r="L5" s="7" t="s">
        <v>33</v>
      </c>
      <c r="M5" s="7" t="s">
        <v>34</v>
      </c>
      <c r="N5" s="7" t="s">
        <v>35</v>
      </c>
      <c r="O5" s="7" t="s">
        <v>36</v>
      </c>
      <c r="P5" s="10" t="s">
        <v>37</v>
      </c>
      <c r="Q5" s="7" t="s">
        <v>38</v>
      </c>
      <c r="R5" s="7" t="s">
        <v>39</v>
      </c>
      <c r="S5" s="7" t="s">
        <v>40</v>
      </c>
      <c r="T5" s="7" t="s">
        <v>41</v>
      </c>
      <c r="U5" s="7" t="s">
        <v>42</v>
      </c>
      <c r="V5" s="7" t="s">
        <v>43</v>
      </c>
      <c r="W5" s="7" t="s">
        <v>31</v>
      </c>
      <c r="X5" s="11" t="s">
        <v>31</v>
      </c>
      <c r="Y5" s="12" t="s">
        <v>44</v>
      </c>
    </row>
    <row r="6" spans="2:25" s="1" customFormat="1" ht="25.5" x14ac:dyDescent="0.25">
      <c r="B6" s="6">
        <v>2</v>
      </c>
      <c r="C6" s="7" t="s">
        <v>26</v>
      </c>
      <c r="D6" s="7" t="s">
        <v>45</v>
      </c>
      <c r="E6" s="7" t="s">
        <v>28</v>
      </c>
      <c r="F6" s="7" t="s">
        <v>46</v>
      </c>
      <c r="G6" s="7" t="s">
        <v>30</v>
      </c>
      <c r="H6" s="8">
        <f>70863+311+42175+463</f>
        <v>113812</v>
      </c>
      <c r="I6" s="7" t="s">
        <v>31</v>
      </c>
      <c r="J6" s="9">
        <v>0</v>
      </c>
      <c r="K6" s="7">
        <v>13.7</v>
      </c>
      <c r="L6" s="7" t="s">
        <v>47</v>
      </c>
      <c r="M6" s="7" t="s">
        <v>48</v>
      </c>
      <c r="N6" s="7" t="s">
        <v>49</v>
      </c>
      <c r="O6" s="7" t="s">
        <v>50</v>
      </c>
      <c r="P6" s="7" t="s">
        <v>51</v>
      </c>
      <c r="Q6" s="7" t="s">
        <v>52</v>
      </c>
      <c r="R6" s="7" t="s">
        <v>53</v>
      </c>
      <c r="S6" s="7" t="s">
        <v>54</v>
      </c>
      <c r="T6" s="7" t="s">
        <v>55</v>
      </c>
      <c r="U6" s="7" t="s">
        <v>56</v>
      </c>
      <c r="V6" s="7" t="s">
        <v>31</v>
      </c>
      <c r="W6" s="7" t="s">
        <v>57</v>
      </c>
      <c r="X6" s="11" t="s">
        <v>58</v>
      </c>
      <c r="Y6" s="12" t="s">
        <v>59</v>
      </c>
    </row>
    <row r="7" spans="2:25" s="1" customFormat="1" ht="38.25" x14ac:dyDescent="0.25">
      <c r="B7" s="6">
        <v>3</v>
      </c>
      <c r="C7" s="7" t="s">
        <v>26</v>
      </c>
      <c r="D7" s="7" t="s">
        <v>60</v>
      </c>
      <c r="E7" s="7" t="s">
        <v>28</v>
      </c>
      <c r="F7" s="7" t="s">
        <v>61</v>
      </c>
      <c r="G7" s="7" t="s">
        <v>30</v>
      </c>
      <c r="H7" s="8">
        <f>48029+1218+17954+419</f>
        <v>67620</v>
      </c>
      <c r="I7" s="7">
        <v>0</v>
      </c>
      <c r="J7" s="9">
        <v>8</v>
      </c>
      <c r="K7" s="7" t="s">
        <v>62</v>
      </c>
      <c r="L7" s="7" t="s">
        <v>63</v>
      </c>
      <c r="M7" s="7" t="s">
        <v>64</v>
      </c>
      <c r="N7" s="7" t="s">
        <v>65</v>
      </c>
      <c r="O7" s="7" t="s">
        <v>66</v>
      </c>
      <c r="P7" s="7" t="s">
        <v>67</v>
      </c>
      <c r="Q7" s="7" t="s">
        <v>68</v>
      </c>
      <c r="R7" s="13" t="s">
        <v>69</v>
      </c>
      <c r="S7" s="7" t="s">
        <v>70</v>
      </c>
      <c r="T7" s="7" t="s">
        <v>71</v>
      </c>
      <c r="U7" s="7" t="s">
        <v>72</v>
      </c>
      <c r="V7" s="7" t="s">
        <v>73</v>
      </c>
      <c r="W7" s="7" t="s">
        <v>74</v>
      </c>
      <c r="X7" s="11" t="s">
        <v>75</v>
      </c>
      <c r="Y7" s="12" t="s">
        <v>76</v>
      </c>
    </row>
    <row r="8" spans="2:25" s="1" customFormat="1" ht="38.25" x14ac:dyDescent="0.25">
      <c r="B8" s="6">
        <v>4</v>
      </c>
      <c r="C8" s="7" t="s">
        <v>77</v>
      </c>
      <c r="D8" s="7" t="s">
        <v>78</v>
      </c>
      <c r="E8" s="7" t="s">
        <v>79</v>
      </c>
      <c r="F8" s="7" t="s">
        <v>80</v>
      </c>
      <c r="G8" s="7" t="s">
        <v>30</v>
      </c>
      <c r="H8" s="8">
        <f>31772+13429</f>
        <v>45201</v>
      </c>
      <c r="I8" s="7">
        <v>3.6509999999999998</v>
      </c>
      <c r="J8" s="9">
        <v>6.44</v>
      </c>
      <c r="K8" s="7" t="s">
        <v>81</v>
      </c>
      <c r="L8" s="7" t="s">
        <v>82</v>
      </c>
      <c r="M8" s="7" t="s">
        <v>83</v>
      </c>
      <c r="N8" s="7" t="s">
        <v>84</v>
      </c>
      <c r="O8" s="7" t="s">
        <v>85</v>
      </c>
      <c r="P8" s="7" t="s">
        <v>86</v>
      </c>
      <c r="Q8" s="7" t="s">
        <v>87</v>
      </c>
      <c r="R8" s="7" t="s">
        <v>88</v>
      </c>
      <c r="S8" s="7"/>
      <c r="T8" s="7" t="s">
        <v>89</v>
      </c>
      <c r="U8" s="7" t="s">
        <v>90</v>
      </c>
      <c r="V8" s="7" t="s">
        <v>91</v>
      </c>
      <c r="W8" s="7" t="s">
        <v>92</v>
      </c>
      <c r="X8" s="11" t="s">
        <v>31</v>
      </c>
      <c r="Y8" s="12" t="s">
        <v>93</v>
      </c>
    </row>
    <row r="9" spans="2:25" s="1" customFormat="1" ht="25.5" x14ac:dyDescent="0.25">
      <c r="B9" s="6">
        <v>5</v>
      </c>
      <c r="C9" s="7" t="s">
        <v>26</v>
      </c>
      <c r="D9" s="7" t="s">
        <v>27</v>
      </c>
      <c r="E9" s="7" t="s">
        <v>28</v>
      </c>
      <c r="F9" s="7" t="s">
        <v>94</v>
      </c>
      <c r="G9" s="7" t="s">
        <v>95</v>
      </c>
      <c r="H9" s="8">
        <v>43882</v>
      </c>
      <c r="I9" s="7"/>
      <c r="J9" s="9">
        <v>0</v>
      </c>
      <c r="K9" s="7" t="s">
        <v>96</v>
      </c>
      <c r="L9" s="14" t="s">
        <v>97</v>
      </c>
      <c r="M9" s="7" t="s">
        <v>98</v>
      </c>
      <c r="N9" s="7" t="s">
        <v>35</v>
      </c>
      <c r="O9" s="7" t="s">
        <v>99</v>
      </c>
      <c r="P9" s="7" t="s">
        <v>100</v>
      </c>
      <c r="Q9" s="7" t="s">
        <v>101</v>
      </c>
      <c r="R9" s="7" t="s">
        <v>102</v>
      </c>
      <c r="S9" s="7" t="s">
        <v>40</v>
      </c>
      <c r="T9" s="7" t="s">
        <v>103</v>
      </c>
      <c r="U9" s="7" t="s">
        <v>104</v>
      </c>
      <c r="V9" s="7" t="s">
        <v>105</v>
      </c>
      <c r="W9" s="7" t="s">
        <v>31</v>
      </c>
      <c r="X9" s="11" t="s">
        <v>106</v>
      </c>
      <c r="Y9" s="12" t="s">
        <v>107</v>
      </c>
    </row>
    <row r="10" spans="2:25" s="1" customFormat="1" ht="38.25" x14ac:dyDescent="0.25">
      <c r="B10" s="6">
        <v>7</v>
      </c>
      <c r="C10" s="7" t="s">
        <v>108</v>
      </c>
      <c r="D10" s="7" t="s">
        <v>108</v>
      </c>
      <c r="E10" s="7" t="s">
        <v>109</v>
      </c>
      <c r="F10" s="7" t="s">
        <v>110</v>
      </c>
      <c r="G10" s="7" t="s">
        <v>111</v>
      </c>
      <c r="H10" s="8">
        <f>21083+52</f>
        <v>21135</v>
      </c>
      <c r="I10" s="7">
        <v>0</v>
      </c>
      <c r="J10" s="9">
        <v>1.21</v>
      </c>
      <c r="K10" s="7">
        <v>29</v>
      </c>
      <c r="L10" s="7">
        <v>4</v>
      </c>
      <c r="M10" s="7" t="s">
        <v>112</v>
      </c>
      <c r="N10" s="7" t="s">
        <v>113</v>
      </c>
      <c r="O10" s="7">
        <v>24</v>
      </c>
      <c r="P10" s="7" t="s">
        <v>114</v>
      </c>
      <c r="Q10" s="7" t="s">
        <v>115</v>
      </c>
      <c r="R10" s="7" t="s">
        <v>116</v>
      </c>
      <c r="S10" s="7" t="s">
        <v>117</v>
      </c>
      <c r="T10" s="7" t="s">
        <v>118</v>
      </c>
      <c r="U10" s="15" t="s">
        <v>119</v>
      </c>
      <c r="V10" s="7" t="s">
        <v>120</v>
      </c>
      <c r="W10" s="7" t="s">
        <v>121</v>
      </c>
      <c r="X10" s="11" t="s">
        <v>31</v>
      </c>
      <c r="Y10" s="12" t="s">
        <v>122</v>
      </c>
    </row>
    <row r="11" spans="2:25" s="1" customFormat="1" ht="38.25" x14ac:dyDescent="0.25">
      <c r="B11" s="6">
        <v>9</v>
      </c>
      <c r="C11" s="7" t="s">
        <v>123</v>
      </c>
      <c r="D11" s="7" t="s">
        <v>124</v>
      </c>
      <c r="E11" s="7" t="s">
        <v>79</v>
      </c>
      <c r="F11" s="7" t="s">
        <v>125</v>
      </c>
      <c r="G11" s="7" t="s">
        <v>30</v>
      </c>
      <c r="H11" s="8">
        <f>10126+4661</f>
        <v>14787</v>
      </c>
      <c r="I11" s="7">
        <v>1.68</v>
      </c>
      <c r="J11" s="9">
        <v>4.13</v>
      </c>
      <c r="K11" s="7">
        <v>21</v>
      </c>
      <c r="L11" s="7" t="s">
        <v>126</v>
      </c>
      <c r="M11" s="7" t="s">
        <v>127</v>
      </c>
      <c r="N11" s="7" t="s">
        <v>128</v>
      </c>
      <c r="O11" s="7" t="s">
        <v>129</v>
      </c>
      <c r="P11" s="7" t="s">
        <v>130</v>
      </c>
      <c r="Q11" s="7" t="s">
        <v>131</v>
      </c>
      <c r="R11" s="7" t="s">
        <v>132</v>
      </c>
      <c r="S11" s="7" t="s">
        <v>133</v>
      </c>
      <c r="T11" s="7" t="s">
        <v>55</v>
      </c>
      <c r="U11" s="7" t="s">
        <v>134</v>
      </c>
      <c r="V11" s="7"/>
      <c r="W11" s="7" t="s">
        <v>135</v>
      </c>
      <c r="X11" s="11" t="s">
        <v>136</v>
      </c>
      <c r="Y11" s="12" t="s">
        <v>137</v>
      </c>
    </row>
    <row r="12" spans="2:25" s="1" customFormat="1" ht="51" x14ac:dyDescent="0.25">
      <c r="B12" s="6">
        <v>10</v>
      </c>
      <c r="C12" s="7" t="s">
        <v>138</v>
      </c>
      <c r="D12" s="7" t="s">
        <v>139</v>
      </c>
      <c r="E12" s="7" t="s">
        <v>79</v>
      </c>
      <c r="F12" s="14" t="s">
        <v>140</v>
      </c>
      <c r="G12" s="7" t="s">
        <v>30</v>
      </c>
      <c r="H12" s="8">
        <f>10799+2063</f>
        <v>12862</v>
      </c>
      <c r="I12" s="7">
        <v>0</v>
      </c>
      <c r="J12" s="9">
        <v>1.48</v>
      </c>
      <c r="K12" s="7">
        <v>21</v>
      </c>
      <c r="L12" s="7">
        <v>39</v>
      </c>
      <c r="M12" s="7" t="s">
        <v>141</v>
      </c>
      <c r="N12" s="7" t="s">
        <v>142</v>
      </c>
      <c r="O12" s="7">
        <v>0.2</v>
      </c>
      <c r="P12" s="7" t="s">
        <v>143</v>
      </c>
      <c r="Q12" s="7" t="s">
        <v>144</v>
      </c>
      <c r="R12" s="16" t="s">
        <v>145</v>
      </c>
      <c r="S12" s="7" t="s">
        <v>146</v>
      </c>
      <c r="T12" s="7" t="s">
        <v>147</v>
      </c>
      <c r="U12" s="7" t="s">
        <v>148</v>
      </c>
      <c r="V12" s="7"/>
      <c r="W12" s="7" t="s">
        <v>149</v>
      </c>
      <c r="X12" s="11" t="s">
        <v>136</v>
      </c>
      <c r="Y12" s="12" t="s">
        <v>150</v>
      </c>
    </row>
    <row r="13" spans="2:25" s="1" customFormat="1" ht="38.25" x14ac:dyDescent="0.25">
      <c r="B13" s="17">
        <v>11</v>
      </c>
      <c r="C13" s="18" t="s">
        <v>151</v>
      </c>
      <c r="D13" s="18" t="s">
        <v>152</v>
      </c>
      <c r="E13" s="18" t="s">
        <v>79</v>
      </c>
      <c r="F13" s="18" t="s">
        <v>153</v>
      </c>
      <c r="G13" s="18" t="s">
        <v>154</v>
      </c>
      <c r="H13" s="19">
        <v>11114</v>
      </c>
      <c r="I13" s="18">
        <v>0</v>
      </c>
      <c r="J13" s="20">
        <v>0.9</v>
      </c>
      <c r="K13" s="18">
        <v>13</v>
      </c>
      <c r="L13" s="18" t="s">
        <v>155</v>
      </c>
      <c r="M13" s="18" t="s">
        <v>156</v>
      </c>
      <c r="N13" s="18" t="s">
        <v>157</v>
      </c>
      <c r="O13" s="18" t="s">
        <v>158</v>
      </c>
      <c r="P13" s="18" t="s">
        <v>159</v>
      </c>
      <c r="Q13" s="18" t="s">
        <v>160</v>
      </c>
      <c r="R13" s="18" t="s">
        <v>161</v>
      </c>
      <c r="S13" s="18" t="s">
        <v>162</v>
      </c>
      <c r="T13" s="18" t="s">
        <v>163</v>
      </c>
      <c r="U13" s="18" t="s">
        <v>31</v>
      </c>
      <c r="V13" s="18" t="s">
        <v>31</v>
      </c>
      <c r="W13" s="18" t="s">
        <v>31</v>
      </c>
      <c r="X13" s="21" t="s">
        <v>164</v>
      </c>
      <c r="Y13" s="22" t="s">
        <v>165</v>
      </c>
    </row>
    <row r="14" spans="2:25" s="1" customFormat="1" ht="25.5" x14ac:dyDescent="0.25">
      <c r="B14" s="23">
        <v>6</v>
      </c>
      <c r="C14" s="24" t="s">
        <v>166</v>
      </c>
      <c r="D14" s="24"/>
      <c r="E14" s="24" t="s">
        <v>28</v>
      </c>
      <c r="F14" s="24" t="s">
        <v>167</v>
      </c>
      <c r="G14" s="24" t="s">
        <v>168</v>
      </c>
      <c r="H14" s="25">
        <f>20741+20082</f>
        <v>40823</v>
      </c>
      <c r="I14" s="24">
        <v>0</v>
      </c>
      <c r="J14" s="24">
        <v>0</v>
      </c>
      <c r="K14" s="24" t="s">
        <v>169</v>
      </c>
      <c r="L14" s="24"/>
      <c r="M14" s="24" t="s">
        <v>170</v>
      </c>
      <c r="N14" s="24"/>
      <c r="O14" s="24"/>
      <c r="P14" s="24"/>
      <c r="Q14" s="24"/>
      <c r="R14" s="24"/>
      <c r="S14" s="24"/>
      <c r="T14" s="24"/>
      <c r="U14" s="24"/>
      <c r="V14" s="24"/>
      <c r="W14" s="24"/>
      <c r="X14" s="26"/>
      <c r="Y14" s="12" t="s">
        <v>31</v>
      </c>
    </row>
    <row r="15" spans="2:25" s="1" customFormat="1" x14ac:dyDescent="0.25">
      <c r="B15" s="23">
        <v>8</v>
      </c>
      <c r="C15" s="24" t="s">
        <v>171</v>
      </c>
      <c r="D15" s="24"/>
      <c r="E15" s="24" t="s">
        <v>79</v>
      </c>
      <c r="F15" s="24" t="s">
        <v>172</v>
      </c>
      <c r="G15" s="24" t="s">
        <v>173</v>
      </c>
      <c r="H15" s="25">
        <f>18735+4</f>
        <v>18739</v>
      </c>
      <c r="I15" s="24">
        <v>0</v>
      </c>
      <c r="J15" s="24">
        <v>4.4800000000000004</v>
      </c>
      <c r="K15" s="24">
        <v>16.600000000000001</v>
      </c>
      <c r="L15" s="24" t="s">
        <v>174</v>
      </c>
      <c r="M15" s="24" t="s">
        <v>175</v>
      </c>
      <c r="N15" s="24" t="s">
        <v>176</v>
      </c>
      <c r="O15" s="24" t="s">
        <v>177</v>
      </c>
      <c r="P15" s="24" t="s">
        <v>178</v>
      </c>
      <c r="Q15" s="24"/>
      <c r="R15" s="24"/>
      <c r="S15" s="24"/>
      <c r="T15" s="24" t="s">
        <v>55</v>
      </c>
      <c r="U15" s="24"/>
      <c r="V15" s="24"/>
      <c r="W15" s="24" t="s">
        <v>179</v>
      </c>
      <c r="X15" s="26" t="s">
        <v>31</v>
      </c>
      <c r="Y15" s="12" t="s">
        <v>180</v>
      </c>
    </row>
    <row r="16" spans="2:25" s="1" customFormat="1" ht="11.45" customHeight="1" x14ac:dyDescent="0.25">
      <c r="B16" s="27" t="s">
        <v>181</v>
      </c>
      <c r="C16" s="28"/>
      <c r="D16" s="28"/>
      <c r="E16" s="29"/>
      <c r="F16" s="28"/>
      <c r="G16" s="28"/>
      <c r="H16" s="28"/>
      <c r="I16" s="30"/>
      <c r="J16" s="30"/>
      <c r="K16" s="29" t="s">
        <v>182</v>
      </c>
      <c r="L16" s="29" t="s">
        <v>182</v>
      </c>
      <c r="M16" s="29" t="s">
        <v>183</v>
      </c>
      <c r="N16" s="29" t="s">
        <v>182</v>
      </c>
      <c r="O16" s="29" t="s">
        <v>184</v>
      </c>
      <c r="P16" s="29" t="s">
        <v>184</v>
      </c>
      <c r="Q16" s="29" t="s">
        <v>182</v>
      </c>
      <c r="R16" s="29" t="s">
        <v>182</v>
      </c>
      <c r="S16" s="29" t="s">
        <v>182</v>
      </c>
      <c r="T16" s="29" t="s">
        <v>185</v>
      </c>
      <c r="U16" s="29" t="s">
        <v>184</v>
      </c>
      <c r="V16" s="29" t="s">
        <v>186</v>
      </c>
      <c r="W16" s="29"/>
      <c r="X16" s="31"/>
      <c r="Y16" s="32"/>
    </row>
    <row r="17" spans="2:28" s="1" customFormat="1" ht="10.15" customHeight="1" x14ac:dyDescent="0.25">
      <c r="B17" s="33" t="s">
        <v>187</v>
      </c>
      <c r="E17" s="34"/>
      <c r="I17" s="35"/>
      <c r="J17" s="35"/>
      <c r="K17" s="34" t="s">
        <v>188</v>
      </c>
      <c r="L17" s="34" t="s">
        <v>189</v>
      </c>
      <c r="M17" s="34" t="s">
        <v>188</v>
      </c>
      <c r="N17" s="34" t="s">
        <v>188</v>
      </c>
      <c r="O17" s="34" t="s">
        <v>188</v>
      </c>
      <c r="P17" s="34" t="s">
        <v>190</v>
      </c>
      <c r="Q17" s="34" t="s">
        <v>188</v>
      </c>
      <c r="R17" s="34" t="s">
        <v>188</v>
      </c>
      <c r="S17" s="34" t="s">
        <v>188</v>
      </c>
      <c r="T17" s="34" t="s">
        <v>191</v>
      </c>
      <c r="U17" s="34" t="s">
        <v>188</v>
      </c>
      <c r="V17" s="34"/>
      <c r="W17" s="34" t="s">
        <v>192</v>
      </c>
      <c r="X17" s="36" t="s">
        <v>31</v>
      </c>
      <c r="Y17" s="32"/>
      <c r="AA17" s="35"/>
      <c r="AB17" s="35"/>
    </row>
    <row r="18" spans="2:28" s="1" customFormat="1" ht="10.15" customHeight="1" x14ac:dyDescent="0.25">
      <c r="B18" s="33" t="s">
        <v>193</v>
      </c>
      <c r="E18" s="34"/>
      <c r="I18" s="35"/>
      <c r="J18" s="35"/>
      <c r="K18" s="34" t="s">
        <v>194</v>
      </c>
      <c r="L18" s="34" t="s">
        <v>195</v>
      </c>
      <c r="M18" s="34" t="s">
        <v>194</v>
      </c>
      <c r="N18" s="34" t="s">
        <v>194</v>
      </c>
      <c r="O18" s="34" t="s">
        <v>196</v>
      </c>
      <c r="P18" s="34" t="s">
        <v>196</v>
      </c>
      <c r="Q18" s="34" t="s">
        <v>197</v>
      </c>
      <c r="R18" s="34" t="s">
        <v>197</v>
      </c>
      <c r="S18" s="34" t="s">
        <v>198</v>
      </c>
      <c r="T18" s="34" t="s">
        <v>199</v>
      </c>
      <c r="U18" s="34" t="s">
        <v>197</v>
      </c>
      <c r="V18" s="34" t="s">
        <v>197</v>
      </c>
      <c r="W18" s="34" t="s">
        <v>200</v>
      </c>
      <c r="X18" s="36" t="s">
        <v>201</v>
      </c>
      <c r="Y18" s="32"/>
      <c r="Z18" s="35"/>
      <c r="AA18" s="35"/>
      <c r="AB18" s="35"/>
    </row>
    <row r="19" spans="2:28" s="1" customFormat="1" ht="10.15" customHeight="1" x14ac:dyDescent="0.25">
      <c r="B19" s="33" t="s">
        <v>202</v>
      </c>
      <c r="E19" s="34"/>
      <c r="I19" s="35"/>
      <c r="J19" s="35"/>
      <c r="K19" s="34" t="s">
        <v>203</v>
      </c>
      <c r="L19" s="34" t="s">
        <v>203</v>
      </c>
      <c r="M19" s="34" t="s">
        <v>204</v>
      </c>
      <c r="N19" s="34" t="s">
        <v>203</v>
      </c>
      <c r="O19" s="34" t="s">
        <v>203</v>
      </c>
      <c r="P19" s="34" t="s">
        <v>203</v>
      </c>
      <c r="Q19" s="34" t="s">
        <v>205</v>
      </c>
      <c r="R19" s="34" t="s">
        <v>206</v>
      </c>
      <c r="S19" s="34"/>
      <c r="T19" s="34" t="s">
        <v>204</v>
      </c>
      <c r="U19" s="34" t="s">
        <v>207</v>
      </c>
      <c r="V19" s="34" t="s">
        <v>203</v>
      </c>
      <c r="W19" s="34" t="s">
        <v>208</v>
      </c>
      <c r="X19" s="36"/>
      <c r="Y19" s="32"/>
      <c r="Z19" s="35"/>
      <c r="AA19" s="35"/>
      <c r="AB19" s="35"/>
    </row>
    <row r="20" spans="2:28" s="1" customFormat="1" ht="10.15" customHeight="1" x14ac:dyDescent="0.25">
      <c r="B20" s="33" t="s">
        <v>209</v>
      </c>
      <c r="E20" s="34"/>
      <c r="I20" s="35"/>
      <c r="J20" s="35"/>
      <c r="K20" s="34" t="s">
        <v>210</v>
      </c>
      <c r="L20" s="34" t="s">
        <v>211</v>
      </c>
      <c r="M20" s="34" t="s">
        <v>211</v>
      </c>
      <c r="N20" s="34" t="s">
        <v>210</v>
      </c>
      <c r="O20" s="34" t="s">
        <v>210</v>
      </c>
      <c r="P20" s="34" t="s">
        <v>210</v>
      </c>
      <c r="Q20" s="34" t="s">
        <v>210</v>
      </c>
      <c r="R20" s="34" t="s">
        <v>212</v>
      </c>
      <c r="S20" s="34" t="s">
        <v>211</v>
      </c>
      <c r="T20" s="34" t="s">
        <v>213</v>
      </c>
      <c r="U20" s="34" t="s">
        <v>214</v>
      </c>
      <c r="V20" s="34" t="s">
        <v>215</v>
      </c>
      <c r="W20" s="34" t="s">
        <v>31</v>
      </c>
      <c r="X20" s="36" t="s">
        <v>215</v>
      </c>
      <c r="Y20" s="32"/>
      <c r="Z20" s="35"/>
      <c r="AA20" s="35"/>
      <c r="AB20" s="35"/>
    </row>
    <row r="21" spans="2:28" s="1" customFormat="1" ht="10.15" customHeight="1" x14ac:dyDescent="0.25">
      <c r="B21" s="33" t="s">
        <v>216</v>
      </c>
      <c r="E21" s="34" t="s">
        <v>217</v>
      </c>
      <c r="I21" s="35"/>
      <c r="J21" s="35"/>
      <c r="K21" s="34" t="s">
        <v>217</v>
      </c>
      <c r="L21" s="34" t="s">
        <v>217</v>
      </c>
      <c r="M21" s="34" t="s">
        <v>217</v>
      </c>
      <c r="N21" s="34" t="s">
        <v>218</v>
      </c>
      <c r="O21" s="34" t="s">
        <v>217</v>
      </c>
      <c r="P21" s="34" t="s">
        <v>217</v>
      </c>
      <c r="Q21" s="34" t="s">
        <v>217</v>
      </c>
      <c r="R21" s="34" t="s">
        <v>217</v>
      </c>
      <c r="S21" s="34" t="s">
        <v>217</v>
      </c>
      <c r="T21" s="34" t="s">
        <v>218</v>
      </c>
      <c r="U21" s="34" t="s">
        <v>219</v>
      </c>
      <c r="V21" s="34" t="s">
        <v>217</v>
      </c>
      <c r="W21" s="34" t="s">
        <v>220</v>
      </c>
      <c r="X21" s="36"/>
      <c r="Y21" s="32"/>
      <c r="Z21" s="35"/>
      <c r="AA21" s="35"/>
      <c r="AB21" s="35"/>
    </row>
    <row r="22" spans="2:28" s="1" customFormat="1" ht="10.15" customHeight="1" x14ac:dyDescent="0.25">
      <c r="B22" s="33" t="s">
        <v>221</v>
      </c>
      <c r="E22" s="34"/>
      <c r="I22" s="35"/>
      <c r="J22" s="35"/>
      <c r="K22" s="34">
        <v>7</v>
      </c>
      <c r="L22" s="34"/>
      <c r="M22" s="34" t="s">
        <v>222</v>
      </c>
      <c r="N22" s="34"/>
      <c r="O22" s="34"/>
      <c r="P22" s="34"/>
      <c r="Q22" s="34"/>
      <c r="R22" s="34"/>
      <c r="S22" s="34"/>
      <c r="T22" s="34"/>
      <c r="U22" s="34"/>
      <c r="V22" s="34"/>
      <c r="W22" s="34"/>
      <c r="X22" s="36"/>
      <c r="Y22" s="32"/>
      <c r="Z22" s="35"/>
      <c r="AA22" s="35"/>
      <c r="AB22" s="35"/>
    </row>
    <row r="23" spans="2:28" s="1" customFormat="1" ht="10.15" customHeight="1" x14ac:dyDescent="0.25">
      <c r="B23" s="33"/>
      <c r="E23" s="34"/>
      <c r="I23" s="35"/>
      <c r="J23" s="35"/>
      <c r="K23" s="34" t="s">
        <v>223</v>
      </c>
      <c r="L23" s="34" t="s">
        <v>224</v>
      </c>
      <c r="M23" s="34" t="s">
        <v>225</v>
      </c>
      <c r="N23" s="34" t="s">
        <v>226</v>
      </c>
      <c r="O23" s="34" t="s">
        <v>226</v>
      </c>
      <c r="P23" s="34" t="s">
        <v>226</v>
      </c>
      <c r="Q23" s="34"/>
      <c r="R23" s="34"/>
      <c r="S23" s="34"/>
      <c r="T23" s="34" t="s">
        <v>225</v>
      </c>
      <c r="U23" s="34"/>
      <c r="V23" s="34" t="s">
        <v>225</v>
      </c>
      <c r="W23" s="34" t="s">
        <v>224</v>
      </c>
      <c r="X23" s="36"/>
      <c r="Y23" s="32"/>
      <c r="Z23" s="35"/>
      <c r="AA23" s="35"/>
      <c r="AB23" s="35"/>
    </row>
    <row r="24" spans="2:28" s="1" customFormat="1" ht="10.15" customHeight="1" x14ac:dyDescent="0.25">
      <c r="B24" s="33" t="s">
        <v>227</v>
      </c>
      <c r="E24" s="34"/>
      <c r="I24" s="35"/>
      <c r="J24" s="35"/>
      <c r="K24" s="34" t="s">
        <v>228</v>
      </c>
      <c r="L24" s="34" t="s">
        <v>228</v>
      </c>
      <c r="M24" s="34" t="s">
        <v>229</v>
      </c>
      <c r="N24" s="34" t="s">
        <v>229</v>
      </c>
      <c r="O24" s="34" t="s">
        <v>228</v>
      </c>
      <c r="P24" s="34" t="s">
        <v>228</v>
      </c>
      <c r="Q24" s="34" t="s">
        <v>230</v>
      </c>
      <c r="R24" s="34" t="s">
        <v>231</v>
      </c>
      <c r="S24" s="34" t="s">
        <v>232</v>
      </c>
      <c r="T24" s="34" t="s">
        <v>231</v>
      </c>
      <c r="U24" s="34"/>
      <c r="V24" s="34"/>
      <c r="W24" s="34" t="s">
        <v>232</v>
      </c>
      <c r="X24" s="36" t="s">
        <v>233</v>
      </c>
      <c r="Y24" s="32"/>
      <c r="Z24" s="35"/>
      <c r="AA24" s="35"/>
      <c r="AB24" s="35"/>
    </row>
    <row r="25" spans="2:28" s="1" customFormat="1" ht="10.15" customHeight="1" x14ac:dyDescent="0.25">
      <c r="B25" s="33"/>
      <c r="E25" s="34"/>
      <c r="I25" s="35"/>
      <c r="J25" s="35"/>
      <c r="K25" s="34" t="s">
        <v>234</v>
      </c>
      <c r="L25" s="34" t="s">
        <v>234</v>
      </c>
      <c r="M25" s="37" t="s">
        <v>234</v>
      </c>
      <c r="N25" s="34" t="s">
        <v>235</v>
      </c>
      <c r="O25" s="34" t="s">
        <v>236</v>
      </c>
      <c r="P25" s="34" t="s">
        <v>234</v>
      </c>
      <c r="Q25" s="34" t="s">
        <v>237</v>
      </c>
      <c r="R25" s="34" t="s">
        <v>238</v>
      </c>
      <c r="S25" s="34" t="s">
        <v>235</v>
      </c>
      <c r="T25" s="34" t="s">
        <v>238</v>
      </c>
      <c r="U25" s="34" t="s">
        <v>239</v>
      </c>
      <c r="V25" s="34"/>
      <c r="W25" s="34" t="s">
        <v>240</v>
      </c>
      <c r="X25" s="36" t="s">
        <v>234</v>
      </c>
      <c r="Y25" s="32"/>
      <c r="Z25" s="35"/>
      <c r="AA25" s="35"/>
      <c r="AB25" s="35"/>
    </row>
    <row r="26" spans="2:28" s="1" customFormat="1" ht="10.15" customHeight="1" x14ac:dyDescent="0.25">
      <c r="B26" s="33"/>
      <c r="E26" s="37"/>
      <c r="I26" s="35"/>
      <c r="J26" s="35"/>
      <c r="K26" s="37" t="s">
        <v>241</v>
      </c>
      <c r="L26" s="37" t="s">
        <v>241</v>
      </c>
      <c r="M26" s="37" t="s">
        <v>241</v>
      </c>
      <c r="N26" s="37"/>
      <c r="O26" s="37" t="s">
        <v>241</v>
      </c>
      <c r="P26" s="37" t="s">
        <v>241</v>
      </c>
      <c r="Q26" s="37" t="s">
        <v>241</v>
      </c>
      <c r="R26" s="37" t="s">
        <v>241</v>
      </c>
      <c r="S26" s="37" t="s">
        <v>242</v>
      </c>
      <c r="T26" s="37" t="s">
        <v>243</v>
      </c>
      <c r="U26" s="37"/>
      <c r="V26" s="37"/>
      <c r="W26" s="37"/>
      <c r="X26" s="38" t="s">
        <v>241</v>
      </c>
      <c r="Y26" s="35"/>
      <c r="Z26" s="35"/>
      <c r="AA26" s="35"/>
      <c r="AB26" s="35"/>
    </row>
    <row r="27" spans="2:28" s="1" customFormat="1" ht="10.15" customHeight="1" x14ac:dyDescent="0.25">
      <c r="B27" s="39"/>
      <c r="C27" s="40"/>
      <c r="D27" s="40"/>
      <c r="E27" s="41"/>
      <c r="F27" s="40"/>
      <c r="G27" s="40"/>
      <c r="H27" s="40"/>
      <c r="I27" s="41"/>
      <c r="J27" s="41"/>
      <c r="K27" s="41"/>
      <c r="L27" s="41"/>
      <c r="M27" s="41"/>
      <c r="N27" s="41"/>
      <c r="O27" s="41"/>
      <c r="P27" s="41"/>
      <c r="Q27" s="41"/>
      <c r="R27" s="41"/>
      <c r="S27" s="41"/>
      <c r="T27" s="41"/>
      <c r="U27" s="41"/>
      <c r="V27" s="41"/>
      <c r="W27" s="41"/>
      <c r="X27" s="42"/>
      <c r="Y27" s="35"/>
      <c r="Z27" s="35"/>
      <c r="AA27" s="35"/>
      <c r="AB27" s="35"/>
    </row>
    <row r="28" spans="2:28" s="1" customFormat="1" ht="17.45" customHeight="1" x14ac:dyDescent="0.25">
      <c r="B28" s="43" t="s">
        <v>244</v>
      </c>
      <c r="C28" s="44"/>
      <c r="D28" s="260"/>
      <c r="E28" s="260"/>
      <c r="F28" s="45"/>
      <c r="G28" s="44"/>
      <c r="H28" s="46"/>
      <c r="I28" s="47"/>
      <c r="J28" s="258" t="s">
        <v>22</v>
      </c>
      <c r="K28" s="258"/>
      <c r="L28" s="258"/>
      <c r="M28" s="259"/>
      <c r="N28" s="48"/>
      <c r="O28" s="49"/>
      <c r="P28" s="49"/>
      <c r="Q28" s="49"/>
      <c r="R28" s="49"/>
      <c r="S28" s="49"/>
      <c r="T28" s="49"/>
      <c r="U28" s="49"/>
      <c r="V28" s="49"/>
      <c r="W28" s="49"/>
      <c r="X28" s="35"/>
      <c r="Y28" s="35"/>
      <c r="Z28" s="35"/>
      <c r="AA28" s="35"/>
      <c r="AB28" s="35"/>
    </row>
    <row r="29" spans="2:28" s="1" customFormat="1" x14ac:dyDescent="0.25">
      <c r="B29" s="50" t="s">
        <v>245</v>
      </c>
      <c r="C29" s="51">
        <f>+SUM(H5:H10)+H11+H12+H13</f>
        <v>449881</v>
      </c>
      <c r="D29" s="52" t="s">
        <v>246</v>
      </c>
      <c r="E29" s="53"/>
      <c r="F29" s="54"/>
      <c r="G29" s="55"/>
      <c r="H29" s="56">
        <v>0.51997882548477736</v>
      </c>
      <c r="I29" s="50" t="s">
        <v>247</v>
      </c>
      <c r="J29" s="57"/>
      <c r="K29" s="58">
        <v>22.16</v>
      </c>
      <c r="L29" s="50" t="s">
        <v>246</v>
      </c>
      <c r="M29" s="59">
        <v>9.4572333324797926E-3</v>
      </c>
      <c r="N29" s="60"/>
      <c r="O29" s="60"/>
      <c r="P29" s="60"/>
      <c r="Q29" s="61"/>
      <c r="R29" s="60"/>
      <c r="S29" s="60"/>
      <c r="U29" s="61"/>
      <c r="V29" s="61"/>
      <c r="W29" s="61"/>
    </row>
    <row r="30" spans="2:28" s="1" customFormat="1" x14ac:dyDescent="0.25">
      <c r="B30" s="62" t="s">
        <v>245</v>
      </c>
      <c r="C30" s="63">
        <f>+H5+H6+H7+H8+H11+H12</f>
        <v>373750</v>
      </c>
      <c r="D30" s="261" t="s">
        <v>248</v>
      </c>
      <c r="E30" s="262"/>
      <c r="F30" s="262"/>
      <c r="G30" s="64"/>
      <c r="H30" s="65">
        <v>0.79619700097354384</v>
      </c>
      <c r="I30" s="62" t="s">
        <v>249</v>
      </c>
      <c r="J30" s="66"/>
      <c r="K30" s="67">
        <v>9.48</v>
      </c>
      <c r="L30" s="62" t="s">
        <v>248</v>
      </c>
      <c r="M30" s="68">
        <v>7.8921078921078917E-3</v>
      </c>
      <c r="N30" s="60"/>
      <c r="O30" s="60"/>
      <c r="P30" s="60"/>
      <c r="Q30" s="61"/>
      <c r="U30" s="61"/>
      <c r="V30" s="61"/>
      <c r="W30" s="61"/>
    </row>
    <row r="31" spans="2:28" x14ac:dyDescent="0.25">
      <c r="B31" s="1" t="s">
        <v>250</v>
      </c>
    </row>
  </sheetData>
  <mergeCells count="3">
    <mergeCell ref="D28:E28"/>
    <mergeCell ref="J28:M28"/>
    <mergeCell ref="D30:F30"/>
  </mergeCells>
  <conditionalFormatting sqref="K5:Y15 E5:E15">
    <cfRule type="containsBlanks" dxfId="44" priority="1">
      <formula>LEN(TRIM(E5))=0</formula>
    </cfRule>
  </conditionalFormatting>
  <hyperlinks>
    <hyperlink ref="R12" r:id="rId1" display="FR@ Primary= 13% (CASA 7)" xr:uid="{CB0B97B2-A9D8-438B-A37E-7926A239D6C3}"/>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A4CFF-27EF-43F9-B3E0-BD13E3172136}">
  <dimension ref="B1:X219"/>
  <sheetViews>
    <sheetView topLeftCell="F1" zoomScaleNormal="100" workbookViewId="0">
      <selection activeCell="M19" sqref="M19"/>
    </sheetView>
  </sheetViews>
  <sheetFormatPr baseColWidth="10" defaultColWidth="11.42578125" defaultRowHeight="15" x14ac:dyDescent="0.25"/>
  <cols>
    <col min="3" max="3" width="23.85546875" customWidth="1"/>
    <col min="4" max="4" width="17" customWidth="1"/>
    <col min="5" max="5" width="24.5703125" customWidth="1"/>
    <col min="6" max="6" width="27.28515625" customWidth="1"/>
    <col min="7" max="7" width="30.5703125" customWidth="1"/>
    <col min="8" max="8" width="10.28515625" customWidth="1"/>
    <col min="9" max="9" width="14.5703125" customWidth="1"/>
    <col min="10" max="10" width="10.7109375" customWidth="1"/>
    <col min="11" max="11" width="22.85546875" customWidth="1"/>
    <col min="12" max="12" width="23.42578125" customWidth="1"/>
    <col min="13" max="13" width="18.5703125" customWidth="1"/>
    <col min="14" max="14" width="18.7109375" customWidth="1"/>
    <col min="15" max="15" width="17.28515625" customWidth="1"/>
    <col min="16" max="16" width="22.140625" customWidth="1"/>
    <col min="17" max="17" width="25.7109375" customWidth="1"/>
    <col min="18" max="18" width="21.140625" customWidth="1"/>
    <col min="19" max="19" width="28.7109375" customWidth="1"/>
    <col min="20" max="20" width="23.42578125" customWidth="1"/>
    <col min="23" max="23" width="15.5703125" customWidth="1"/>
    <col min="24" max="24" width="14.7109375" customWidth="1"/>
    <col min="25" max="25" width="40" customWidth="1"/>
    <col min="26" max="26" width="47.85546875" customWidth="1"/>
  </cols>
  <sheetData>
    <row r="1" spans="2:24" s="1" customFormat="1" x14ac:dyDescent="0.25">
      <c r="E1" s="82" t="s">
        <v>366</v>
      </c>
      <c r="F1" s="83" t="s">
        <v>367</v>
      </c>
      <c r="G1" s="83" t="s">
        <v>368</v>
      </c>
      <c r="H1" s="83"/>
      <c r="I1" s="83"/>
      <c r="J1" s="83"/>
      <c r="P1" s="84"/>
      <c r="Q1" s="85"/>
      <c r="R1" s="84"/>
      <c r="S1" s="85"/>
    </row>
    <row r="2" spans="2:24" s="1" customFormat="1" x14ac:dyDescent="0.25">
      <c r="T2" s="86"/>
      <c r="V2" s="86"/>
      <c r="W2" s="86"/>
      <c r="X2" s="86"/>
    </row>
    <row r="3" spans="2:24" s="1" customFormat="1" ht="45" x14ac:dyDescent="0.25">
      <c r="H3" s="87" t="s">
        <v>244</v>
      </c>
      <c r="I3" s="87" t="s">
        <v>369</v>
      </c>
      <c r="J3" s="87" t="s">
        <v>22</v>
      </c>
      <c r="K3" s="75" t="s">
        <v>370</v>
      </c>
      <c r="L3" s="75" t="s">
        <v>371</v>
      </c>
      <c r="M3" s="5" t="s">
        <v>372</v>
      </c>
      <c r="N3" s="5" t="s">
        <v>11</v>
      </c>
      <c r="O3" s="5" t="s">
        <v>348</v>
      </c>
      <c r="P3" s="5" t="s">
        <v>349</v>
      </c>
      <c r="Q3" s="77" t="s">
        <v>350</v>
      </c>
      <c r="R3" s="77" t="s">
        <v>351</v>
      </c>
      <c r="S3" s="5" t="s">
        <v>373</v>
      </c>
      <c r="T3" s="5" t="s">
        <v>374</v>
      </c>
      <c r="U3" s="268"/>
      <c r="V3" s="268"/>
      <c r="W3" s="268"/>
      <c r="X3" s="86"/>
    </row>
    <row r="4" spans="2:24" s="1" customFormat="1" x14ac:dyDescent="0.25">
      <c r="C4" s="75" t="s">
        <v>341</v>
      </c>
      <c r="D4" s="75" t="s">
        <v>7</v>
      </c>
      <c r="E4" s="75" t="s">
        <v>4</v>
      </c>
      <c r="F4" s="75" t="s">
        <v>5</v>
      </c>
      <c r="G4" s="75" t="s">
        <v>6</v>
      </c>
      <c r="H4" s="87" t="s">
        <v>375</v>
      </c>
      <c r="I4" s="87" t="s">
        <v>376</v>
      </c>
      <c r="J4" s="87" t="s">
        <v>376</v>
      </c>
      <c r="K4" s="88">
        <v>4000</v>
      </c>
      <c r="L4" s="89">
        <f>+SUM(J5:J19)/100</f>
        <v>19.416439999999998</v>
      </c>
      <c r="P4" s="77"/>
      <c r="Q4" s="78"/>
      <c r="R4" s="78"/>
      <c r="S4" s="77">
        <v>6.2</v>
      </c>
      <c r="T4" s="77">
        <v>9.8000000000000007</v>
      </c>
      <c r="U4" s="90"/>
      <c r="V4" s="90"/>
      <c r="W4" s="90"/>
      <c r="X4" s="90"/>
    </row>
    <row r="5" spans="2:24" s="1" customFormat="1" x14ac:dyDescent="0.25">
      <c r="B5" s="91"/>
      <c r="C5" s="76" t="e" vm="1">
        <v>#VALUE!</v>
      </c>
      <c r="D5" s="18" t="s">
        <v>30</v>
      </c>
      <c r="E5" s="18" t="s">
        <v>27</v>
      </c>
      <c r="F5" s="18" t="s">
        <v>28</v>
      </c>
      <c r="G5" s="18" t="s">
        <v>29</v>
      </c>
      <c r="H5" s="92">
        <v>119468</v>
      </c>
      <c r="I5" s="92">
        <v>0</v>
      </c>
      <c r="J5" s="92">
        <v>0</v>
      </c>
      <c r="K5" s="81" t="str" cm="1">
        <f t="array" ref="K5:K13">IF(H5:H13&gt;K4,"Sí","No")</f>
        <v>Sí</v>
      </c>
      <c r="L5" s="81" t="str" cm="1">
        <f t="array" ref="L5:L13">+IF(J5:J13&gt;L4,"Sí","No")</f>
        <v>No</v>
      </c>
      <c r="M5" s="79" t="str">
        <f>+IF(AND(K5="Sí",L5="Sí"),"Oil and Gas",IF(K5="Sí","Oil",IF(L5="Sí","Gas")))</f>
        <v>Oil</v>
      </c>
      <c r="N5" s="79">
        <f>11.3+(14.4-11.3)/2</f>
        <v>12.850000000000001</v>
      </c>
      <c r="O5" s="79" t="str">
        <f t="shared" ref="O5:O18" si="0">+IF(M5="Gas","Doesn't Apply",IF(N5&lt;$M$30,$K$30,IF(N5&lt;$M$31,$K$31,IF(N5&lt;$M$32,$K$32,IF(N5&gt;$L$33,$K$33,"Doesn't Apply")))))</f>
        <v>Heavy Oil</v>
      </c>
      <c r="P5" s="79" t="s">
        <v>41</v>
      </c>
      <c r="Q5" s="80" t="s">
        <v>31</v>
      </c>
      <c r="R5" s="80" t="s">
        <v>31</v>
      </c>
      <c r="S5" s="93">
        <f t="shared" ref="S5:S19" si="1">+(H5*365*$S$4)/1000000</f>
        <v>270.35608400000001</v>
      </c>
      <c r="T5" s="93">
        <f t="shared" ref="T5:T19" si="2">+I5*$T$4*365/1000</f>
        <v>0</v>
      </c>
      <c r="U5" s="86"/>
      <c r="V5" s="86"/>
      <c r="W5" s="86"/>
      <c r="X5" s="86"/>
    </row>
    <row r="6" spans="2:24" s="1" customFormat="1" x14ac:dyDescent="0.25">
      <c r="B6" s="91"/>
      <c r="C6" s="76" t="e" vm="1">
        <v>#VALUE!</v>
      </c>
      <c r="D6" s="18" t="s">
        <v>30</v>
      </c>
      <c r="E6" s="18" t="s">
        <v>45</v>
      </c>
      <c r="F6" s="18" t="s">
        <v>28</v>
      </c>
      <c r="G6" s="18" t="s">
        <v>46</v>
      </c>
      <c r="H6" s="92">
        <v>113812</v>
      </c>
      <c r="I6" s="92">
        <v>0</v>
      </c>
      <c r="J6" s="92">
        <v>0</v>
      </c>
      <c r="K6" s="81" t="str">
        <v>Sí</v>
      </c>
      <c r="L6" s="81" t="str">
        <v>No</v>
      </c>
      <c r="M6" s="79" t="str">
        <f t="shared" ref="M6:M19" si="3">+IF(AND(K6="Sí",L6="Sí"),"Oil and Gas",IF(K6="Sí","Oil",IF(L6="Sí","Gas")))</f>
        <v>Oil</v>
      </c>
      <c r="N6" s="79">
        <v>13.7</v>
      </c>
      <c r="O6" s="79" t="str">
        <f t="shared" si="0"/>
        <v>Heavy Oil</v>
      </c>
      <c r="P6" s="79" t="s">
        <v>55</v>
      </c>
      <c r="Q6" s="80" t="s">
        <v>352</v>
      </c>
      <c r="R6" s="80" t="s">
        <v>353</v>
      </c>
      <c r="S6" s="93">
        <f t="shared" si="1"/>
        <v>257.556556</v>
      </c>
      <c r="T6" s="93">
        <f t="shared" si="2"/>
        <v>0</v>
      </c>
      <c r="U6" s="86"/>
      <c r="V6" s="86"/>
      <c r="W6" s="86"/>
      <c r="X6" s="86"/>
    </row>
    <row r="7" spans="2:24" s="1" customFormat="1" x14ac:dyDescent="0.25">
      <c r="B7" s="91"/>
      <c r="C7" s="76" t="e" vm="1">
        <v>#VALUE!</v>
      </c>
      <c r="D7" s="18" t="s">
        <v>30</v>
      </c>
      <c r="E7" s="18" t="s">
        <v>60</v>
      </c>
      <c r="F7" s="18" t="s">
        <v>28</v>
      </c>
      <c r="G7" s="18" t="s">
        <v>61</v>
      </c>
      <c r="H7" s="92">
        <v>67620</v>
      </c>
      <c r="I7" s="92">
        <v>0</v>
      </c>
      <c r="J7" s="92">
        <v>8</v>
      </c>
      <c r="K7" s="81" t="str">
        <v>Sí</v>
      </c>
      <c r="L7" s="81" t="str">
        <v>No</v>
      </c>
      <c r="M7" s="79" t="str">
        <f t="shared" si="3"/>
        <v>Oil</v>
      </c>
      <c r="N7" s="79">
        <f>7+(20-7)/2</f>
        <v>13.5</v>
      </c>
      <c r="O7" s="79" t="str">
        <f t="shared" si="0"/>
        <v>Heavy Oil</v>
      </c>
      <c r="P7" s="79" t="s">
        <v>55</v>
      </c>
      <c r="Q7" s="80" t="s">
        <v>352</v>
      </c>
      <c r="R7" s="80" t="s">
        <v>354</v>
      </c>
      <c r="S7" s="93">
        <f t="shared" si="1"/>
        <v>153.02405999999999</v>
      </c>
      <c r="T7" s="93">
        <f t="shared" si="2"/>
        <v>0</v>
      </c>
      <c r="U7" s="86"/>
      <c r="V7" s="86"/>
      <c r="W7" s="86"/>
      <c r="X7" s="86"/>
    </row>
    <row r="8" spans="2:24" s="1" customFormat="1" x14ac:dyDescent="0.25">
      <c r="B8" s="91"/>
      <c r="C8" s="76" t="e" vm="1">
        <v>#VALUE!</v>
      </c>
      <c r="D8" s="18" t="s">
        <v>95</v>
      </c>
      <c r="E8" s="18" t="s">
        <v>27</v>
      </c>
      <c r="F8" s="18" t="s">
        <v>28</v>
      </c>
      <c r="G8" s="18" t="s">
        <v>94</v>
      </c>
      <c r="H8" s="92">
        <v>43882</v>
      </c>
      <c r="I8" s="92">
        <v>0</v>
      </c>
      <c r="J8" s="92">
        <v>0</v>
      </c>
      <c r="K8" s="81" t="str">
        <v>Sí</v>
      </c>
      <c r="L8" s="81" t="str">
        <v>No</v>
      </c>
      <c r="M8" s="79" t="str">
        <f t="shared" si="3"/>
        <v>Oil</v>
      </c>
      <c r="N8" s="79">
        <f>13+(14-13)/2</f>
        <v>13.5</v>
      </c>
      <c r="O8" s="79" t="str">
        <f t="shared" si="0"/>
        <v>Heavy Oil</v>
      </c>
      <c r="P8" s="79" t="s">
        <v>355</v>
      </c>
      <c r="Q8" s="80" t="s">
        <v>31</v>
      </c>
      <c r="R8" s="80" t="s">
        <v>356</v>
      </c>
      <c r="S8" s="93">
        <f>+(H8*365*$S$4)/1000000</f>
        <v>99.304965999999993</v>
      </c>
      <c r="T8" s="93">
        <f>+I8*$T$4*365/1000</f>
        <v>0</v>
      </c>
      <c r="U8" s="86"/>
      <c r="V8" s="86"/>
      <c r="W8" s="86"/>
      <c r="X8" s="86"/>
    </row>
    <row r="9" spans="2:24" s="1" customFormat="1" x14ac:dyDescent="0.25">
      <c r="B9" s="91"/>
      <c r="C9" s="76" t="e" vm="2">
        <v>#VALUE!</v>
      </c>
      <c r="D9" s="18" t="s">
        <v>30</v>
      </c>
      <c r="E9" s="18" t="s">
        <v>78</v>
      </c>
      <c r="F9" s="18" t="s">
        <v>79</v>
      </c>
      <c r="G9" s="18" t="s">
        <v>80</v>
      </c>
      <c r="H9" s="92">
        <v>45201</v>
      </c>
      <c r="I9" s="92">
        <v>3.6509999999999998</v>
      </c>
      <c r="J9" s="92">
        <v>6.44</v>
      </c>
      <c r="K9" s="81" t="str">
        <v>Sí</v>
      </c>
      <c r="L9" s="81" t="str">
        <v>No</v>
      </c>
      <c r="M9" s="79" t="str">
        <f t="shared" si="3"/>
        <v>Oil</v>
      </c>
      <c r="N9" s="79">
        <f>20+(25-20)/2</f>
        <v>22.5</v>
      </c>
      <c r="O9" s="79" t="str">
        <f t="shared" si="0"/>
        <v>Medium Oil</v>
      </c>
      <c r="P9" s="79" t="s">
        <v>357</v>
      </c>
      <c r="Q9" s="80" t="s">
        <v>358</v>
      </c>
      <c r="R9" s="80" t="s">
        <v>31</v>
      </c>
      <c r="S9" s="93">
        <f t="shared" si="1"/>
        <v>102.289863</v>
      </c>
      <c r="T9" s="93">
        <f t="shared" si="2"/>
        <v>13.059627000000001</v>
      </c>
      <c r="U9" s="86"/>
      <c r="V9" s="86"/>
      <c r="W9" s="86"/>
      <c r="X9" s="86"/>
    </row>
    <row r="10" spans="2:24" s="1" customFormat="1" x14ac:dyDescent="0.25">
      <c r="B10" s="91"/>
      <c r="C10" s="76" t="e" vm="3">
        <v>#VALUE!</v>
      </c>
      <c r="D10" s="18" t="s">
        <v>111</v>
      </c>
      <c r="E10" s="18" t="s">
        <v>108</v>
      </c>
      <c r="F10" s="18" t="s">
        <v>28</v>
      </c>
      <c r="G10" s="18" t="s">
        <v>110</v>
      </c>
      <c r="H10" s="92">
        <v>21135</v>
      </c>
      <c r="I10" s="92">
        <v>0</v>
      </c>
      <c r="J10" s="92">
        <v>1.21</v>
      </c>
      <c r="K10" s="81" t="str">
        <v>Sí</v>
      </c>
      <c r="L10" s="81" t="str">
        <v>No</v>
      </c>
      <c r="M10" s="79" t="str">
        <f t="shared" si="3"/>
        <v>Oil</v>
      </c>
      <c r="N10" s="79">
        <v>29</v>
      </c>
      <c r="O10" s="79" t="str">
        <f t="shared" si="0"/>
        <v>Medium Oil</v>
      </c>
      <c r="P10" s="79" t="s">
        <v>55</v>
      </c>
      <c r="Q10" s="80" t="s">
        <v>352</v>
      </c>
      <c r="R10" s="80" t="s">
        <v>31</v>
      </c>
      <c r="S10" s="93">
        <f t="shared" si="1"/>
        <v>47.828505</v>
      </c>
      <c r="T10" s="93">
        <f t="shared" si="2"/>
        <v>0</v>
      </c>
      <c r="U10" s="86"/>
      <c r="V10" s="86"/>
      <c r="W10" s="86"/>
      <c r="X10" s="86"/>
    </row>
    <row r="11" spans="2:24" s="1" customFormat="1" x14ac:dyDescent="0.25">
      <c r="B11" s="91"/>
      <c r="C11" s="76" t="e" vm="4">
        <v>#VALUE!</v>
      </c>
      <c r="D11" s="18" t="s">
        <v>30</v>
      </c>
      <c r="E11" s="18" t="s">
        <v>124</v>
      </c>
      <c r="F11" s="18" t="s">
        <v>79</v>
      </c>
      <c r="G11" s="18" t="s">
        <v>125</v>
      </c>
      <c r="H11" s="92">
        <v>14787</v>
      </c>
      <c r="I11" s="92">
        <v>1.68</v>
      </c>
      <c r="J11" s="92">
        <v>4.13</v>
      </c>
      <c r="K11" s="81" t="str">
        <v>Sí</v>
      </c>
      <c r="L11" s="81" t="str">
        <v>No</v>
      </c>
      <c r="M11" s="79" t="str">
        <f t="shared" si="3"/>
        <v>Oil</v>
      </c>
      <c r="N11" s="79">
        <v>21</v>
      </c>
      <c r="O11" s="79" t="str">
        <f t="shared" si="0"/>
        <v>Heavy Oil</v>
      </c>
      <c r="P11" s="79" t="s">
        <v>55</v>
      </c>
      <c r="Q11" s="80" t="s">
        <v>352</v>
      </c>
      <c r="R11" s="80" t="s">
        <v>359</v>
      </c>
      <c r="S11" s="93">
        <f t="shared" si="1"/>
        <v>33.462980999999999</v>
      </c>
      <c r="T11" s="93">
        <f t="shared" si="2"/>
        <v>6.0093600000000009</v>
      </c>
    </row>
    <row r="12" spans="2:24" s="1" customFormat="1" x14ac:dyDescent="0.25">
      <c r="B12" s="91"/>
      <c r="C12" s="76" t="e" vm="5">
        <v>#VALUE!</v>
      </c>
      <c r="D12" s="18" t="s">
        <v>30</v>
      </c>
      <c r="E12" s="18" t="s">
        <v>139</v>
      </c>
      <c r="F12" s="18" t="s">
        <v>79</v>
      </c>
      <c r="G12" s="18" t="s">
        <v>140</v>
      </c>
      <c r="H12" s="92">
        <v>12862</v>
      </c>
      <c r="I12" s="92">
        <v>0</v>
      </c>
      <c r="J12" s="92">
        <v>1.48</v>
      </c>
      <c r="K12" s="81" t="str">
        <v>Sí</v>
      </c>
      <c r="L12" s="81" t="str">
        <v>No</v>
      </c>
      <c r="M12" s="79" t="str">
        <f t="shared" si="3"/>
        <v>Oil</v>
      </c>
      <c r="N12" s="79">
        <v>21</v>
      </c>
      <c r="O12" s="79" t="str">
        <f t="shared" si="0"/>
        <v>Heavy Oil</v>
      </c>
      <c r="P12" s="79" t="s">
        <v>360</v>
      </c>
      <c r="Q12" s="80" t="s">
        <v>352</v>
      </c>
      <c r="R12" s="80" t="s">
        <v>359</v>
      </c>
      <c r="S12" s="93">
        <f t="shared" si="1"/>
        <v>29.106705999999999</v>
      </c>
      <c r="T12" s="93">
        <f t="shared" si="2"/>
        <v>0</v>
      </c>
    </row>
    <row r="13" spans="2:24" s="1" customFormat="1" x14ac:dyDescent="0.25">
      <c r="B13" s="91"/>
      <c r="C13" s="76" t="e" vm="6">
        <v>#VALUE!</v>
      </c>
      <c r="D13" s="18" t="s">
        <v>154</v>
      </c>
      <c r="E13" s="18" t="s">
        <v>152</v>
      </c>
      <c r="F13" s="18" t="s">
        <v>79</v>
      </c>
      <c r="G13" s="18" t="s">
        <v>153</v>
      </c>
      <c r="H13" s="92">
        <v>11114</v>
      </c>
      <c r="I13" s="92">
        <v>0</v>
      </c>
      <c r="J13" s="92">
        <v>0.9</v>
      </c>
      <c r="K13" s="81" t="str">
        <v>Sí</v>
      </c>
      <c r="L13" s="81" t="str">
        <v>No</v>
      </c>
      <c r="M13" s="79" t="str">
        <f t="shared" si="3"/>
        <v>Oil</v>
      </c>
      <c r="N13" s="79">
        <v>13</v>
      </c>
      <c r="O13" s="79" t="str">
        <f t="shared" si="0"/>
        <v>Heavy Oil</v>
      </c>
      <c r="P13" s="79" t="s">
        <v>163</v>
      </c>
      <c r="Q13" s="80" t="s">
        <v>31</v>
      </c>
      <c r="R13" s="80" t="s">
        <v>361</v>
      </c>
      <c r="S13" s="93">
        <f t="shared" si="1"/>
        <v>25.150981999999999</v>
      </c>
      <c r="T13" s="93">
        <f t="shared" si="2"/>
        <v>0</v>
      </c>
    </row>
    <row r="14" spans="2:24" s="1" customFormat="1" x14ac:dyDescent="0.25">
      <c r="B14" s="91"/>
      <c r="C14" s="76" t="e" vm="7">
        <v>#VALUE!</v>
      </c>
      <c r="D14" s="18" t="s">
        <v>30</v>
      </c>
      <c r="E14" s="18" t="s">
        <v>255</v>
      </c>
      <c r="F14" s="18" t="s">
        <v>28</v>
      </c>
      <c r="G14" s="18" t="s">
        <v>256</v>
      </c>
      <c r="H14" s="92">
        <v>11342</v>
      </c>
      <c r="I14" s="92">
        <v>152.77000000000001</v>
      </c>
      <c r="J14" s="92">
        <v>754.35</v>
      </c>
      <c r="K14" s="81" t="str" cm="1">
        <f t="array" ref="K14:K19">IF(H14:H19&gt;K4,"Sí","No")</f>
        <v>Sí</v>
      </c>
      <c r="L14" s="81" t="str" cm="1">
        <f t="array" ref="L14:L19">+IF(J14:J19&gt;L4,"Sí","No")</f>
        <v>Sí</v>
      </c>
      <c r="M14" s="79" t="str">
        <f t="shared" si="3"/>
        <v>Oil and Gas</v>
      </c>
      <c r="N14" s="79">
        <v>48</v>
      </c>
      <c r="O14" s="79" t="str">
        <f t="shared" si="0"/>
        <v>Light Oil</v>
      </c>
      <c r="P14" s="79" t="s">
        <v>31</v>
      </c>
      <c r="Q14" s="80" t="s">
        <v>362</v>
      </c>
      <c r="R14" s="80" t="s">
        <v>363</v>
      </c>
      <c r="S14" s="93">
        <f t="shared" si="1"/>
        <v>25.666945999999999</v>
      </c>
      <c r="T14" s="93">
        <f t="shared" si="2"/>
        <v>546.45829000000003</v>
      </c>
    </row>
    <row r="15" spans="2:24" s="1" customFormat="1" x14ac:dyDescent="0.25">
      <c r="B15" s="91"/>
      <c r="C15" s="76" t="e" vm="7">
        <v>#VALUE!</v>
      </c>
      <c r="D15" s="18" t="s">
        <v>30</v>
      </c>
      <c r="E15" s="18" t="s">
        <v>269</v>
      </c>
      <c r="F15" s="18" t="s">
        <v>28</v>
      </c>
      <c r="G15" s="18" t="s">
        <v>270</v>
      </c>
      <c r="H15" s="92">
        <v>4514</v>
      </c>
      <c r="I15" s="92">
        <v>182.15</v>
      </c>
      <c r="J15" s="92">
        <v>306.27</v>
      </c>
      <c r="K15" s="81" t="str">
        <v>Sí</v>
      </c>
      <c r="L15" s="81" t="str">
        <v>Sí</v>
      </c>
      <c r="M15" s="79" t="str">
        <f>+IF(AND(K15="Sí",L15="Sí"),"Oil and Gas",IF(K15="Sí","Oil",IF(L15="Sí","Gas")))</f>
        <v>Oil and Gas</v>
      </c>
      <c r="N15" s="79">
        <v>52</v>
      </c>
      <c r="O15" s="79" t="str">
        <f t="shared" si="0"/>
        <v>Light Oil</v>
      </c>
      <c r="P15" s="79" t="s">
        <v>31</v>
      </c>
      <c r="Q15" s="80" t="s">
        <v>364</v>
      </c>
      <c r="R15" s="80" t="s">
        <v>275</v>
      </c>
      <c r="S15" s="93">
        <f t="shared" si="1"/>
        <v>10.215182</v>
      </c>
      <c r="T15" s="93">
        <f t="shared" si="2"/>
        <v>651.55055000000004</v>
      </c>
    </row>
    <row r="16" spans="2:24" s="1" customFormat="1" x14ac:dyDescent="0.25">
      <c r="B16" s="91"/>
      <c r="C16" s="76" t="e" vm="7">
        <v>#VALUE!</v>
      </c>
      <c r="D16" s="18" t="s">
        <v>278</v>
      </c>
      <c r="E16" s="18" t="s">
        <v>276</v>
      </c>
      <c r="F16" s="18" t="s">
        <v>28</v>
      </c>
      <c r="G16" s="18" t="s">
        <v>277</v>
      </c>
      <c r="H16" s="92">
        <v>31197</v>
      </c>
      <c r="I16" s="92">
        <v>218.46</v>
      </c>
      <c r="J16" s="92">
        <v>459.81099999999998</v>
      </c>
      <c r="K16" s="81" t="str">
        <v>Sí</v>
      </c>
      <c r="L16" s="81" t="str">
        <v>Sí</v>
      </c>
      <c r="M16" s="79" t="str">
        <f t="shared" si="3"/>
        <v>Oil and Gas</v>
      </c>
      <c r="N16" s="79">
        <v>46</v>
      </c>
      <c r="O16" s="79" t="str">
        <f t="shared" si="0"/>
        <v>Light Oil</v>
      </c>
      <c r="P16" s="79" t="s">
        <v>31</v>
      </c>
      <c r="Q16" s="80" t="s">
        <v>31</v>
      </c>
      <c r="R16" s="80" t="s">
        <v>365</v>
      </c>
      <c r="S16" s="93">
        <f t="shared" si="1"/>
        <v>70.598810999999998</v>
      </c>
      <c r="T16" s="93">
        <f t="shared" si="2"/>
        <v>781.43142000000012</v>
      </c>
    </row>
    <row r="17" spans="2:20" s="1" customFormat="1" x14ac:dyDescent="0.25">
      <c r="B17" s="91"/>
      <c r="C17" s="76" t="e" vm="7">
        <v>#VALUE!</v>
      </c>
      <c r="D17" s="18" t="s">
        <v>278</v>
      </c>
      <c r="E17" s="18" t="s">
        <v>276</v>
      </c>
      <c r="F17" s="18" t="s">
        <v>28</v>
      </c>
      <c r="G17" s="18" t="s">
        <v>290</v>
      </c>
      <c r="H17" s="92">
        <v>8374</v>
      </c>
      <c r="I17" s="92">
        <v>0</v>
      </c>
      <c r="J17" s="92">
        <v>153.01</v>
      </c>
      <c r="K17" s="81" t="str">
        <v>Sí</v>
      </c>
      <c r="L17" s="81" t="str">
        <v>Sí</v>
      </c>
      <c r="M17" s="79" t="str">
        <f t="shared" si="3"/>
        <v>Oil and Gas</v>
      </c>
      <c r="N17" s="79">
        <f>44+((47-44)/2)</f>
        <v>45.5</v>
      </c>
      <c r="O17" s="79" t="str">
        <f t="shared" si="0"/>
        <v>Light Oil</v>
      </c>
      <c r="P17" s="79" t="s">
        <v>31</v>
      </c>
      <c r="Q17" s="80" t="s">
        <v>362</v>
      </c>
      <c r="R17" s="80" t="s">
        <v>31</v>
      </c>
      <c r="S17" s="93">
        <f t="shared" si="1"/>
        <v>18.950361999999998</v>
      </c>
      <c r="T17" s="93">
        <f t="shared" si="2"/>
        <v>0</v>
      </c>
    </row>
    <row r="18" spans="2:20" s="1" customFormat="1" x14ac:dyDescent="0.25">
      <c r="B18" s="91"/>
      <c r="C18" s="76" t="e" vm="8">
        <v>#VALUE!</v>
      </c>
      <c r="D18" s="18" t="s">
        <v>302</v>
      </c>
      <c r="E18" s="18" t="s">
        <v>300</v>
      </c>
      <c r="F18" s="18" t="s">
        <v>299</v>
      </c>
      <c r="G18" s="18" t="s">
        <v>301</v>
      </c>
      <c r="H18" s="92">
        <v>0</v>
      </c>
      <c r="I18" s="92">
        <v>207.5</v>
      </c>
      <c r="J18" s="92">
        <v>214.703</v>
      </c>
      <c r="K18" s="81" t="str">
        <v>No</v>
      </c>
      <c r="L18" s="81" t="str">
        <v>Sí</v>
      </c>
      <c r="M18" s="79" t="str">
        <f>+IF(AND(K18="Sí",L18="Sí"),"Oil and Gas",IF(K18="Sí","Oil",IF(L18="Sí","Gas")))</f>
        <v>Gas</v>
      </c>
      <c r="N18" s="79" t="s">
        <v>31</v>
      </c>
      <c r="O18" s="79" t="str">
        <f t="shared" si="0"/>
        <v>Doesn't Apply</v>
      </c>
      <c r="P18" s="79" t="s">
        <v>31</v>
      </c>
      <c r="Q18" s="80" t="s">
        <v>31</v>
      </c>
      <c r="R18" s="80" t="s">
        <v>31</v>
      </c>
      <c r="S18" s="93">
        <f t="shared" si="1"/>
        <v>0</v>
      </c>
      <c r="T18" s="93">
        <f t="shared" si="2"/>
        <v>742.22750000000008</v>
      </c>
    </row>
    <row r="19" spans="2:20" s="1" customFormat="1" x14ac:dyDescent="0.25">
      <c r="B19" s="91"/>
      <c r="C19" s="76" t="e" vm="8">
        <v>#VALUE!</v>
      </c>
      <c r="D19" s="18" t="s">
        <v>302</v>
      </c>
      <c r="E19" s="18" t="s">
        <v>300</v>
      </c>
      <c r="F19" s="18" t="s">
        <v>299</v>
      </c>
      <c r="G19" s="18" t="s">
        <v>311</v>
      </c>
      <c r="H19" s="92">
        <v>0</v>
      </c>
      <c r="I19" s="92">
        <v>30.6</v>
      </c>
      <c r="J19" s="92">
        <v>31.34</v>
      </c>
      <c r="K19" s="81" t="str">
        <v>No</v>
      </c>
      <c r="L19" s="81" t="str">
        <v>Sí</v>
      </c>
      <c r="M19" s="79" t="str">
        <f t="shared" si="3"/>
        <v>Gas</v>
      </c>
      <c r="N19" s="79" t="s">
        <v>31</v>
      </c>
      <c r="O19" s="79" t="str">
        <f>+IF(M18="Gas","Doesn't Apply",IF(N19&lt;$M$30,$K$30,IF(N19&lt;$M$31,$K$31,IF(N19&lt;$M$32,$K$32,IF(N19&gt;$L$33,$K$33,"Doesn't Apply")))))</f>
        <v>Doesn't Apply</v>
      </c>
      <c r="P19" s="79" t="s">
        <v>31</v>
      </c>
      <c r="Q19" s="80" t="s">
        <v>31</v>
      </c>
      <c r="R19" s="80" t="s">
        <v>31</v>
      </c>
      <c r="S19" s="93">
        <f t="shared" si="1"/>
        <v>0</v>
      </c>
      <c r="T19" s="93">
        <f t="shared" si="2"/>
        <v>109.45620000000002</v>
      </c>
    </row>
    <row r="20" spans="2:20" s="1" customFormat="1" x14ac:dyDescent="0.25">
      <c r="H20" s="94"/>
      <c r="I20" s="94"/>
      <c r="R20" s="95"/>
    </row>
    <row r="21" spans="2:20" s="1" customFormat="1" x14ac:dyDescent="0.25">
      <c r="I21" s="94"/>
      <c r="P21" s="96"/>
    </row>
    <row r="22" spans="2:20" s="1" customFormat="1" x14ac:dyDescent="0.25">
      <c r="K22" s="78" t="s">
        <v>377</v>
      </c>
      <c r="L22" s="78">
        <f>+COUNTIF(M5:M19,"Oil")</f>
        <v>9</v>
      </c>
    </row>
    <row r="23" spans="2:20" s="1" customFormat="1" x14ac:dyDescent="0.25">
      <c r="K23" s="78" t="s">
        <v>378</v>
      </c>
      <c r="L23" s="78">
        <f>COUNTIF(M5:M19,"Gas")</f>
        <v>2</v>
      </c>
    </row>
    <row r="24" spans="2:20" s="1" customFormat="1" ht="15.75" thickBot="1" x14ac:dyDescent="0.3">
      <c r="K24" s="97" t="s">
        <v>379</v>
      </c>
      <c r="L24" s="97">
        <f>COUNTIF(M5:M19,"Oil and Gas")</f>
        <v>4</v>
      </c>
    </row>
    <row r="25" spans="2:20" s="1" customFormat="1" ht="15.75" thickTop="1" x14ac:dyDescent="0.25">
      <c r="K25" s="77" t="s">
        <v>380</v>
      </c>
      <c r="L25" s="77">
        <f>+SUM(L22:L24)</f>
        <v>15</v>
      </c>
      <c r="O25" s="94"/>
    </row>
    <row r="26" spans="2:20" s="1" customFormat="1" x14ac:dyDescent="0.25"/>
    <row r="27" spans="2:20" s="1" customFormat="1" x14ac:dyDescent="0.25"/>
    <row r="28" spans="2:20" s="1" customFormat="1" ht="15.75" thickBot="1" x14ac:dyDescent="0.3">
      <c r="K28" s="269" t="s">
        <v>381</v>
      </c>
      <c r="L28" s="269"/>
      <c r="M28" s="269"/>
    </row>
    <row r="29" spans="2:20" s="1" customFormat="1" ht="15.75" thickTop="1" x14ac:dyDescent="0.25">
      <c r="K29" s="98"/>
      <c r="L29" s="98" t="s">
        <v>382</v>
      </c>
      <c r="M29" s="98" t="s">
        <v>383</v>
      </c>
    </row>
    <row r="30" spans="2:20" s="1" customFormat="1" x14ac:dyDescent="0.25">
      <c r="K30" s="78" t="s">
        <v>384</v>
      </c>
      <c r="L30" s="99">
        <v>0</v>
      </c>
      <c r="M30" s="98">
        <v>10</v>
      </c>
    </row>
    <row r="31" spans="2:20" s="1" customFormat="1" x14ac:dyDescent="0.25">
      <c r="K31" s="78" t="s">
        <v>385</v>
      </c>
      <c r="L31" s="98">
        <v>10</v>
      </c>
      <c r="M31" s="98">
        <v>22.3</v>
      </c>
    </row>
    <row r="32" spans="2:20" s="1" customFormat="1" x14ac:dyDescent="0.25">
      <c r="K32" s="78" t="s">
        <v>386</v>
      </c>
      <c r="L32" s="98">
        <v>22.3</v>
      </c>
      <c r="M32" s="98">
        <v>31.1</v>
      </c>
    </row>
    <row r="33" spans="11:20" s="1" customFormat="1" x14ac:dyDescent="0.25">
      <c r="K33" s="78" t="s">
        <v>387</v>
      </c>
      <c r="L33" s="98">
        <v>31.1</v>
      </c>
      <c r="M33" s="99">
        <v>100</v>
      </c>
      <c r="N33" s="91"/>
    </row>
    <row r="34" spans="11:20" s="1" customFormat="1" x14ac:dyDescent="0.25"/>
    <row r="35" spans="11:20" s="1" customFormat="1" x14ac:dyDescent="0.25"/>
    <row r="36" spans="11:20" s="1" customFormat="1" ht="15.75" thickBot="1" x14ac:dyDescent="0.3">
      <c r="K36" s="266" t="s">
        <v>388</v>
      </c>
      <c r="L36" s="266"/>
      <c r="M36" s="266"/>
      <c r="N36" s="266"/>
      <c r="R36" s="78"/>
      <c r="S36" s="78"/>
      <c r="T36" s="78"/>
    </row>
    <row r="37" spans="11:20" s="1" customFormat="1" ht="17.25" customHeight="1" thickTop="1" thickBot="1" x14ac:dyDescent="0.3">
      <c r="L37" s="100" t="s">
        <v>389</v>
      </c>
      <c r="M37" s="100" t="s">
        <v>390</v>
      </c>
      <c r="N37" s="100" t="s">
        <v>391</v>
      </c>
      <c r="Q37" s="270" t="s">
        <v>392</v>
      </c>
      <c r="R37" s="270"/>
      <c r="S37" s="270"/>
      <c r="T37" s="270"/>
    </row>
    <row r="38" spans="11:20" s="1" customFormat="1" ht="15.75" thickTop="1" x14ac:dyDescent="0.25">
      <c r="K38" s="1" t="s">
        <v>393</v>
      </c>
      <c r="L38" s="101">
        <v>865191</v>
      </c>
      <c r="M38" s="94">
        <v>505308</v>
      </c>
      <c r="N38" s="102">
        <v>0.58404213636064173</v>
      </c>
      <c r="R38" s="100" t="s">
        <v>30</v>
      </c>
      <c r="S38" s="103" t="s">
        <v>394</v>
      </c>
      <c r="T38" s="78" t="s">
        <v>395</v>
      </c>
    </row>
    <row r="39" spans="11:20" s="1" customFormat="1" x14ac:dyDescent="0.25">
      <c r="K39" s="1" t="s">
        <v>396</v>
      </c>
      <c r="L39" s="101">
        <v>2343.1799999999998</v>
      </c>
      <c r="M39" s="94">
        <v>1941.6439999999998</v>
      </c>
      <c r="N39" s="102">
        <v>0.82863629768092928</v>
      </c>
      <c r="Q39" s="1" t="s">
        <v>393</v>
      </c>
      <c r="R39" s="101">
        <v>469419</v>
      </c>
      <c r="S39" s="94">
        <v>389606</v>
      </c>
      <c r="T39" s="104">
        <v>0.82997492645163484</v>
      </c>
    </row>
    <row r="40" spans="11:20" s="1" customFormat="1" x14ac:dyDescent="0.25">
      <c r="K40" s="1" t="s">
        <v>369</v>
      </c>
      <c r="L40" s="105">
        <v>1060</v>
      </c>
      <c r="M40" s="105">
        <v>796.81100000000004</v>
      </c>
      <c r="N40" s="102">
        <v>0.75170849056603772</v>
      </c>
      <c r="Q40" s="1" t="s">
        <v>396</v>
      </c>
      <c r="R40" s="101">
        <v>1201.2</v>
      </c>
      <c r="S40" s="106">
        <v>1080.6699999999998</v>
      </c>
      <c r="T40" s="104">
        <v>0.89965867465867455</v>
      </c>
    </row>
    <row r="41" spans="11:20" s="1" customFormat="1" x14ac:dyDescent="0.25">
      <c r="L41" s="105"/>
      <c r="M41" s="94"/>
      <c r="N41" s="102"/>
      <c r="Q41" s="1" t="s">
        <v>397</v>
      </c>
      <c r="R41" s="107">
        <v>436.14</v>
      </c>
      <c r="S41" s="1">
        <v>340.25100000000003</v>
      </c>
      <c r="T41" s="108">
        <v>0.78014169762003038</v>
      </c>
    </row>
    <row r="42" spans="11:20" s="1" customFormat="1" x14ac:dyDescent="0.25"/>
    <row r="43" spans="11:20" s="1" customFormat="1" ht="15.75" thickBot="1" x14ac:dyDescent="0.3">
      <c r="K43" s="266" t="s">
        <v>398</v>
      </c>
      <c r="L43" s="266"/>
      <c r="M43" s="266"/>
      <c r="Q43" s="266" t="s">
        <v>399</v>
      </c>
      <c r="R43" s="266"/>
      <c r="S43" s="266"/>
    </row>
    <row r="44" spans="11:20" s="1" customFormat="1" ht="15.75" thickTop="1" x14ac:dyDescent="0.25">
      <c r="L44" s="1" t="s">
        <v>400</v>
      </c>
      <c r="R44" s="1" t="s">
        <v>400</v>
      </c>
    </row>
    <row r="45" spans="11:20" s="1" customFormat="1" x14ac:dyDescent="0.25">
      <c r="K45" s="78" t="s">
        <v>384</v>
      </c>
      <c r="L45" s="109">
        <f>+SUMIF($O$5:$O$19,K45,$H$5:$H$19)</f>
        <v>0</v>
      </c>
      <c r="M45" s="94">
        <f>+L45/L49</f>
        <v>0</v>
      </c>
      <c r="Q45" s="78" t="s">
        <v>384</v>
      </c>
      <c r="R45" s="109">
        <f>360439/(365)</f>
        <v>987.50410958904115</v>
      </c>
      <c r="S45" s="110">
        <f>+R45/R49</f>
        <v>1.2434485304680682E-3</v>
      </c>
    </row>
    <row r="46" spans="11:20" s="1" customFormat="1" x14ac:dyDescent="0.25">
      <c r="K46" s="78" t="s">
        <v>385</v>
      </c>
      <c r="L46" s="109">
        <f>+SUMIF($O$5:$O$19,K46,$H$5:$H$19)</f>
        <v>383545</v>
      </c>
      <c r="M46" s="111">
        <f>+L46/$L$49</f>
        <v>0.75903211506645452</v>
      </c>
      <c r="Q46" s="78" t="s">
        <v>385</v>
      </c>
      <c r="R46" s="109">
        <f>153830052/(365)</f>
        <v>421452.19726027397</v>
      </c>
      <c r="S46" s="111">
        <f>+R46/R49</f>
        <v>0.53068550323695973</v>
      </c>
    </row>
    <row r="47" spans="11:20" s="1" customFormat="1" x14ac:dyDescent="0.25">
      <c r="K47" s="78" t="s">
        <v>386</v>
      </c>
      <c r="L47" s="109">
        <f>+SUMIF($O$5:$O$19,K47,$H$5:$H$19)</f>
        <v>66336</v>
      </c>
      <c r="M47" s="111">
        <f t="shared" ref="M47:M48" si="4">+L47/$L$49</f>
        <v>0.13127834904652211</v>
      </c>
      <c r="Q47" s="78" t="s">
        <v>386</v>
      </c>
      <c r="R47" s="109">
        <f>78050096/(365)</f>
        <v>213835.8794520548</v>
      </c>
      <c r="S47" s="111">
        <f>+R47/R49</f>
        <v>0.26925853521425719</v>
      </c>
    </row>
    <row r="48" spans="11:20" s="1" customFormat="1" ht="15.75" thickBot="1" x14ac:dyDescent="0.3">
      <c r="K48" s="78" t="s">
        <v>387</v>
      </c>
      <c r="L48" s="112">
        <f>+SUMIF($O$5:$O$19,K48,$H$5:$H$19)</f>
        <v>55427</v>
      </c>
      <c r="M48" s="113">
        <f t="shared" si="4"/>
        <v>0.10968953588702336</v>
      </c>
      <c r="Q48" s="78" t="s">
        <v>387</v>
      </c>
      <c r="R48" s="112">
        <f>57629875/365</f>
        <v>157890.0684931507</v>
      </c>
      <c r="S48" s="113">
        <f>+R48/R49</f>
        <v>0.19881251301831507</v>
      </c>
    </row>
    <row r="49" spans="11:21" s="1" customFormat="1" ht="15.75" thickTop="1" x14ac:dyDescent="0.25">
      <c r="K49" s="114"/>
      <c r="L49" s="94">
        <f>+SUM(L45:L48)</f>
        <v>505308</v>
      </c>
      <c r="M49" s="115">
        <f>+SUM(M46:M48)</f>
        <v>1</v>
      </c>
      <c r="Q49" s="114"/>
      <c r="R49" s="94">
        <f>+SUM(R45:R48)</f>
        <v>794165.6493150685</v>
      </c>
      <c r="S49" s="115">
        <f>+SUM(S46:S48)</f>
        <v>0.99875655146953191</v>
      </c>
      <c r="T49" s="94"/>
    </row>
    <row r="50" spans="11:21" s="1" customFormat="1" x14ac:dyDescent="0.25">
      <c r="R50" s="94"/>
    </row>
    <row r="51" spans="11:21" s="1" customFormat="1" x14ac:dyDescent="0.25"/>
    <row r="52" spans="11:21" s="1" customFormat="1" ht="15.75" thickBot="1" x14ac:dyDescent="0.3">
      <c r="K52" s="266" t="s">
        <v>401</v>
      </c>
      <c r="L52" s="266"/>
      <c r="M52" s="266"/>
      <c r="N52" s="266"/>
      <c r="O52" s="266"/>
      <c r="Q52" s="266" t="s">
        <v>402</v>
      </c>
      <c r="R52" s="266"/>
      <c r="S52" s="266"/>
      <c r="T52" s="266"/>
      <c r="U52" s="266"/>
    </row>
    <row r="53" spans="11:21" s="1" customFormat="1" ht="15.75" thickTop="1" x14ac:dyDescent="0.25">
      <c r="K53" s="78"/>
      <c r="L53" s="78" t="s">
        <v>400</v>
      </c>
      <c r="M53" s="78" t="s">
        <v>403</v>
      </c>
      <c r="N53" s="116" t="s">
        <v>404</v>
      </c>
      <c r="O53" s="78" t="s">
        <v>403</v>
      </c>
      <c r="Q53" s="78"/>
      <c r="R53" s="78" t="s">
        <v>400</v>
      </c>
      <c r="S53" s="78" t="s">
        <v>403</v>
      </c>
      <c r="T53" s="116" t="s">
        <v>404</v>
      </c>
      <c r="U53" s="117" t="s">
        <v>403</v>
      </c>
    </row>
    <row r="54" spans="11:21" s="1" customFormat="1" x14ac:dyDescent="0.25">
      <c r="K54" s="78" t="e" vm="1">
        <v>#VALUE!</v>
      </c>
      <c r="L54" s="105">
        <f t="shared" ref="L54:L61" si="5">+SUMIF($C$5:$C$19,K54,$H$5:$H$19)</f>
        <v>344782</v>
      </c>
      <c r="M54" s="117">
        <f t="shared" ref="M54:M61" si="6">+L54/$L$62</f>
        <v>0.68232048572355875</v>
      </c>
      <c r="N54" s="118">
        <f t="shared" ref="N54:N61" si="7">+SUMIF($C$5:$C$19,K54,$J$5:$J$19)</f>
        <v>8</v>
      </c>
      <c r="O54" s="119">
        <f t="shared" ref="O54:O61" si="8">+N54/$N$62</f>
        <v>4.120219772522667E-3</v>
      </c>
      <c r="Q54" s="120" t="e" vm="1">
        <v>#VALUE!</v>
      </c>
      <c r="R54" s="105">
        <v>421474.3</v>
      </c>
      <c r="S54" s="117">
        <f t="shared" ref="S54:S62" si="9">+R54/$R$63</f>
        <v>0.48714595967826757</v>
      </c>
      <c r="T54" s="105">
        <v>17.7</v>
      </c>
      <c r="U54" s="117">
        <f>+T54/$T$63</f>
        <v>7.5538370931810617E-3</v>
      </c>
    </row>
    <row r="55" spans="11:21" s="1" customFormat="1" x14ac:dyDescent="0.25">
      <c r="K55" s="78" t="e" vm="2">
        <v>#VALUE!</v>
      </c>
      <c r="L55" s="105">
        <f t="shared" si="5"/>
        <v>45201</v>
      </c>
      <c r="M55" s="104">
        <f t="shared" si="6"/>
        <v>8.9452373601842841E-2</v>
      </c>
      <c r="N55" s="121">
        <f t="shared" si="7"/>
        <v>6.44</v>
      </c>
      <c r="O55" s="119">
        <f t="shared" si="8"/>
        <v>3.3167769168807471E-3</v>
      </c>
      <c r="Q55" s="120" t="e" vm="2">
        <v>#VALUE!</v>
      </c>
      <c r="R55" s="105">
        <v>63986.1</v>
      </c>
      <c r="S55" s="117">
        <f t="shared" si="9"/>
        <v>7.3956039764629999E-2</v>
      </c>
      <c r="T55" s="105">
        <v>46.2</v>
      </c>
      <c r="U55" s="117">
        <f t="shared" ref="U55:U61" si="10">+T55/$T$63</f>
        <v>1.9716795124574298E-2</v>
      </c>
    </row>
    <row r="56" spans="11:21" s="1" customFormat="1" x14ac:dyDescent="0.25">
      <c r="K56" s="78" t="e" vm="3">
        <v>#VALUE!</v>
      </c>
      <c r="L56" s="105">
        <f t="shared" si="5"/>
        <v>21135</v>
      </c>
      <c r="M56" s="117">
        <f t="shared" si="6"/>
        <v>4.1825975444679288E-2</v>
      </c>
      <c r="N56" s="121">
        <f t="shared" si="7"/>
        <v>1.21</v>
      </c>
      <c r="O56" s="119">
        <f t="shared" si="8"/>
        <v>6.2318324059405339E-4</v>
      </c>
      <c r="Q56" s="120" t="e" vm="3">
        <v>#VALUE!</v>
      </c>
      <c r="R56" s="105">
        <v>47801.1</v>
      </c>
      <c r="S56" s="117">
        <f t="shared" si="9"/>
        <v>5.5249187751606289E-2</v>
      </c>
      <c r="T56" s="105">
        <v>5.2</v>
      </c>
      <c r="U56" s="117">
        <f t="shared" si="10"/>
        <v>2.2192063776577133E-3</v>
      </c>
    </row>
    <row r="57" spans="11:21" s="1" customFormat="1" x14ac:dyDescent="0.25">
      <c r="K57" s="78" t="e" vm="4">
        <v>#VALUE!</v>
      </c>
      <c r="L57" s="105">
        <f t="shared" si="5"/>
        <v>14787</v>
      </c>
      <c r="M57" s="117">
        <f t="shared" si="6"/>
        <v>2.9263340378541405E-2</v>
      </c>
      <c r="N57" s="118">
        <f t="shared" si="7"/>
        <v>4.13</v>
      </c>
      <c r="O57" s="119">
        <f t="shared" si="8"/>
        <v>2.1270634575648265E-3</v>
      </c>
      <c r="Q57" s="120" t="e" vm="4">
        <v>#VALUE!</v>
      </c>
      <c r="R57" s="105">
        <v>10337.799999999999</v>
      </c>
      <c r="S57" s="117">
        <f t="shared" si="9"/>
        <v>1.1948575516851192E-2</v>
      </c>
      <c r="T57" s="105">
        <v>4.9000000000000004</v>
      </c>
      <c r="U57" s="117">
        <f t="shared" si="10"/>
        <v>2.0911752404851529E-3</v>
      </c>
    </row>
    <row r="58" spans="11:21" s="1" customFormat="1" x14ac:dyDescent="0.25">
      <c r="K58" s="78" t="e" vm="5">
        <v>#VALUE!</v>
      </c>
      <c r="L58" s="105">
        <f t="shared" si="5"/>
        <v>12862</v>
      </c>
      <c r="M58" s="104">
        <f t="shared" si="6"/>
        <v>2.545378264345706E-2</v>
      </c>
      <c r="N58" s="121">
        <f t="shared" si="7"/>
        <v>1.48</v>
      </c>
      <c r="O58" s="119">
        <f t="shared" si="8"/>
        <v>7.6224065791669331E-4</v>
      </c>
      <c r="Q58" s="120" t="e" vm="5">
        <v>#VALUE!</v>
      </c>
      <c r="R58" s="105">
        <v>16428.900000000001</v>
      </c>
      <c r="S58" s="117">
        <f t="shared" si="9"/>
        <v>1.8988755084137492E-2</v>
      </c>
      <c r="T58" s="105">
        <v>2.2000000000000002</v>
      </c>
      <c r="U58" s="117">
        <f t="shared" si="10"/>
        <v>9.3889500593210954E-4</v>
      </c>
    </row>
    <row r="59" spans="11:21" s="1" customFormat="1" x14ac:dyDescent="0.25">
      <c r="K59" s="78" t="e" vm="6">
        <v>#VALUE!</v>
      </c>
      <c r="L59" s="105">
        <f t="shared" si="5"/>
        <v>11114</v>
      </c>
      <c r="M59" s="104">
        <f t="shared" si="6"/>
        <v>2.1994506320897354E-2</v>
      </c>
      <c r="N59" s="121">
        <f t="shared" si="7"/>
        <v>0.9</v>
      </c>
      <c r="O59" s="119">
        <f t="shared" si="8"/>
        <v>4.6352472440880002E-4</v>
      </c>
      <c r="Q59" s="120" t="e" vm="6">
        <v>#VALUE!</v>
      </c>
      <c r="R59" s="105">
        <v>34033.25</v>
      </c>
      <c r="S59" s="117">
        <f t="shared" si="9"/>
        <v>3.9336111910549233E-2</v>
      </c>
      <c r="T59" s="105">
        <v>17.2</v>
      </c>
      <c r="U59" s="117">
        <f t="shared" si="10"/>
        <v>7.3404518645601279E-3</v>
      </c>
    </row>
    <row r="60" spans="11:21" s="1" customFormat="1" x14ac:dyDescent="0.25">
      <c r="K60" s="78" t="e" vm="7">
        <v>#VALUE!</v>
      </c>
      <c r="L60" s="105">
        <f t="shared" si="5"/>
        <v>55427</v>
      </c>
      <c r="M60" s="104">
        <f t="shared" si="6"/>
        <v>0.10968953588702336</v>
      </c>
      <c r="N60" s="121">
        <f t="shared" si="7"/>
        <v>1673.4409999999998</v>
      </c>
      <c r="O60" s="119">
        <f t="shared" si="8"/>
        <v>0.86186808704376294</v>
      </c>
      <c r="Q60" s="120" t="e" vm="7">
        <v>#VALUE!</v>
      </c>
      <c r="R60" s="105">
        <v>170107.4</v>
      </c>
      <c r="S60" s="117">
        <f t="shared" si="9"/>
        <v>0.19661253989003583</v>
      </c>
      <c r="T60" s="105">
        <v>1628.7</v>
      </c>
      <c r="U60" s="117">
        <f t="shared" si="10"/>
        <v>0.69508104370983026</v>
      </c>
    </row>
    <row r="61" spans="11:21" s="1" customFormat="1" ht="15.75" thickBot="1" x14ac:dyDescent="0.3">
      <c r="K61" s="122" t="e" vm="8">
        <v>#VALUE!</v>
      </c>
      <c r="L61" s="122">
        <f t="shared" si="5"/>
        <v>0</v>
      </c>
      <c r="M61" s="123">
        <f t="shared" si="6"/>
        <v>0</v>
      </c>
      <c r="N61" s="124">
        <f t="shared" si="7"/>
        <v>246.04300000000001</v>
      </c>
      <c r="O61" s="125">
        <f t="shared" si="8"/>
        <v>0.12671890418634932</v>
      </c>
      <c r="Q61" s="120" t="e" vm="8">
        <v>#VALUE!</v>
      </c>
      <c r="R61" s="105">
        <v>0</v>
      </c>
      <c r="S61" s="117">
        <f t="shared" si="9"/>
        <v>0</v>
      </c>
      <c r="T61" s="105">
        <v>238.3</v>
      </c>
      <c r="U61" s="117">
        <f t="shared" si="10"/>
        <v>0.10169939996073712</v>
      </c>
    </row>
    <row r="62" spans="11:21" s="1" customFormat="1" ht="16.5" thickTop="1" thickBot="1" x14ac:dyDescent="0.3">
      <c r="L62" s="94">
        <f>+SUM(L54:L61)</f>
        <v>505308</v>
      </c>
      <c r="M62" s="126">
        <f>+SUM(M54:M61)</f>
        <v>1.0000000000000002</v>
      </c>
      <c r="N62" s="127">
        <f>+SUM(N54:N61)</f>
        <v>1941.6439999999998</v>
      </c>
      <c r="O62" s="102">
        <f>+SUM(O54:O61)</f>
        <v>1</v>
      </c>
      <c r="Q62" s="128" t="s">
        <v>405</v>
      </c>
      <c r="R62" s="129">
        <f>+L38-SUM(R54:R61)</f>
        <v>101022.14999999991</v>
      </c>
      <c r="S62" s="130">
        <f t="shared" si="9"/>
        <v>0.11676283040392227</v>
      </c>
      <c r="T62" s="129">
        <f>+L39-SUM(T54:T61)</f>
        <v>382.77999999999975</v>
      </c>
      <c r="U62" s="130">
        <f>+T62/$T$63</f>
        <v>0.1633591956230421</v>
      </c>
    </row>
    <row r="63" spans="11:21" s="1" customFormat="1" ht="15.75" thickTop="1" x14ac:dyDescent="0.25">
      <c r="R63" s="94">
        <f>+SUM(R54:R62)</f>
        <v>865191</v>
      </c>
      <c r="S63" s="117">
        <f>+SUM(S54:S62)</f>
        <v>0.99999999999999978</v>
      </c>
      <c r="T63" s="94">
        <f>+SUM(T54:T62)</f>
        <v>2343.1799999999998</v>
      </c>
      <c r="U63" s="117">
        <f>+SUM(U54:U62)</f>
        <v>0.99999999999999989</v>
      </c>
    </row>
    <row r="64" spans="11:21" s="1" customFormat="1" x14ac:dyDescent="0.25"/>
    <row r="65" spans="11:22" s="1" customFormat="1" x14ac:dyDescent="0.25"/>
    <row r="66" spans="11:22" s="1" customFormat="1" ht="15.75" thickBot="1" x14ac:dyDescent="0.3">
      <c r="K66" s="266" t="s">
        <v>406</v>
      </c>
      <c r="L66" s="266"/>
      <c r="M66" s="266"/>
      <c r="N66" s="266"/>
      <c r="O66" s="266"/>
      <c r="Q66" s="266" t="s">
        <v>407</v>
      </c>
      <c r="R66" s="266"/>
      <c r="S66" s="266"/>
      <c r="T66" s="266"/>
      <c r="U66" s="266"/>
    </row>
    <row r="67" spans="11:22" s="1" customFormat="1" ht="15.75" thickTop="1" x14ac:dyDescent="0.25">
      <c r="L67" s="78" t="s">
        <v>400</v>
      </c>
      <c r="M67" s="131" t="s">
        <v>403</v>
      </c>
      <c r="N67" s="78" t="s">
        <v>404</v>
      </c>
      <c r="O67" s="78" t="s">
        <v>403</v>
      </c>
      <c r="R67" s="78" t="s">
        <v>400</v>
      </c>
      <c r="S67" s="131" t="s">
        <v>403</v>
      </c>
      <c r="T67" s="78" t="s">
        <v>404</v>
      </c>
      <c r="U67" s="78" t="s">
        <v>403</v>
      </c>
    </row>
    <row r="68" spans="11:22" s="1" customFormat="1" x14ac:dyDescent="0.25">
      <c r="K68" s="1" t="s">
        <v>79</v>
      </c>
      <c r="L68" s="109">
        <f>+SUMIF($F$5:$F$19,K68,$H$5:$H$19)</f>
        <v>83964</v>
      </c>
      <c r="M68" s="132">
        <f>+L68/$L$71</f>
        <v>0.16616400294473865</v>
      </c>
      <c r="N68" s="109">
        <f>+SUMIF($F$5:$F$19,K68,$J$5:$J$19)</f>
        <v>12.950000000000001</v>
      </c>
      <c r="O68" s="133">
        <f>+N68/$N$71</f>
        <v>6.6696057567710671E-3</v>
      </c>
      <c r="Q68" s="1" t="s">
        <v>79</v>
      </c>
      <c r="R68" s="134">
        <v>116160</v>
      </c>
      <c r="S68" s="132">
        <f>+R68/$R$72</f>
        <v>0.14617664269399927</v>
      </c>
      <c r="T68" s="134">
        <f>12.9*1000/365</f>
        <v>35.342465753424655</v>
      </c>
      <c r="U68" s="135">
        <f>+T68/T72</f>
        <v>3.3974065877791386E-2</v>
      </c>
    </row>
    <row r="69" spans="11:22" s="1" customFormat="1" x14ac:dyDescent="0.25">
      <c r="K69" s="1" t="s">
        <v>299</v>
      </c>
      <c r="L69" s="109">
        <f>+SUMIF($F$5:$F$19,K69,$H$5:$H$19)</f>
        <v>0</v>
      </c>
      <c r="M69" s="132">
        <f t="shared" ref="M69:M70" si="11">+L69/$L$71</f>
        <v>0</v>
      </c>
      <c r="N69" s="109">
        <f>+SUMIF($F$5:$F$19,K69,$J$5:$J$19)</f>
        <v>246.04300000000001</v>
      </c>
      <c r="O69" s="133">
        <f t="shared" ref="O69:O70" si="12">+N69/$N$71</f>
        <v>0.12671890418634932</v>
      </c>
      <c r="Q69" s="1" t="s">
        <v>299</v>
      </c>
      <c r="R69" s="134">
        <v>0</v>
      </c>
      <c r="S69" s="132">
        <f>+R69/$R$72</f>
        <v>0</v>
      </c>
      <c r="T69" s="134">
        <f>248*1000/365</f>
        <v>679.45205479452056</v>
      </c>
      <c r="U69" s="135">
        <f>+T69/T72</f>
        <v>0.65314483237924537</v>
      </c>
      <c r="V69" s="102"/>
    </row>
    <row r="70" spans="11:22" s="1" customFormat="1" ht="15.75" thickBot="1" x14ac:dyDescent="0.3">
      <c r="K70" s="136" t="s">
        <v>28</v>
      </c>
      <c r="L70" s="112">
        <f>+SUMIF($F$5:$F$19,K70,$H$5:$H$19)</f>
        <v>421344</v>
      </c>
      <c r="M70" s="137">
        <f t="shared" si="11"/>
        <v>0.83383599705526135</v>
      </c>
      <c r="N70" s="112">
        <f>+SUMIF($F$5:$F$19,K70,$J$5:$J$19)</f>
        <v>1682.6509999999998</v>
      </c>
      <c r="O70" s="138">
        <f t="shared" si="12"/>
        <v>0.86661149005687965</v>
      </c>
      <c r="Q70" s="1" t="s">
        <v>28</v>
      </c>
      <c r="R70" s="139">
        <v>537311</v>
      </c>
      <c r="S70" s="132">
        <f t="shared" ref="S70" si="13">+R70/$R$72</f>
        <v>0.67615631940905174</v>
      </c>
      <c r="T70" s="140">
        <f>76*1000/365</f>
        <v>208.21917808219177</v>
      </c>
      <c r="U70" s="102">
        <f>+T70/T72</f>
        <v>0.20015728734202679</v>
      </c>
    </row>
    <row r="71" spans="11:22" s="1" customFormat="1" ht="16.5" thickTop="1" thickBot="1" x14ac:dyDescent="0.3">
      <c r="L71" s="141">
        <f>+SUM(L68:L70)</f>
        <v>505308</v>
      </c>
      <c r="M71" s="132">
        <f t="shared" ref="M71:O71" si="14">+SUM(M68:M70)</f>
        <v>1</v>
      </c>
      <c r="N71" s="141">
        <f t="shared" si="14"/>
        <v>1941.6439999999998</v>
      </c>
      <c r="O71" s="141">
        <f t="shared" si="14"/>
        <v>1</v>
      </c>
      <c r="Q71" s="142" t="s">
        <v>408</v>
      </c>
      <c r="R71" s="143">
        <f>794655-(R70+R68+R69)</f>
        <v>141184</v>
      </c>
      <c r="S71" s="144">
        <f>+R71/R72</f>
        <v>0.17766703789694899</v>
      </c>
      <c r="T71" s="143">
        <f>+T72-(T68+T69+T70)</f>
        <v>117.26407914764081</v>
      </c>
      <c r="U71" s="145">
        <f>+T71/T72</f>
        <v>0.11272381440093643</v>
      </c>
    </row>
    <row r="72" spans="11:22" s="1" customFormat="1" ht="15.75" thickTop="1" x14ac:dyDescent="0.25">
      <c r="R72" s="146">
        <f>+SUM(R68:R71)</f>
        <v>794655</v>
      </c>
      <c r="S72" s="147">
        <f>+SUM(S68:S71)</f>
        <v>1</v>
      </c>
      <c r="T72" s="148">
        <f>(248+126.5)*1000/12/30</f>
        <v>1040.2777777777778</v>
      </c>
      <c r="U72" s="102">
        <f>+SUM(U68:U71)</f>
        <v>1</v>
      </c>
    </row>
    <row r="73" spans="11:22" s="1" customFormat="1" x14ac:dyDescent="0.25">
      <c r="T73" s="106"/>
    </row>
    <row r="74" spans="11:22" s="1" customFormat="1" x14ac:dyDescent="0.25"/>
    <row r="75" spans="11:22" s="1" customFormat="1" ht="15.75" thickBot="1" x14ac:dyDescent="0.3">
      <c r="K75" s="267" t="s">
        <v>409</v>
      </c>
      <c r="L75" s="267"/>
      <c r="M75" s="267"/>
      <c r="N75" s="267"/>
      <c r="O75" s="267"/>
      <c r="Q75" s="266" t="s">
        <v>410</v>
      </c>
      <c r="R75" s="266"/>
      <c r="S75" s="266"/>
      <c r="T75" s="266"/>
      <c r="U75" s="266"/>
    </row>
    <row r="76" spans="11:22" s="1" customFormat="1" ht="16.5" thickTop="1" thickBot="1" x14ac:dyDescent="0.3">
      <c r="L76" s="77" t="s">
        <v>411</v>
      </c>
      <c r="M76" s="78" t="s">
        <v>403</v>
      </c>
      <c r="N76" s="77" t="s">
        <v>412</v>
      </c>
      <c r="O76" s="78" t="s">
        <v>403</v>
      </c>
      <c r="Q76" s="149"/>
      <c r="R76" s="150" t="s">
        <v>411</v>
      </c>
      <c r="S76" s="151" t="s">
        <v>403</v>
      </c>
      <c r="T76" s="150" t="s">
        <v>412</v>
      </c>
      <c r="U76" s="151"/>
    </row>
    <row r="77" spans="11:22" s="1" customFormat="1" ht="15.75" thickTop="1" x14ac:dyDescent="0.25">
      <c r="K77" s="120" t="e" vm="1">
        <v>#VALUE!</v>
      </c>
      <c r="L77" s="152">
        <f t="shared" ref="L77:L84" si="15">+SUMIF($C$5:$C$19,K77,$S$5:$S$19)</f>
        <v>780.24166600000001</v>
      </c>
      <c r="M77" s="153">
        <f t="shared" ref="M77:M84" si="16">+L77/$L$86</f>
        <v>0.68232048572355875</v>
      </c>
      <c r="N77" s="154">
        <f t="shared" ref="N77:N84" si="17">+SUMIF($C$5:$C$19,K77,$T$5:$T$19)</f>
        <v>0</v>
      </c>
      <c r="O77" s="119">
        <f>+N77/$N$86</f>
        <v>0</v>
      </c>
      <c r="Q77" s="120" t="e" vm="1">
        <v>#VALUE!</v>
      </c>
      <c r="R77" s="155">
        <f>888415605/1000000</f>
        <v>888.41560500000003</v>
      </c>
      <c r="S77" s="153">
        <f t="shared" ref="S77:S85" si="18">+R77/$R$86</f>
        <v>0.45367392396496903</v>
      </c>
      <c r="T77" s="156">
        <f>17022745/1000000</f>
        <v>17.022745</v>
      </c>
      <c r="U77" s="119">
        <f t="shared" ref="U77:U85" si="19">+T77/$T$86</f>
        <v>4.5011767109696139E-3</v>
      </c>
    </row>
    <row r="78" spans="11:22" s="1" customFormat="1" x14ac:dyDescent="0.25">
      <c r="K78" s="120" t="e" vm="2">
        <v>#VALUE!</v>
      </c>
      <c r="L78" s="152">
        <f t="shared" si="15"/>
        <v>102.289863</v>
      </c>
      <c r="M78" s="153">
        <f t="shared" si="16"/>
        <v>8.9452373601842841E-2</v>
      </c>
      <c r="N78" s="154">
        <f t="shared" si="17"/>
        <v>13.059627000000001</v>
      </c>
      <c r="O78" s="119">
        <f t="shared" ref="O78:O84" si="20">+N78/$T$86</f>
        <v>3.4532438162205898E-3</v>
      </c>
      <c r="Q78" s="120" t="e" vm="2">
        <v>#VALUE!</v>
      </c>
      <c r="R78" s="155">
        <f>254681686/1000000</f>
        <v>254.68168600000001</v>
      </c>
      <c r="S78" s="153">
        <f t="shared" si="18"/>
        <v>0.1300544916133414</v>
      </c>
      <c r="T78" s="156">
        <f>200646510/1000000</f>
        <v>200.64651000000001</v>
      </c>
      <c r="U78" s="119">
        <f t="shared" si="19"/>
        <v>5.3055215122433642E-2</v>
      </c>
    </row>
    <row r="79" spans="11:22" s="1" customFormat="1" x14ac:dyDescent="0.25">
      <c r="K79" s="120" t="e" vm="3">
        <v>#VALUE!</v>
      </c>
      <c r="L79" s="152">
        <f t="shared" si="15"/>
        <v>47.828505</v>
      </c>
      <c r="M79" s="153">
        <f t="shared" si="16"/>
        <v>4.1825975444679288E-2</v>
      </c>
      <c r="N79" s="154">
        <f t="shared" si="17"/>
        <v>0</v>
      </c>
      <c r="O79" s="119">
        <f t="shared" si="20"/>
        <v>0</v>
      </c>
      <c r="Q79" s="120" t="e" vm="3">
        <v>#VALUE!</v>
      </c>
      <c r="R79" s="155">
        <f>67847887/1000000</f>
        <v>67.847887</v>
      </c>
      <c r="S79" s="153">
        <f t="shared" si="18"/>
        <v>3.4646866798362701E-2</v>
      </c>
      <c r="T79" s="156">
        <f>4989606/1000000</f>
        <v>4.9896060000000002</v>
      </c>
      <c r="U79" s="119">
        <f t="shared" si="19"/>
        <v>1.3193582071583784E-3</v>
      </c>
    </row>
    <row r="80" spans="11:22" s="1" customFormat="1" x14ac:dyDescent="0.25">
      <c r="K80" s="120" t="e" vm="4">
        <v>#VALUE!</v>
      </c>
      <c r="L80" s="152">
        <f t="shared" si="15"/>
        <v>33.462980999999999</v>
      </c>
      <c r="M80" s="153">
        <f t="shared" si="16"/>
        <v>2.9263340378541405E-2</v>
      </c>
      <c r="N80" s="154">
        <f t="shared" si="17"/>
        <v>6.0093600000000009</v>
      </c>
      <c r="O80" s="119">
        <f t="shared" si="20"/>
        <v>1.5890029063956701E-3</v>
      </c>
      <c r="Q80" s="120" t="e" vm="4">
        <v>#VALUE!</v>
      </c>
      <c r="R80" s="155">
        <f>8033760/1000000</f>
        <v>8.0337599999999991</v>
      </c>
      <c r="S80" s="153">
        <f t="shared" si="18"/>
        <v>4.1024801938196586E-3</v>
      </c>
      <c r="T80" s="156">
        <v>0</v>
      </c>
      <c r="U80" s="119">
        <f t="shared" si="19"/>
        <v>0</v>
      </c>
    </row>
    <row r="81" spans="11:21" s="1" customFormat="1" x14ac:dyDescent="0.25">
      <c r="K81" s="120" t="e" vm="5">
        <v>#VALUE!</v>
      </c>
      <c r="L81" s="152">
        <f t="shared" si="15"/>
        <v>29.106705999999999</v>
      </c>
      <c r="M81" s="153">
        <f t="shared" si="16"/>
        <v>2.545378264345706E-2</v>
      </c>
      <c r="N81" s="154">
        <f t="shared" si="17"/>
        <v>0</v>
      </c>
      <c r="O81" s="119">
        <f t="shared" si="20"/>
        <v>0</v>
      </c>
      <c r="Q81" s="120" t="e" vm="5">
        <v>#VALUE!</v>
      </c>
      <c r="R81" s="155">
        <f>59611739/1000000</f>
        <v>59.611739</v>
      </c>
      <c r="S81" s="153">
        <f t="shared" si="18"/>
        <v>3.0441036148285101E-2</v>
      </c>
      <c r="T81" s="156">
        <f>1702956/1000000</f>
        <v>1.7029559999999999</v>
      </c>
      <c r="U81" s="119">
        <f t="shared" si="19"/>
        <v>4.5029787422686348E-4</v>
      </c>
    </row>
    <row r="82" spans="11:21" s="1" customFormat="1" x14ac:dyDescent="0.25">
      <c r="K82" s="120" t="e" vm="6">
        <v>#VALUE!</v>
      </c>
      <c r="L82" s="152">
        <f t="shared" si="15"/>
        <v>25.150981999999999</v>
      </c>
      <c r="M82" s="153">
        <f t="shared" si="16"/>
        <v>2.1994506320897354E-2</v>
      </c>
      <c r="N82" s="154">
        <f t="shared" si="17"/>
        <v>0</v>
      </c>
      <c r="O82" s="119">
        <f t="shared" si="20"/>
        <v>0</v>
      </c>
      <c r="Q82" s="120" t="e" vm="6">
        <v>#VALUE!</v>
      </c>
      <c r="R82" s="155">
        <f>61421419/1000000</f>
        <v>61.421419</v>
      </c>
      <c r="S82" s="153">
        <f t="shared" si="18"/>
        <v>3.1365158397039301E-2</v>
      </c>
      <c r="T82" s="156">
        <f>176382695/1000000</f>
        <v>176.38269500000001</v>
      </c>
      <c r="U82" s="119">
        <f t="shared" si="19"/>
        <v>4.6639345120428964E-2</v>
      </c>
    </row>
    <row r="83" spans="11:21" s="1" customFormat="1" x14ac:dyDescent="0.25">
      <c r="K83" s="120" t="e" vm="7">
        <v>#VALUE!</v>
      </c>
      <c r="L83" s="152">
        <f t="shared" si="15"/>
        <v>125.431301</v>
      </c>
      <c r="M83" s="153">
        <f t="shared" si="16"/>
        <v>0.10968953588702338</v>
      </c>
      <c r="N83" s="154">
        <f t="shared" si="17"/>
        <v>1979.4402600000001</v>
      </c>
      <c r="O83" s="119">
        <f t="shared" si="20"/>
        <v>0.52340620734597365</v>
      </c>
      <c r="Q83" s="120" t="e" vm="7">
        <v>#VALUE!</v>
      </c>
      <c r="R83" s="155">
        <f>380888372/1000000</f>
        <v>380.888372</v>
      </c>
      <c r="S83" s="153">
        <f t="shared" si="18"/>
        <v>0.19450257440926969</v>
      </c>
      <c r="T83" s="156">
        <f>2216125271/1000000</f>
        <v>2216.1252709999999</v>
      </c>
      <c r="U83" s="119">
        <f t="shared" si="19"/>
        <v>0.58599077049068304</v>
      </c>
    </row>
    <row r="84" spans="11:21" s="1" customFormat="1" ht="15.75" thickBot="1" x14ac:dyDescent="0.3">
      <c r="K84" s="157" t="e" vm="8">
        <v>#VALUE!</v>
      </c>
      <c r="L84" s="158">
        <f t="shared" si="15"/>
        <v>0</v>
      </c>
      <c r="M84" s="159">
        <f t="shared" si="16"/>
        <v>0</v>
      </c>
      <c r="N84" s="160">
        <f t="shared" si="17"/>
        <v>851.68370000000004</v>
      </c>
      <c r="O84" s="161">
        <f t="shared" si="20"/>
        <v>0.22520332857905298</v>
      </c>
      <c r="Q84" s="120" t="e" vm="8">
        <v>#VALUE!</v>
      </c>
      <c r="R84" s="155">
        <v>0</v>
      </c>
      <c r="S84" s="153">
        <f t="shared" si="18"/>
        <v>0</v>
      </c>
      <c r="T84" s="156">
        <f>583846226/1000000</f>
        <v>583.846226</v>
      </c>
      <c r="U84" s="119">
        <f t="shared" si="19"/>
        <v>0.1543813900319074</v>
      </c>
    </row>
    <row r="85" spans="11:21" s="1" customFormat="1" ht="16.5" thickTop="1" thickBot="1" x14ac:dyDescent="0.3">
      <c r="M85" s="60" t="s">
        <v>413</v>
      </c>
      <c r="N85" s="60"/>
      <c r="O85" s="60" t="s">
        <v>413</v>
      </c>
      <c r="Q85" s="128" t="s">
        <v>405</v>
      </c>
      <c r="R85" s="162">
        <f>+R86-SUM(R77:R84)</f>
        <v>237.36858400000028</v>
      </c>
      <c r="S85" s="163">
        <f t="shared" si="18"/>
        <v>0.12121346847491325</v>
      </c>
      <c r="T85" s="164">
        <f>+T86-SUM(T77:T84)</f>
        <v>581.12729399999989</v>
      </c>
      <c r="U85" s="165">
        <f t="shared" si="19"/>
        <v>0.15366244644219196</v>
      </c>
    </row>
    <row r="86" spans="11:21" s="1" customFormat="1" ht="15.75" thickTop="1" x14ac:dyDescent="0.25">
      <c r="K86" s="28" t="s">
        <v>390</v>
      </c>
      <c r="L86" s="166">
        <f>+SUM(S5:S19)</f>
        <v>1143.5120039999999</v>
      </c>
      <c r="M86" s="167">
        <f>+L86/R86</f>
        <v>0.58394019087015625</v>
      </c>
      <c r="N86" s="166">
        <f>+SUM(T5:T19)</f>
        <v>2850.1929470000005</v>
      </c>
      <c r="O86" s="167">
        <f>+N86/T86</f>
        <v>0.75365178264764299</v>
      </c>
      <c r="Q86" s="28" t="s">
        <v>414</v>
      </c>
      <c r="R86" s="168">
        <f>1958269052/1000000</f>
        <v>1958.2690520000001</v>
      </c>
      <c r="S86" s="167">
        <v>1</v>
      </c>
      <c r="T86" s="169">
        <f>3781843303/1000000</f>
        <v>3781.8433030000001</v>
      </c>
      <c r="U86" s="167">
        <v>1</v>
      </c>
    </row>
    <row r="87" spans="11:21" s="1" customFormat="1" ht="15.75" thickBot="1" x14ac:dyDescent="0.3">
      <c r="K87" s="170" t="s">
        <v>415</v>
      </c>
      <c r="L87" s="171">
        <f>+SUMIF($D$5:$D$19,"ECP",S5:S19)</f>
        <v>881.67837800000007</v>
      </c>
      <c r="M87" s="172">
        <f>+L87/R87</f>
        <v>0.72932283729009861</v>
      </c>
      <c r="N87" s="171">
        <f>+SUMIF($D$5:$D$19,"ECP",T5:T19)</f>
        <v>1217.0778270000001</v>
      </c>
      <c r="O87" s="172">
        <f>+N87/T87</f>
        <v>0.40502027534293078</v>
      </c>
      <c r="Q87" s="170" t="s">
        <v>30</v>
      </c>
      <c r="R87" s="173">
        <f>1727*0.7</f>
        <v>1208.8999999999999</v>
      </c>
      <c r="S87" s="172">
        <f>+R87/R86</f>
        <v>0.6173309018826284</v>
      </c>
      <c r="T87" s="174">
        <f>1727*0.3*5800*(1/1000)</f>
        <v>3004.98</v>
      </c>
      <c r="U87" s="172">
        <f>+T87/T86</f>
        <v>0.79458077959397677</v>
      </c>
    </row>
    <row r="88" spans="11:21" s="1" customFormat="1" ht="15.75" thickTop="1" x14ac:dyDescent="0.25">
      <c r="K88" s="1" t="s">
        <v>416</v>
      </c>
      <c r="L88" s="154">
        <f>+SUMIF($D$5:$D$19,"ECP",S5:S19)+SUMIF($D$5:$D$19,"EQUION*",S5:S19)</f>
        <v>971.22755100000006</v>
      </c>
      <c r="M88" s="111">
        <f>+L88/R87</f>
        <v>0.80339775911986122</v>
      </c>
      <c r="N88" s="154">
        <f>+SUMIF($D$5:$D$19,"ECP",T5:T19)++SUMIF($D$5:$D$19,"EQUION*",T5:T19)</f>
        <v>1998.5092470000002</v>
      </c>
      <c r="O88" s="147">
        <f>+N88/T87</f>
        <v>0.66506573987181283</v>
      </c>
    </row>
    <row r="89" spans="11:21" s="1" customFormat="1" x14ac:dyDescent="0.25"/>
    <row r="90" spans="11:21" s="1" customFormat="1" x14ac:dyDescent="0.25">
      <c r="L90" s="95"/>
    </row>
    <row r="91" spans="11:21" s="1" customFormat="1" ht="15.75" x14ac:dyDescent="0.25">
      <c r="Q91" s="263" t="s">
        <v>417</v>
      </c>
      <c r="R91" s="263"/>
      <c r="S91" s="263"/>
      <c r="T91" s="263"/>
      <c r="U91" s="263"/>
    </row>
    <row r="92" spans="11:21" s="1" customFormat="1" ht="15.75" thickBot="1" x14ac:dyDescent="0.3">
      <c r="Q92" s="170"/>
      <c r="R92" s="170" t="s">
        <v>418</v>
      </c>
      <c r="S92" s="170"/>
      <c r="T92" s="170" t="s">
        <v>419</v>
      </c>
      <c r="U92" s="170"/>
    </row>
    <row r="93" spans="11:21" s="1" customFormat="1" ht="15.75" thickTop="1" x14ac:dyDescent="0.25">
      <c r="Q93" s="84" t="s">
        <v>414</v>
      </c>
      <c r="R93" s="1">
        <v>492</v>
      </c>
    </row>
    <row r="94" spans="11:21" s="1" customFormat="1" x14ac:dyDescent="0.25">
      <c r="Q94" s="84" t="s">
        <v>420</v>
      </c>
      <c r="R94" s="1">
        <v>42</v>
      </c>
    </row>
    <row r="95" spans="11:21" s="1" customFormat="1" x14ac:dyDescent="0.25">
      <c r="Q95" s="84" t="s">
        <v>421</v>
      </c>
      <c r="R95" s="1">
        <v>450</v>
      </c>
    </row>
    <row r="96" spans="11:21" s="1" customFormat="1" ht="15.75" thickBot="1" x14ac:dyDescent="0.3">
      <c r="Q96" s="175" t="s">
        <v>422</v>
      </c>
      <c r="R96" s="136"/>
      <c r="S96" s="136"/>
      <c r="T96" s="136"/>
      <c r="U96" s="136"/>
    </row>
    <row r="97" spans="17:22" s="1" customFormat="1" ht="15.75" thickTop="1" x14ac:dyDescent="0.25">
      <c r="Q97" s="84" t="s">
        <v>30</v>
      </c>
    </row>
    <row r="98" spans="17:22" s="1" customFormat="1" x14ac:dyDescent="0.25">
      <c r="Q98" s="84" t="s">
        <v>420</v>
      </c>
    </row>
    <row r="99" spans="17:22" s="1" customFormat="1" x14ac:dyDescent="0.25">
      <c r="Q99" s="84" t="s">
        <v>421</v>
      </c>
    </row>
    <row r="100" spans="17:22" s="1" customFormat="1" ht="15.75" thickBot="1" x14ac:dyDescent="0.3">
      <c r="Q100" s="175" t="s">
        <v>422</v>
      </c>
      <c r="R100" s="136"/>
      <c r="S100" s="136"/>
      <c r="T100" s="136"/>
      <c r="U100" s="136"/>
    </row>
    <row r="101" spans="17:22" s="1" customFormat="1" ht="15.75" thickTop="1" x14ac:dyDescent="0.25"/>
    <row r="102" spans="17:22" s="1" customFormat="1" x14ac:dyDescent="0.25"/>
    <row r="103" spans="17:22" s="1" customFormat="1" x14ac:dyDescent="0.25"/>
    <row r="104" spans="17:22" s="1" customFormat="1" ht="15.75" x14ac:dyDescent="0.25">
      <c r="Q104" s="264" t="s">
        <v>423</v>
      </c>
      <c r="R104" s="264"/>
      <c r="S104" s="264"/>
      <c r="T104" s="264"/>
      <c r="U104" s="264"/>
      <c r="V104" s="264"/>
    </row>
    <row r="105" spans="17:22" s="1" customFormat="1" ht="16.5" thickBot="1" x14ac:dyDescent="0.3">
      <c r="Q105" s="265" t="s">
        <v>424</v>
      </c>
      <c r="R105" s="265"/>
      <c r="S105" s="265"/>
      <c r="T105" s="265"/>
      <c r="U105" s="265"/>
      <c r="V105" s="265"/>
    </row>
    <row r="106" spans="17:22" s="1" customFormat="1" ht="15.75" thickTop="1" x14ac:dyDescent="0.25">
      <c r="Q106" s="78"/>
      <c r="R106" s="78" t="s">
        <v>425</v>
      </c>
      <c r="S106" s="78" t="s">
        <v>426</v>
      </c>
      <c r="T106" s="78" t="s">
        <v>427</v>
      </c>
      <c r="U106" s="78" t="s">
        <v>428</v>
      </c>
      <c r="V106" s="98" t="s">
        <v>429</v>
      </c>
    </row>
    <row r="107" spans="17:22" s="1" customFormat="1" x14ac:dyDescent="0.25">
      <c r="Q107" s="78"/>
      <c r="R107" s="78" t="s">
        <v>430</v>
      </c>
      <c r="S107" s="78" t="s">
        <v>431</v>
      </c>
      <c r="T107" s="78" t="s">
        <v>432</v>
      </c>
      <c r="U107" s="78" t="s">
        <v>433</v>
      </c>
      <c r="V107" s="98" t="s">
        <v>429</v>
      </c>
    </row>
    <row r="108" spans="17:22" s="1" customFormat="1" x14ac:dyDescent="0.25">
      <c r="Q108" s="78">
        <v>2014</v>
      </c>
      <c r="R108" s="78">
        <v>2308</v>
      </c>
      <c r="S108" s="78">
        <v>361</v>
      </c>
      <c r="T108" s="78">
        <v>206</v>
      </c>
      <c r="U108" s="176">
        <f>+T108/S108</f>
        <v>0.5706371191135734</v>
      </c>
      <c r="V108" s="155">
        <f>+R108/S108</f>
        <v>6.3933518005540169</v>
      </c>
    </row>
    <row r="109" spans="17:22" s="1" customFormat="1" x14ac:dyDescent="0.25">
      <c r="Q109" s="78">
        <v>2015</v>
      </c>
      <c r="R109" s="78">
        <v>2002</v>
      </c>
      <c r="S109" s="78">
        <v>367</v>
      </c>
      <c r="T109" s="78">
        <v>48</v>
      </c>
      <c r="U109" s="176">
        <f t="shared" ref="U109:U113" si="21">+T109/S109</f>
        <v>0.13079019073569481</v>
      </c>
      <c r="V109" s="155">
        <f t="shared" ref="V109:V113" si="22">+R109/S109</f>
        <v>5.4550408719346049</v>
      </c>
    </row>
    <row r="110" spans="17:22" s="1" customFormat="1" x14ac:dyDescent="0.25">
      <c r="Q110" s="78">
        <v>2016</v>
      </c>
      <c r="R110" s="78">
        <v>1665</v>
      </c>
      <c r="S110" s="78">
        <v>324</v>
      </c>
      <c r="T110" s="78">
        <v>-20</v>
      </c>
      <c r="U110" s="176">
        <f t="shared" si="21"/>
        <v>-6.1728395061728392E-2</v>
      </c>
      <c r="V110" s="155">
        <f t="shared" si="22"/>
        <v>5.1388888888888893</v>
      </c>
    </row>
    <row r="111" spans="17:22" s="1" customFormat="1" x14ac:dyDescent="0.25">
      <c r="Q111" s="78">
        <v>2017</v>
      </c>
      <c r="R111" s="78">
        <v>1782</v>
      </c>
      <c r="S111" s="78">
        <v>312</v>
      </c>
      <c r="T111" s="78">
        <v>429</v>
      </c>
      <c r="U111" s="176">
        <f t="shared" si="21"/>
        <v>1.375</v>
      </c>
      <c r="V111" s="155">
        <f t="shared" si="22"/>
        <v>5.7115384615384617</v>
      </c>
    </row>
    <row r="112" spans="17:22" s="1" customFormat="1" x14ac:dyDescent="0.25">
      <c r="Q112" s="78">
        <v>2018</v>
      </c>
      <c r="R112" s="78">
        <v>1958</v>
      </c>
      <c r="S112" s="78">
        <v>316</v>
      </c>
      <c r="T112" s="78">
        <v>492</v>
      </c>
      <c r="U112" s="176">
        <f t="shared" si="21"/>
        <v>1.5569620253164558</v>
      </c>
      <c r="V112" s="155">
        <f t="shared" si="22"/>
        <v>6.1962025316455698</v>
      </c>
    </row>
    <row r="113" spans="17:22" s="1" customFormat="1" x14ac:dyDescent="0.25">
      <c r="Q113" s="78">
        <v>2019</v>
      </c>
      <c r="R113" s="78">
        <v>2041</v>
      </c>
      <c r="S113" s="78">
        <v>323</v>
      </c>
      <c r="T113" s="78">
        <v>406</v>
      </c>
      <c r="U113" s="176">
        <f t="shared" si="21"/>
        <v>1.2569659442724459</v>
      </c>
      <c r="V113" s="155">
        <f t="shared" si="22"/>
        <v>6.3188854489164088</v>
      </c>
    </row>
    <row r="114" spans="17:22" s="1" customFormat="1" ht="16.5" thickBot="1" x14ac:dyDescent="0.3">
      <c r="Q114" s="265" t="s">
        <v>434</v>
      </c>
      <c r="R114" s="265"/>
      <c r="S114" s="265"/>
      <c r="T114" s="265"/>
      <c r="U114" s="265"/>
      <c r="V114" s="265"/>
    </row>
    <row r="115" spans="17:22" s="1" customFormat="1" ht="15.75" thickTop="1" x14ac:dyDescent="0.25">
      <c r="Q115" s="78"/>
      <c r="R115" s="78" t="s">
        <v>425</v>
      </c>
      <c r="S115" s="78" t="s">
        <v>426</v>
      </c>
      <c r="T115" s="78" t="s">
        <v>427</v>
      </c>
      <c r="U115" s="78" t="s">
        <v>428</v>
      </c>
      <c r="V115" s="98" t="s">
        <v>429</v>
      </c>
    </row>
    <row r="116" spans="17:22" s="1" customFormat="1" x14ac:dyDescent="0.25">
      <c r="Q116" s="78"/>
      <c r="R116" s="78" t="s">
        <v>430</v>
      </c>
      <c r="S116" s="78" t="s">
        <v>431</v>
      </c>
      <c r="T116" s="78" t="s">
        <v>432</v>
      </c>
      <c r="U116" s="78" t="s">
        <v>433</v>
      </c>
      <c r="V116" s="98" t="s">
        <v>429</v>
      </c>
    </row>
    <row r="117" spans="17:22" s="1" customFormat="1" x14ac:dyDescent="0.25">
      <c r="Q117" s="78">
        <v>2014</v>
      </c>
      <c r="R117" s="78">
        <v>4758</v>
      </c>
      <c r="S117" s="78">
        <v>421</v>
      </c>
      <c r="T117" s="78">
        <v>-296</v>
      </c>
      <c r="U117" s="176">
        <f>+T117/S117</f>
        <v>-0.70308788598574823</v>
      </c>
      <c r="V117" s="155">
        <f>+R117/S117</f>
        <v>11.30166270783848</v>
      </c>
    </row>
    <row r="118" spans="17:22" s="1" customFormat="1" x14ac:dyDescent="0.25">
      <c r="Q118" s="78">
        <v>2015</v>
      </c>
      <c r="R118" s="78">
        <v>4361</v>
      </c>
      <c r="S118" s="78">
        <v>417</v>
      </c>
      <c r="T118" s="78">
        <v>35</v>
      </c>
      <c r="U118" s="176">
        <f t="shared" ref="U118:U122" si="23">+T118/S118</f>
        <v>8.3932853717026384E-2</v>
      </c>
      <c r="V118" s="155">
        <f t="shared" ref="V118:V122" si="24">+R118/S118</f>
        <v>10.458033573141487</v>
      </c>
    </row>
    <row r="119" spans="17:22" s="1" customFormat="1" x14ac:dyDescent="0.25">
      <c r="Q119" s="78">
        <v>2016</v>
      </c>
      <c r="R119" s="78">
        <v>4024</v>
      </c>
      <c r="S119" s="78">
        <v>389</v>
      </c>
      <c r="T119" s="78">
        <v>22</v>
      </c>
      <c r="U119" s="176">
        <f t="shared" si="23"/>
        <v>5.6555269922879174E-2</v>
      </c>
      <c r="V119" s="155">
        <f t="shared" si="24"/>
        <v>10.344473007712082</v>
      </c>
    </row>
    <row r="120" spans="17:22" s="1" customFormat="1" x14ac:dyDescent="0.25">
      <c r="Q120" s="78">
        <v>2017</v>
      </c>
      <c r="R120" s="78">
        <v>3896</v>
      </c>
      <c r="S120" s="78">
        <v>332</v>
      </c>
      <c r="T120" s="78">
        <v>204</v>
      </c>
      <c r="U120" s="176">
        <f t="shared" si="23"/>
        <v>0.61445783132530118</v>
      </c>
      <c r="V120" s="155">
        <f t="shared" si="24"/>
        <v>11.734939759036145</v>
      </c>
    </row>
    <row r="121" spans="17:22" s="1" customFormat="1" x14ac:dyDescent="0.25">
      <c r="Q121" s="78">
        <v>2018</v>
      </c>
      <c r="R121" s="78">
        <v>3782</v>
      </c>
      <c r="S121" s="78">
        <v>386</v>
      </c>
      <c r="T121" s="78">
        <v>272</v>
      </c>
      <c r="U121" s="176">
        <f t="shared" si="23"/>
        <v>0.70466321243523311</v>
      </c>
      <c r="V121" s="155">
        <f t="shared" si="24"/>
        <v>9.7979274611398957</v>
      </c>
    </row>
    <row r="122" spans="17:22" s="1" customFormat="1" ht="15.75" thickBot="1" x14ac:dyDescent="0.3">
      <c r="Q122" s="97">
        <v>2019</v>
      </c>
      <c r="R122" s="97">
        <v>3163</v>
      </c>
      <c r="S122" s="97">
        <v>391</v>
      </c>
      <c r="T122" s="97">
        <v>-228</v>
      </c>
      <c r="U122" s="177">
        <f t="shared" si="23"/>
        <v>-0.58312020460358061</v>
      </c>
      <c r="V122" s="178">
        <f t="shared" si="24"/>
        <v>8.0895140664961644</v>
      </c>
    </row>
    <row r="123" spans="17:22" s="1" customFormat="1" ht="15.75" thickTop="1" x14ac:dyDescent="0.25"/>
    <row r="124" spans="17:22" s="1" customFormat="1" x14ac:dyDescent="0.25"/>
    <row r="125" spans="17:22" s="1" customFormat="1" x14ac:dyDescent="0.25"/>
    <row r="126" spans="17:22" s="1" customFormat="1" x14ac:dyDescent="0.25"/>
    <row r="127" spans="17:22" s="1" customFormat="1" x14ac:dyDescent="0.25"/>
    <row r="128" spans="17:22"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sheetData>
  <mergeCells count="16">
    <mergeCell ref="U3:W3"/>
    <mergeCell ref="K28:M28"/>
    <mergeCell ref="K36:N36"/>
    <mergeCell ref="Q37:T37"/>
    <mergeCell ref="K43:M43"/>
    <mergeCell ref="Q43:S43"/>
    <mergeCell ref="Q91:U91"/>
    <mergeCell ref="Q104:V104"/>
    <mergeCell ref="Q105:V105"/>
    <mergeCell ref="Q114:V114"/>
    <mergeCell ref="K52:O52"/>
    <mergeCell ref="Q52:U52"/>
    <mergeCell ref="K66:O66"/>
    <mergeCell ref="Q66:U66"/>
    <mergeCell ref="K75:O75"/>
    <mergeCell ref="Q75:U75"/>
  </mergeCells>
  <conditionalFormatting sqref="F5">
    <cfRule type="containsBlanks" dxfId="43" priority="31">
      <formula>LEN(TRIM(F5))=0</formula>
    </cfRule>
  </conditionalFormatting>
  <conditionalFormatting sqref="M5:N5">
    <cfRule type="containsText" dxfId="42" priority="28" operator="containsText" text="Oil and Gas">
      <formula>NOT(ISERROR(SEARCH("Oil and Gas",M5)))</formula>
    </cfRule>
    <cfRule type="containsText" dxfId="41" priority="29" operator="containsText" text="Gas">
      <formula>NOT(ISERROR(SEARCH("Gas",M5)))</formula>
    </cfRule>
    <cfRule type="containsText" dxfId="40" priority="30" operator="containsText" text="Oil">
      <formula>NOT(ISERROR(SEARCH("Oil",M5)))</formula>
    </cfRule>
  </conditionalFormatting>
  <conditionalFormatting sqref="K22:K24">
    <cfRule type="containsText" dxfId="39" priority="25" operator="containsText" text="Oil and Gas">
      <formula>NOT(ISERROR(SEARCH("Oil and Gas",K22)))</formula>
    </cfRule>
    <cfRule type="containsText" dxfId="38" priority="26" operator="containsText" text="Gas">
      <formula>NOT(ISERROR(SEARCH("Gas",K22)))</formula>
    </cfRule>
    <cfRule type="containsText" dxfId="37" priority="27" operator="containsText" text="Oil">
      <formula>NOT(ISERROR(SEARCH("Oil",K22)))</formula>
    </cfRule>
  </conditionalFormatting>
  <conditionalFormatting sqref="F6:F19">
    <cfRule type="containsBlanks" dxfId="36" priority="8">
      <formula>LEN(TRIM(F6))=0</formula>
    </cfRule>
  </conditionalFormatting>
  <conditionalFormatting sqref="M6:N19">
    <cfRule type="containsText" dxfId="35" priority="5" operator="containsText" text="Oil and Gas">
      <formula>NOT(ISERROR(SEARCH("Oil and Gas",M6)))</formula>
    </cfRule>
    <cfRule type="containsText" dxfId="34" priority="6" operator="containsText" text="Gas">
      <formula>NOT(ISERROR(SEARCH("Gas",M6)))</formula>
    </cfRule>
    <cfRule type="containsText" dxfId="33" priority="7" operator="containsText" text="Oil">
      <formula>NOT(ISERROR(SEARCH("Oil",M6)))</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21" operator="containsText" id="{C797FD9D-5DC1-448A-B187-59DC661596FC}">
            <xm:f>NOT(ISERROR(SEARCH($K$33,O5)))</xm:f>
            <xm:f>$K$33</xm:f>
            <x14:dxf>
              <fill>
                <patternFill>
                  <bgColor theme="7" tint="0.79998168889431442"/>
                </patternFill>
              </fill>
            </x14:dxf>
          </x14:cfRule>
          <x14:cfRule type="containsText" priority="22" operator="containsText" id="{8EF5AE3E-F0D7-4314-8DBE-21B4A518D8F9}">
            <xm:f>NOT(ISERROR(SEARCH($K$32,O5)))</xm:f>
            <xm:f>$K$32</xm:f>
            <x14:dxf>
              <fill>
                <patternFill>
                  <bgColor theme="5" tint="0.79998168889431442"/>
                </patternFill>
              </fill>
            </x14:dxf>
          </x14:cfRule>
          <x14:cfRule type="containsText" priority="23" operator="containsText" id="{17DC543E-B68B-4484-8510-5F2DEF23A458}">
            <xm:f>NOT(ISERROR(SEARCH($K$31,O5)))</xm:f>
            <xm:f>$K$31</xm:f>
            <x14:dxf>
              <fill>
                <patternFill>
                  <bgColor theme="0" tint="-0.24994659260841701"/>
                </patternFill>
              </fill>
            </x14:dxf>
          </x14:cfRule>
          <x14:cfRule type="containsText" priority="24" operator="containsText" id="{6029F5FA-0A89-4B19-A4D9-52F6CFC437CE}">
            <xm:f>NOT(ISERROR(SEARCH($K$30,O5)))</xm:f>
            <xm:f>$K$30</xm:f>
            <x14:dxf>
              <fill>
                <patternFill>
                  <bgColor theme="0" tint="-0.34998626667073579"/>
                </patternFill>
              </fill>
            </x14:dxf>
          </x14:cfRule>
          <xm:sqref>O5</xm:sqref>
        </x14:conditionalFormatting>
        <x14:conditionalFormatting xmlns:xm="http://schemas.microsoft.com/office/excel/2006/main">
          <x14:cfRule type="containsText" priority="17" operator="containsText" id="{C8744857-6D46-406F-871B-0694ECBCAFFC}">
            <xm:f>NOT(ISERROR(SEARCH($K$33,K30)))</xm:f>
            <xm:f>$K$33</xm:f>
            <x14:dxf>
              <fill>
                <patternFill>
                  <bgColor theme="7" tint="0.79998168889431442"/>
                </patternFill>
              </fill>
            </x14:dxf>
          </x14:cfRule>
          <x14:cfRule type="containsText" priority="18" operator="containsText" id="{FE641021-A830-44EE-A7A0-1F6E3ADEFB7D}">
            <xm:f>NOT(ISERROR(SEARCH($K$32,K30)))</xm:f>
            <xm:f>$K$32</xm:f>
            <x14:dxf>
              <fill>
                <patternFill>
                  <bgColor theme="5" tint="0.79998168889431442"/>
                </patternFill>
              </fill>
            </x14:dxf>
          </x14:cfRule>
          <x14:cfRule type="containsText" priority="19" operator="containsText" id="{F15B28A0-31F3-42FC-89AE-6EAD61EDFD58}">
            <xm:f>NOT(ISERROR(SEARCH($K$31,K30)))</xm:f>
            <xm:f>$K$31</xm:f>
            <x14:dxf>
              <fill>
                <patternFill>
                  <bgColor theme="0" tint="-0.24994659260841701"/>
                </patternFill>
              </fill>
            </x14:dxf>
          </x14:cfRule>
          <x14:cfRule type="containsText" priority="20" operator="containsText" id="{A1A167A4-1E36-4C45-A213-3B4A9AC3423B}">
            <xm:f>NOT(ISERROR(SEARCH($K$30,K30)))</xm:f>
            <xm:f>$K$30</xm:f>
            <x14:dxf>
              <fill>
                <patternFill>
                  <bgColor theme="0" tint="-0.34998626667073579"/>
                </patternFill>
              </fill>
            </x14:dxf>
          </x14:cfRule>
          <xm:sqref>K30:K33</xm:sqref>
        </x14:conditionalFormatting>
        <x14:conditionalFormatting xmlns:xm="http://schemas.microsoft.com/office/excel/2006/main">
          <x14:cfRule type="containsText" priority="13" operator="containsText" id="{17E8EA9C-8DD4-451A-83AC-788FEDFDC490}">
            <xm:f>NOT(ISERROR(SEARCH($K$33,K45)))</xm:f>
            <xm:f>$K$33</xm:f>
            <x14:dxf>
              <fill>
                <patternFill>
                  <bgColor theme="7" tint="0.79998168889431442"/>
                </patternFill>
              </fill>
            </x14:dxf>
          </x14:cfRule>
          <x14:cfRule type="containsText" priority="14" operator="containsText" id="{24BF8B95-82B5-4872-B10D-B2D29AFF105E}">
            <xm:f>NOT(ISERROR(SEARCH($K$32,K45)))</xm:f>
            <xm:f>$K$32</xm:f>
            <x14:dxf>
              <fill>
                <patternFill>
                  <bgColor theme="5" tint="0.79998168889431442"/>
                </patternFill>
              </fill>
            </x14:dxf>
          </x14:cfRule>
          <x14:cfRule type="containsText" priority="15" operator="containsText" id="{D4FC85CE-674A-4E88-9E90-271FC992DE7A}">
            <xm:f>NOT(ISERROR(SEARCH($K$31,K45)))</xm:f>
            <xm:f>$K$31</xm:f>
            <x14:dxf>
              <fill>
                <patternFill>
                  <bgColor theme="0" tint="-0.24994659260841701"/>
                </patternFill>
              </fill>
            </x14:dxf>
          </x14:cfRule>
          <x14:cfRule type="containsText" priority="16" operator="containsText" id="{B4AA3EC0-4317-4B8C-9132-C35ED79A33A2}">
            <xm:f>NOT(ISERROR(SEARCH($K$30,K45)))</xm:f>
            <xm:f>$K$30</xm:f>
            <x14:dxf>
              <fill>
                <patternFill>
                  <bgColor theme="0" tint="-0.34998626667073579"/>
                </patternFill>
              </fill>
            </x14:dxf>
          </x14:cfRule>
          <xm:sqref>K45:K48</xm:sqref>
        </x14:conditionalFormatting>
        <x14:conditionalFormatting xmlns:xm="http://schemas.microsoft.com/office/excel/2006/main">
          <x14:cfRule type="containsText" priority="9" operator="containsText" id="{FD59FBDB-D632-44D5-9C87-23C74A1E45AE}">
            <xm:f>NOT(ISERROR(SEARCH($K$33,Q45)))</xm:f>
            <xm:f>$K$33</xm:f>
            <x14:dxf>
              <fill>
                <patternFill>
                  <bgColor theme="7" tint="0.79998168889431442"/>
                </patternFill>
              </fill>
            </x14:dxf>
          </x14:cfRule>
          <x14:cfRule type="containsText" priority="10" operator="containsText" id="{B6390874-67D4-489C-9EDC-7C6E20AE92A0}">
            <xm:f>NOT(ISERROR(SEARCH($K$32,Q45)))</xm:f>
            <xm:f>$K$32</xm:f>
            <x14:dxf>
              <fill>
                <patternFill>
                  <bgColor theme="5" tint="0.79998168889431442"/>
                </patternFill>
              </fill>
            </x14:dxf>
          </x14:cfRule>
          <x14:cfRule type="containsText" priority="11" operator="containsText" id="{60E5EF27-AD6F-47F8-BC02-C6E8A03C7062}">
            <xm:f>NOT(ISERROR(SEARCH($K$31,Q45)))</xm:f>
            <xm:f>$K$31</xm:f>
            <x14:dxf>
              <fill>
                <patternFill>
                  <bgColor theme="0" tint="-0.24994659260841701"/>
                </patternFill>
              </fill>
            </x14:dxf>
          </x14:cfRule>
          <x14:cfRule type="containsText" priority="12" operator="containsText" id="{0FF472B3-E22E-4F57-8CFF-1D840DCA51E8}">
            <xm:f>NOT(ISERROR(SEARCH($K$30,Q45)))</xm:f>
            <xm:f>$K$30</xm:f>
            <x14:dxf>
              <fill>
                <patternFill>
                  <bgColor theme="0" tint="-0.34998626667073579"/>
                </patternFill>
              </fill>
            </x14:dxf>
          </x14:cfRule>
          <xm:sqref>Q45:Q48</xm:sqref>
        </x14:conditionalFormatting>
        <x14:conditionalFormatting xmlns:xm="http://schemas.microsoft.com/office/excel/2006/main">
          <x14:cfRule type="containsText" priority="1" operator="containsText" id="{F7DB73E9-3BE5-437C-91FE-75DAAD2CF789}">
            <xm:f>NOT(ISERROR(SEARCH($K$33,O6)))</xm:f>
            <xm:f>$K$33</xm:f>
            <x14:dxf>
              <fill>
                <patternFill>
                  <bgColor theme="7" tint="0.79998168889431442"/>
                </patternFill>
              </fill>
            </x14:dxf>
          </x14:cfRule>
          <x14:cfRule type="containsText" priority="2" operator="containsText" id="{FF9134C8-E496-4A4F-B7F6-7EF982189D50}">
            <xm:f>NOT(ISERROR(SEARCH($K$32,O6)))</xm:f>
            <xm:f>$K$32</xm:f>
            <x14:dxf>
              <fill>
                <patternFill>
                  <bgColor theme="5" tint="0.79998168889431442"/>
                </patternFill>
              </fill>
            </x14:dxf>
          </x14:cfRule>
          <x14:cfRule type="containsText" priority="3" operator="containsText" id="{DC943C0F-438C-4EBA-B68C-3B87DFA7175B}">
            <xm:f>NOT(ISERROR(SEARCH($K$31,O6)))</xm:f>
            <xm:f>$K$31</xm:f>
            <x14:dxf>
              <fill>
                <patternFill>
                  <bgColor theme="0" tint="-0.24994659260841701"/>
                </patternFill>
              </fill>
            </x14:dxf>
          </x14:cfRule>
          <x14:cfRule type="containsText" priority="4" operator="containsText" id="{4EC6C3A9-C204-4A74-A7E9-E015AB49E1F7}">
            <xm:f>NOT(ISERROR(SEARCH($K$30,O6)))</xm:f>
            <xm:f>$K$30</xm:f>
            <x14:dxf>
              <fill>
                <patternFill>
                  <bgColor theme="0" tint="-0.34998626667073579"/>
                </patternFill>
              </fill>
            </x14:dxf>
          </x14:cfRule>
          <xm:sqref>O6:O19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2BB43-6825-4DB9-BDA5-BAD8B9C7CF26}">
  <dimension ref="A2:W49"/>
  <sheetViews>
    <sheetView showGridLines="0" topLeftCell="D1" zoomScale="85" zoomScaleNormal="85" workbookViewId="0">
      <selection activeCell="G26" sqref="G26:K26"/>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8" max="10" width="18.85546875" customWidth="1"/>
    <col min="11" max="11" width="16.28515625" customWidth="1"/>
    <col min="12" max="12" width="6.5703125" customWidth="1"/>
    <col min="13" max="13" width="10.5703125" customWidth="1"/>
    <col min="14" max="14" width="12.28515625" customWidth="1"/>
    <col min="15" max="16" width="20.28515625" customWidth="1"/>
    <col min="17" max="17" width="14.7109375" customWidth="1"/>
    <col min="18" max="20" width="20.28515625" customWidth="1"/>
    <col min="22" max="22" width="5.28515625" customWidth="1"/>
    <col min="23" max="23" width="16.85546875" customWidth="1"/>
    <col min="25" max="25" width="17.7109375" customWidth="1"/>
  </cols>
  <sheetData>
    <row r="2" spans="1:23" ht="15.75" thickBot="1" x14ac:dyDescent="0.3">
      <c r="D2" s="269" t="s">
        <v>381</v>
      </c>
      <c r="E2" s="269"/>
      <c r="F2" s="269"/>
    </row>
    <row r="3" spans="1:23" ht="15.75" thickTop="1" x14ac:dyDescent="0.25">
      <c r="D3" s="98"/>
      <c r="E3" s="98" t="s">
        <v>382</v>
      </c>
      <c r="F3" s="98" t="s">
        <v>383</v>
      </c>
    </row>
    <row r="4" spans="1:23" x14ac:dyDescent="0.25">
      <c r="D4" s="78" t="s">
        <v>384</v>
      </c>
      <c r="E4" s="99">
        <v>0</v>
      </c>
      <c r="F4" s="98">
        <v>10</v>
      </c>
    </row>
    <row r="5" spans="1:23" x14ac:dyDescent="0.25">
      <c r="D5" s="78" t="s">
        <v>385</v>
      </c>
      <c r="E5" s="98">
        <v>10</v>
      </c>
      <c r="F5" s="98">
        <v>22.3</v>
      </c>
    </row>
    <row r="6" spans="1:23" x14ac:dyDescent="0.25">
      <c r="D6" s="78" t="s">
        <v>386</v>
      </c>
      <c r="E6" s="98">
        <v>22.3</v>
      </c>
      <c r="F6" s="98">
        <v>31.1</v>
      </c>
    </row>
    <row r="7" spans="1:23" x14ac:dyDescent="0.25">
      <c r="D7" s="78" t="s">
        <v>387</v>
      </c>
      <c r="E7" s="98">
        <v>31.1</v>
      </c>
      <c r="F7" s="99">
        <v>100</v>
      </c>
    </row>
    <row r="8" spans="1:23" ht="15.75" x14ac:dyDescent="0.25">
      <c r="K8" s="271" t="s">
        <v>448</v>
      </c>
      <c r="L8" s="271"/>
      <c r="M8" s="271"/>
      <c r="N8" s="271"/>
      <c r="O8" s="271"/>
      <c r="P8" s="271"/>
      <c r="Q8" s="271"/>
      <c r="R8" s="271"/>
      <c r="S8" s="183"/>
      <c r="T8" s="183"/>
    </row>
    <row r="9" spans="1:23" ht="30" x14ac:dyDescent="0.25">
      <c r="A9" t="s">
        <v>474</v>
      </c>
      <c r="C9" s="179" t="s">
        <v>341</v>
      </c>
      <c r="D9" s="179" t="s">
        <v>7</v>
      </c>
      <c r="E9" s="179" t="s">
        <v>4</v>
      </c>
      <c r="F9" s="179" t="s">
        <v>5</v>
      </c>
      <c r="G9" s="179" t="s">
        <v>6</v>
      </c>
      <c r="H9" s="181" t="s">
        <v>438</v>
      </c>
      <c r="I9" s="181" t="s">
        <v>436</v>
      </c>
      <c r="J9" s="181" t="s">
        <v>437</v>
      </c>
      <c r="K9" s="179" t="s">
        <v>442</v>
      </c>
      <c r="L9" s="179" t="s">
        <v>439</v>
      </c>
      <c r="M9" s="179" t="s">
        <v>440</v>
      </c>
      <c r="N9" s="179" t="s">
        <v>443</v>
      </c>
      <c r="O9" s="179" t="s">
        <v>444</v>
      </c>
      <c r="P9" s="179" t="s">
        <v>445</v>
      </c>
      <c r="Q9" s="179" t="s">
        <v>446</v>
      </c>
      <c r="R9" s="179" t="s">
        <v>447</v>
      </c>
      <c r="S9" s="179" t="s">
        <v>441</v>
      </c>
      <c r="T9" s="181" t="s">
        <v>450</v>
      </c>
      <c r="U9" s="5" t="s">
        <v>11</v>
      </c>
      <c r="V9" s="5"/>
      <c r="W9" s="5" t="s">
        <v>348</v>
      </c>
    </row>
    <row r="10" spans="1:23" x14ac:dyDescent="0.25">
      <c r="C10" s="76" t="e" vm="1">
        <v>#VALUE!</v>
      </c>
      <c r="D10" s="18" t="s">
        <v>30</v>
      </c>
      <c r="E10" s="18" t="s">
        <v>27</v>
      </c>
      <c r="F10" s="18" t="s">
        <v>28</v>
      </c>
      <c r="G10" s="81" t="s">
        <v>29</v>
      </c>
      <c r="H10" s="182"/>
      <c r="I10" s="182"/>
      <c r="J10" s="182"/>
      <c r="K10" s="185">
        <v>0</v>
      </c>
      <c r="L10" s="185">
        <v>0</v>
      </c>
      <c r="M10" s="185">
        <v>0</v>
      </c>
      <c r="N10" s="185">
        <v>0</v>
      </c>
      <c r="O10" s="185">
        <v>0</v>
      </c>
      <c r="P10" s="185">
        <v>0</v>
      </c>
      <c r="Q10" s="185">
        <v>0</v>
      </c>
      <c r="R10" s="185">
        <v>0</v>
      </c>
      <c r="S10" s="185">
        <v>119308.68268493151</v>
      </c>
      <c r="T10" s="184">
        <f>+M10</f>
        <v>0</v>
      </c>
      <c r="U10" s="76">
        <f>11.3+(14.4-11.3)/2</f>
        <v>12.850000000000001</v>
      </c>
      <c r="V10" s="79"/>
      <c r="W10" s="79" t="str">
        <f t="shared" ref="W10:W19" si="0">+IF(G10="Gas","Doesn't Apply",IF(U10&lt;$F$4,$D$4,IF(U10&lt;$F$5,$D$5,IF(U10&lt;$F$6,$D$6,IF(U10&gt;$E$7,$D$7,"Doesn't Apply")))))</f>
        <v>Heavy Oil</v>
      </c>
    </row>
    <row r="11" spans="1:23" x14ac:dyDescent="0.25">
      <c r="C11" s="76" t="e" vm="1">
        <v>#VALUE!</v>
      </c>
      <c r="D11" s="18" t="s">
        <v>30</v>
      </c>
      <c r="E11" s="18" t="s">
        <v>45</v>
      </c>
      <c r="F11" s="18" t="s">
        <v>28</v>
      </c>
      <c r="G11" s="81" t="s">
        <v>46</v>
      </c>
      <c r="H11" s="182"/>
      <c r="I11" s="182"/>
      <c r="J11" s="182"/>
      <c r="K11" s="185">
        <v>0</v>
      </c>
      <c r="L11" s="185">
        <v>0</v>
      </c>
      <c r="M11" s="185">
        <v>0</v>
      </c>
      <c r="N11" s="185">
        <v>0</v>
      </c>
      <c r="O11" s="185">
        <v>0</v>
      </c>
      <c r="P11" s="185">
        <v>0</v>
      </c>
      <c r="Q11" s="185">
        <v>0</v>
      </c>
      <c r="R11" s="185">
        <v>0</v>
      </c>
      <c r="S11" s="185">
        <v>114056.06200000001</v>
      </c>
      <c r="T11" s="184">
        <f t="shared" ref="T11:T29" si="1">+M11</f>
        <v>0</v>
      </c>
      <c r="U11" s="76">
        <v>13.7</v>
      </c>
      <c r="V11" s="79"/>
      <c r="W11" s="79" t="str">
        <f t="shared" si="0"/>
        <v>Heavy Oil</v>
      </c>
    </row>
    <row r="12" spans="1:23" x14ac:dyDescent="0.25">
      <c r="C12" s="76" t="e" vm="1">
        <v>#VALUE!</v>
      </c>
      <c r="D12" s="18" t="s">
        <v>30</v>
      </c>
      <c r="E12" s="18" t="s">
        <v>60</v>
      </c>
      <c r="F12" s="18" t="s">
        <v>28</v>
      </c>
      <c r="G12" s="81" t="s">
        <v>61</v>
      </c>
      <c r="H12" s="182"/>
      <c r="I12" s="182"/>
      <c r="J12" s="182"/>
      <c r="K12" s="185">
        <v>3.7935616438356163</v>
      </c>
      <c r="L12" s="185">
        <v>0</v>
      </c>
      <c r="M12" s="185">
        <v>0</v>
      </c>
      <c r="N12" s="185">
        <v>2.9221917808219184</v>
      </c>
      <c r="O12" s="185">
        <v>0.87139726027397268</v>
      </c>
      <c r="P12" s="185">
        <v>0</v>
      </c>
      <c r="Q12" s="185">
        <v>0</v>
      </c>
      <c r="R12" s="185">
        <v>0</v>
      </c>
      <c r="S12" s="185">
        <v>69090.784575342463</v>
      </c>
      <c r="T12" s="184">
        <f t="shared" si="1"/>
        <v>0</v>
      </c>
      <c r="U12" s="76">
        <f>7+(20-7)/2</f>
        <v>13.5</v>
      </c>
      <c r="V12" s="79"/>
      <c r="W12" s="79" t="str">
        <f t="shared" si="0"/>
        <v>Heavy Oil</v>
      </c>
    </row>
    <row r="13" spans="1:23" x14ac:dyDescent="0.25">
      <c r="C13" s="76" t="e" vm="2">
        <v>#VALUE!</v>
      </c>
      <c r="D13" s="18" t="s">
        <v>30</v>
      </c>
      <c r="E13" s="18" t="s">
        <v>78</v>
      </c>
      <c r="F13" s="18" t="s">
        <v>79</v>
      </c>
      <c r="G13" s="81" t="s">
        <v>80</v>
      </c>
      <c r="H13" s="182"/>
      <c r="I13" s="182"/>
      <c r="J13" s="182"/>
      <c r="K13" s="185">
        <v>6.7767123287671236</v>
      </c>
      <c r="L13" s="185">
        <v>0</v>
      </c>
      <c r="M13" s="185">
        <v>0</v>
      </c>
      <c r="N13" s="185">
        <v>1.6441095890410957</v>
      </c>
      <c r="O13" s="185">
        <v>1.396739726027397</v>
      </c>
      <c r="P13" s="185">
        <v>3.7358630136986304</v>
      </c>
      <c r="Q13" s="185">
        <v>0</v>
      </c>
      <c r="R13" s="185">
        <v>0</v>
      </c>
      <c r="S13" s="185">
        <v>42334.39687671233</v>
      </c>
      <c r="T13" s="184">
        <f t="shared" si="1"/>
        <v>0</v>
      </c>
      <c r="U13" s="76">
        <f>20+(25-20)/2</f>
        <v>22.5</v>
      </c>
      <c r="V13" s="79"/>
      <c r="W13" s="79" t="str">
        <f t="shared" si="0"/>
        <v>Medium Oil</v>
      </c>
    </row>
    <row r="14" spans="1:23" x14ac:dyDescent="0.25">
      <c r="C14" s="76" t="e" vm="4">
        <v>#VALUE!</v>
      </c>
      <c r="D14" s="18" t="s">
        <v>30</v>
      </c>
      <c r="E14" s="18" t="s">
        <v>124</v>
      </c>
      <c r="F14" s="18" t="s">
        <v>79</v>
      </c>
      <c r="G14" s="81" t="s">
        <v>125</v>
      </c>
      <c r="H14" s="182"/>
      <c r="I14" s="182"/>
      <c r="J14" s="182"/>
      <c r="K14" s="185">
        <v>5.0572054794520547</v>
      </c>
      <c r="L14" s="185">
        <v>0</v>
      </c>
      <c r="M14" s="185">
        <v>0</v>
      </c>
      <c r="N14" s="185">
        <v>0.21123287671232879</v>
      </c>
      <c r="O14" s="185">
        <v>2.4027123287671235</v>
      </c>
      <c r="P14" s="185">
        <v>0</v>
      </c>
      <c r="Q14" s="185">
        <v>0</v>
      </c>
      <c r="R14" s="185">
        <v>2.4430958904109596</v>
      </c>
      <c r="S14" s="185">
        <v>17849.99879452055</v>
      </c>
      <c r="T14" s="184">
        <f t="shared" si="1"/>
        <v>0</v>
      </c>
      <c r="U14" s="76">
        <v>21</v>
      </c>
      <c r="V14" s="79"/>
      <c r="W14" s="79" t="str">
        <f t="shared" si="0"/>
        <v>Heavy Oil</v>
      </c>
    </row>
    <row r="15" spans="1:23" x14ac:dyDescent="0.25">
      <c r="C15" s="76" t="e" vm="5">
        <v>#VALUE!</v>
      </c>
      <c r="D15" s="18" t="s">
        <v>30</v>
      </c>
      <c r="E15" s="18" t="s">
        <v>139</v>
      </c>
      <c r="F15" s="18" t="s">
        <v>79</v>
      </c>
      <c r="G15" s="81" t="s">
        <v>140</v>
      </c>
      <c r="H15" s="182"/>
      <c r="I15" s="182"/>
      <c r="J15" s="182"/>
      <c r="K15" s="185">
        <v>1.1894794520547947</v>
      </c>
      <c r="L15" s="185">
        <v>0</v>
      </c>
      <c r="M15" s="185">
        <v>0</v>
      </c>
      <c r="N15" s="185">
        <v>0.23397260273972598</v>
      </c>
      <c r="O15" s="185">
        <v>0.95542465753424666</v>
      </c>
      <c r="P15" s="185">
        <v>0</v>
      </c>
      <c r="Q15" s="185">
        <v>0</v>
      </c>
      <c r="R15" s="185">
        <v>0</v>
      </c>
      <c r="S15" s="185">
        <v>12119.396575342465</v>
      </c>
      <c r="T15" s="184">
        <f t="shared" si="1"/>
        <v>0</v>
      </c>
      <c r="U15" s="76">
        <v>21</v>
      </c>
      <c r="V15" s="79"/>
      <c r="W15" s="79" t="str">
        <f t="shared" si="0"/>
        <v>Heavy Oil</v>
      </c>
    </row>
    <row r="16" spans="1:23" x14ac:dyDescent="0.25">
      <c r="C16" s="76" t="e" vm="7">
        <v>#VALUE!</v>
      </c>
      <c r="D16" s="18" t="s">
        <v>30</v>
      </c>
      <c r="E16" s="18" t="s">
        <v>255</v>
      </c>
      <c r="F16" s="18" t="s">
        <v>28</v>
      </c>
      <c r="G16" s="81" t="s">
        <v>256</v>
      </c>
      <c r="H16" s="182"/>
      <c r="I16" s="182"/>
      <c r="J16" s="182"/>
      <c r="K16" s="185">
        <v>649.4862739726027</v>
      </c>
      <c r="L16" s="185">
        <v>0</v>
      </c>
      <c r="M16" s="185">
        <v>396.38389041095888</v>
      </c>
      <c r="N16" s="185">
        <v>2.2383835616438361</v>
      </c>
      <c r="O16" s="185">
        <v>38.275260273972606</v>
      </c>
      <c r="P16" s="185">
        <v>16.510794520547947</v>
      </c>
      <c r="Q16" s="185">
        <v>8.2636712328767121</v>
      </c>
      <c r="R16" s="185">
        <v>196.07800000000003</v>
      </c>
      <c r="S16" s="185">
        <v>10231.853999999999</v>
      </c>
      <c r="T16" s="184">
        <f t="shared" si="1"/>
        <v>396.38389041095888</v>
      </c>
      <c r="U16" s="76">
        <v>48</v>
      </c>
      <c r="V16" s="79"/>
      <c r="W16" s="79" t="str">
        <f t="shared" si="0"/>
        <v>Light Oil</v>
      </c>
    </row>
    <row r="17" spans="3:23" x14ac:dyDescent="0.25">
      <c r="C17" s="76" t="e" vm="7">
        <v>#VALUE!</v>
      </c>
      <c r="D17" s="18" t="s">
        <v>30</v>
      </c>
      <c r="E17" s="18" t="s">
        <v>269</v>
      </c>
      <c r="F17" s="18" t="s">
        <v>28</v>
      </c>
      <c r="G17" s="81" t="s">
        <v>270</v>
      </c>
      <c r="H17" s="182"/>
      <c r="I17" s="182"/>
      <c r="J17" s="182"/>
      <c r="K17" s="185">
        <v>277.37400000000002</v>
      </c>
      <c r="L17" s="185">
        <v>0</v>
      </c>
      <c r="M17" s="185">
        <v>50.500383561643829</v>
      </c>
      <c r="N17" s="185">
        <v>1.1420547945205479</v>
      </c>
      <c r="O17" s="185">
        <v>30.359369863013697</v>
      </c>
      <c r="P17" s="185">
        <v>30.377342465753429</v>
      </c>
      <c r="Q17" s="185">
        <v>30.352082191780823</v>
      </c>
      <c r="R17" s="185">
        <v>164.99443835616438</v>
      </c>
      <c r="S17" s="185">
        <v>3182.6220821917809</v>
      </c>
      <c r="T17" s="184">
        <f t="shared" si="1"/>
        <v>50.500383561643829</v>
      </c>
      <c r="U17" s="76">
        <v>52</v>
      </c>
      <c r="V17" s="79"/>
      <c r="W17" s="79" t="str">
        <f t="shared" si="0"/>
        <v>Light Oil</v>
      </c>
    </row>
    <row r="18" spans="3:23" x14ac:dyDescent="0.25">
      <c r="C18" s="76" t="e" vm="7">
        <v>#VALUE!</v>
      </c>
      <c r="D18" s="18" t="s">
        <v>30</v>
      </c>
      <c r="E18" s="18" t="s">
        <v>276</v>
      </c>
      <c r="F18" s="18" t="s">
        <v>28</v>
      </c>
      <c r="G18" s="81" t="s">
        <v>277</v>
      </c>
      <c r="H18" s="182"/>
      <c r="I18" s="182"/>
      <c r="J18" s="182"/>
      <c r="K18" s="185">
        <v>435.4008767123288</v>
      </c>
      <c r="L18" s="185">
        <v>0</v>
      </c>
      <c r="M18" s="185">
        <v>225.24104109589044</v>
      </c>
      <c r="N18" s="185">
        <v>1.2202465753424658</v>
      </c>
      <c r="O18" s="185">
        <v>9.0779452054794518</v>
      </c>
      <c r="P18" s="185">
        <v>142.09446575342469</v>
      </c>
      <c r="Q18" s="185">
        <v>0</v>
      </c>
      <c r="R18" s="185">
        <v>57.767424657534249</v>
      </c>
      <c r="S18" s="185">
        <v>27008.407917808221</v>
      </c>
      <c r="T18" s="184">
        <f t="shared" si="1"/>
        <v>225.24104109589044</v>
      </c>
      <c r="U18" s="76">
        <v>46</v>
      </c>
      <c r="V18" s="79"/>
      <c r="W18" s="79" t="str">
        <f t="shared" si="0"/>
        <v>Light Oil</v>
      </c>
    </row>
    <row r="19" spans="3:23" x14ac:dyDescent="0.25">
      <c r="C19" s="76" t="e" vm="7">
        <v>#VALUE!</v>
      </c>
      <c r="D19" s="18" t="s">
        <v>30</v>
      </c>
      <c r="E19" s="18" t="s">
        <v>276</v>
      </c>
      <c r="F19" s="18" t="s">
        <v>28</v>
      </c>
      <c r="G19" s="81" t="s">
        <v>290</v>
      </c>
      <c r="H19" s="182"/>
      <c r="I19" s="182"/>
      <c r="J19" s="182"/>
      <c r="K19" s="185">
        <v>114.48408219178081</v>
      </c>
      <c r="L19" s="185">
        <v>0</v>
      </c>
      <c r="M19" s="185">
        <v>111.18394520547945</v>
      </c>
      <c r="N19" s="185">
        <v>0.37649315068493155</v>
      </c>
      <c r="O19" s="185">
        <v>2.923643835616438</v>
      </c>
      <c r="P19" s="185">
        <v>0</v>
      </c>
      <c r="Q19" s="185">
        <v>0</v>
      </c>
      <c r="R19" s="185">
        <v>0</v>
      </c>
      <c r="S19" s="185">
        <v>4583.6177808219181</v>
      </c>
      <c r="T19" s="184">
        <f t="shared" si="1"/>
        <v>111.18394520547945</v>
      </c>
      <c r="U19" s="76">
        <f>44+((47-44)/2)</f>
        <v>45.5</v>
      </c>
      <c r="V19" s="79"/>
      <c r="W19" s="79" t="str">
        <f t="shared" si="0"/>
        <v>Light Oil</v>
      </c>
    </row>
    <row r="20" spans="3:23" x14ac:dyDescent="0.25">
      <c r="C20" s="76" t="e" vm="8">
        <v>#VALUE!</v>
      </c>
      <c r="D20" s="18" t="s">
        <v>30</v>
      </c>
      <c r="E20" s="18" t="s">
        <v>300</v>
      </c>
      <c r="F20" s="18" t="s">
        <v>299</v>
      </c>
      <c r="G20" s="81" t="s">
        <v>301</v>
      </c>
      <c r="H20" s="182"/>
      <c r="I20" s="182"/>
      <c r="J20" s="182"/>
      <c r="K20" s="185">
        <v>162.95279452054797</v>
      </c>
      <c r="L20" s="185">
        <v>0</v>
      </c>
      <c r="M20" s="185">
        <v>0</v>
      </c>
      <c r="N20" s="185">
        <v>0.22493150684931507</v>
      </c>
      <c r="O20" s="185">
        <v>6.5319452054794507</v>
      </c>
      <c r="P20" s="185">
        <v>13.287095890410958</v>
      </c>
      <c r="Q20" s="185">
        <v>0</v>
      </c>
      <c r="R20" s="185">
        <v>142.90884931506849</v>
      </c>
      <c r="S20" s="185">
        <v>0</v>
      </c>
      <c r="T20" s="184">
        <f t="shared" si="1"/>
        <v>0</v>
      </c>
      <c r="U20" s="76" t="s">
        <v>31</v>
      </c>
      <c r="V20" s="79" t="s">
        <v>435</v>
      </c>
      <c r="W20" s="79" t="str">
        <f>+IF(V20="Gas","Doesn't Apply",IF(U20&lt;$F$4,$D$4,IF(U20&lt;$F$5,$D$5,IF(U20&lt;$F$6,$D$6,IF(U20&gt;$E$7,$D$7,"Doesn't Apply")))))</f>
        <v>Doesn't Apply</v>
      </c>
    </row>
    <row r="21" spans="3:23" x14ac:dyDescent="0.25">
      <c r="C21" s="76" t="e" vm="8">
        <v>#VALUE!</v>
      </c>
      <c r="D21" s="18" t="s">
        <v>30</v>
      </c>
      <c r="E21" s="18" t="s">
        <v>300</v>
      </c>
      <c r="F21" s="18" t="s">
        <v>299</v>
      </c>
      <c r="G21" s="81" t="s">
        <v>311</v>
      </c>
      <c r="H21" s="182"/>
      <c r="I21" s="182"/>
      <c r="J21" s="182"/>
      <c r="K21" s="185">
        <v>23.174301369863016</v>
      </c>
      <c r="L21" s="185">
        <v>0</v>
      </c>
      <c r="M21" s="185">
        <v>0</v>
      </c>
      <c r="N21" s="185">
        <v>2.701369863013699E-2</v>
      </c>
      <c r="O21" s="185">
        <v>0.11695890410958903</v>
      </c>
      <c r="P21" s="185">
        <v>1.9608219178082194</v>
      </c>
      <c r="Q21" s="185">
        <v>0</v>
      </c>
      <c r="R21" s="185">
        <v>21.069616438356167</v>
      </c>
      <c r="S21" s="185">
        <v>0</v>
      </c>
      <c r="T21" s="184">
        <f t="shared" si="1"/>
        <v>0</v>
      </c>
      <c r="U21" s="76" t="s">
        <v>31</v>
      </c>
      <c r="V21" s="79" t="s">
        <v>435</v>
      </c>
      <c r="W21" s="79" t="str">
        <f>+IF(V21="Gas","Doesn't Apply",IF(U21&lt;$F$4,$D$4,IF(U21&lt;$F$5,$D$5,IF(U21&lt;$F$6,$D$6,IF(U21&gt;$E$7,$D$7,"Doesn't Apply")))))</f>
        <v>Doesn't Apply</v>
      </c>
    </row>
    <row r="22" spans="3:23" x14ac:dyDescent="0.25">
      <c r="C22" s="76" t="e" vm="1">
        <v>#VALUE!</v>
      </c>
      <c r="D22" s="18" t="s">
        <v>30</v>
      </c>
      <c r="E22" s="18" t="s">
        <v>60</v>
      </c>
      <c r="F22" s="18" t="s">
        <v>460</v>
      </c>
      <c r="G22" s="81" t="s">
        <v>342</v>
      </c>
      <c r="H22" s="182"/>
      <c r="I22" s="182"/>
      <c r="J22" s="182"/>
      <c r="K22" s="185">
        <v>0.58205479452054798</v>
      </c>
      <c r="L22" s="185">
        <v>0</v>
      </c>
      <c r="M22" s="185">
        <v>0</v>
      </c>
      <c r="N22" s="185">
        <v>0.58205479452054798</v>
      </c>
      <c r="O22" s="185">
        <v>0</v>
      </c>
      <c r="P22" s="185">
        <v>0</v>
      </c>
      <c r="Q22" s="185">
        <v>0</v>
      </c>
      <c r="R22" s="185">
        <v>0</v>
      </c>
      <c r="S22" s="185">
        <v>19756.607616438356</v>
      </c>
      <c r="T22" s="184">
        <f t="shared" si="1"/>
        <v>0</v>
      </c>
      <c r="U22" s="76">
        <v>8</v>
      </c>
      <c r="V22" s="79"/>
      <c r="W22" s="79" t="str">
        <f t="shared" ref="W22:W28" si="2">+IF(V22="Gas","Doesn't Apply",IF(U22&lt;$F$4,$D$4,IF(U22&lt;$F$5,$D$5,IF(U22&lt;$F$6,$D$6,IF(U22&gt;$E$7,$D$7,"Doesn't Apply")))))</f>
        <v>Extra Heavy Oil</v>
      </c>
    </row>
    <row r="23" spans="3:23" x14ac:dyDescent="0.25">
      <c r="C23" s="76" t="e" vm="9">
        <v>#VALUE!</v>
      </c>
      <c r="D23" s="18" t="s">
        <v>30</v>
      </c>
      <c r="E23" s="18" t="s">
        <v>452</v>
      </c>
      <c r="F23" s="18" t="s">
        <v>458</v>
      </c>
      <c r="G23" s="81" t="s">
        <v>343</v>
      </c>
      <c r="H23" s="182"/>
      <c r="I23" s="182"/>
      <c r="J23" s="182"/>
      <c r="K23" s="185">
        <v>1.9275342465753424</v>
      </c>
      <c r="L23" s="185">
        <v>0</v>
      </c>
      <c r="M23" s="185">
        <v>0</v>
      </c>
      <c r="N23" s="185">
        <v>0.22805479452054794</v>
      </c>
      <c r="O23" s="185">
        <v>0.10339726027397263</v>
      </c>
      <c r="P23" s="185">
        <v>1.5925479452054794</v>
      </c>
      <c r="Q23" s="185">
        <v>0.55931506849315071</v>
      </c>
      <c r="R23" s="185">
        <v>3.4794520547945205E-3</v>
      </c>
      <c r="S23" s="185">
        <v>4684.6815890410962</v>
      </c>
      <c r="T23" s="184">
        <f t="shared" si="1"/>
        <v>0</v>
      </c>
      <c r="U23" s="76">
        <v>23</v>
      </c>
      <c r="V23" s="79"/>
      <c r="W23" s="79" t="str">
        <f t="shared" si="2"/>
        <v>Medium Oil</v>
      </c>
    </row>
    <row r="24" spans="3:23" x14ac:dyDescent="0.25">
      <c r="C24" s="76" t="e" vm="9">
        <v>#VALUE!</v>
      </c>
      <c r="D24" s="18" t="s">
        <v>30</v>
      </c>
      <c r="E24" s="18" t="s">
        <v>453</v>
      </c>
      <c r="F24" s="18" t="s">
        <v>458</v>
      </c>
      <c r="G24" s="81" t="s">
        <v>344</v>
      </c>
      <c r="H24" s="182"/>
      <c r="I24" s="182"/>
      <c r="J24" s="182"/>
      <c r="K24" s="185">
        <v>0.86709589041095891</v>
      </c>
      <c r="L24" s="185">
        <v>0</v>
      </c>
      <c r="M24" s="185">
        <v>0</v>
      </c>
      <c r="N24" s="185">
        <v>0.41205479452054788</v>
      </c>
      <c r="O24" s="185">
        <v>0.45498630136986301</v>
      </c>
      <c r="P24" s="185">
        <v>0</v>
      </c>
      <c r="Q24" s="185">
        <v>0</v>
      </c>
      <c r="R24" s="185">
        <v>0</v>
      </c>
      <c r="S24" s="185">
        <v>4154.1152328767121</v>
      </c>
      <c r="T24" s="184">
        <f t="shared" si="1"/>
        <v>0</v>
      </c>
      <c r="U24" s="76">
        <v>25.5</v>
      </c>
      <c r="V24" s="79"/>
      <c r="W24" s="79" t="str">
        <f t="shared" si="2"/>
        <v>Medium Oil</v>
      </c>
    </row>
    <row r="25" spans="3:23" x14ac:dyDescent="0.25">
      <c r="C25" s="76" t="e" vm="9">
        <v>#VALUE!</v>
      </c>
      <c r="D25" s="18" t="s">
        <v>30</v>
      </c>
      <c r="E25" s="18" t="s">
        <v>454</v>
      </c>
      <c r="F25" s="18" t="s">
        <v>458</v>
      </c>
      <c r="G25" s="193" t="s">
        <v>345</v>
      </c>
      <c r="H25" s="182"/>
      <c r="I25" s="182"/>
      <c r="J25" s="182"/>
      <c r="K25" s="185">
        <v>1.1908493150684931</v>
      </c>
      <c r="L25" s="185">
        <v>0</v>
      </c>
      <c r="M25" s="185">
        <v>0</v>
      </c>
      <c r="N25" s="185">
        <v>1.5506849315068495E-2</v>
      </c>
      <c r="O25" s="185">
        <v>0</v>
      </c>
      <c r="P25" s="185">
        <v>1.1751506849315068</v>
      </c>
      <c r="Q25" s="185">
        <v>0.52964383561643835</v>
      </c>
      <c r="R25" s="185">
        <v>0</v>
      </c>
      <c r="S25" s="185">
        <v>3941.1335068493149</v>
      </c>
      <c r="T25" s="184">
        <f t="shared" si="1"/>
        <v>0</v>
      </c>
      <c r="U25" s="76">
        <v>21</v>
      </c>
      <c r="V25" s="79"/>
      <c r="W25" s="79" t="str">
        <f t="shared" si="2"/>
        <v>Heavy Oil</v>
      </c>
    </row>
    <row r="26" spans="3:23" x14ac:dyDescent="0.25">
      <c r="C26" s="76" t="e" vm="1">
        <v>#VALUE!</v>
      </c>
      <c r="D26" s="18" t="s">
        <v>30</v>
      </c>
      <c r="E26" s="18" t="s">
        <v>455</v>
      </c>
      <c r="F26" s="18" t="s">
        <v>460</v>
      </c>
      <c r="G26" s="81" t="s">
        <v>346</v>
      </c>
      <c r="H26" s="182"/>
      <c r="I26" s="182"/>
      <c r="J26" s="182"/>
      <c r="K26" s="185">
        <v>0.23827397260273972</v>
      </c>
      <c r="L26" s="185">
        <v>0</v>
      </c>
      <c r="M26" s="185">
        <v>0</v>
      </c>
      <c r="N26" s="185">
        <v>0.1378630136986301</v>
      </c>
      <c r="O26" s="185">
        <v>0.10038356164383562</v>
      </c>
      <c r="P26" s="185">
        <v>0</v>
      </c>
      <c r="Q26" s="185">
        <v>0</v>
      </c>
      <c r="R26" s="185">
        <v>0</v>
      </c>
      <c r="S26" s="185">
        <v>1476.5236986301368</v>
      </c>
      <c r="T26" s="184">
        <f t="shared" si="1"/>
        <v>0</v>
      </c>
      <c r="U26" s="76">
        <v>13.5</v>
      </c>
      <c r="V26" s="79"/>
      <c r="W26" s="79" t="str">
        <f t="shared" si="2"/>
        <v>Heavy Oil</v>
      </c>
    </row>
    <row r="27" spans="3:23" x14ac:dyDescent="0.25">
      <c r="C27" s="76" t="e" vm="5">
        <v>#VALUE!</v>
      </c>
      <c r="D27" s="18" t="s">
        <v>30</v>
      </c>
      <c r="E27" s="18" t="s">
        <v>456</v>
      </c>
      <c r="F27" s="18" t="s">
        <v>79</v>
      </c>
      <c r="G27" s="81" t="s">
        <v>347</v>
      </c>
      <c r="H27" s="182"/>
      <c r="I27" s="182"/>
      <c r="J27" s="182"/>
      <c r="K27" s="185">
        <v>0.23827397260273972</v>
      </c>
      <c r="L27" s="185">
        <v>0</v>
      </c>
      <c r="M27" s="185">
        <v>0</v>
      </c>
      <c r="N27" s="185">
        <v>0.1378630136986301</v>
      </c>
      <c r="O27" s="185">
        <v>0.10038356164383562</v>
      </c>
      <c r="P27" s="185">
        <v>0</v>
      </c>
      <c r="Q27" s="185">
        <v>0</v>
      </c>
      <c r="R27" s="185">
        <v>0</v>
      </c>
      <c r="S27" s="185">
        <v>1476.5236986301368</v>
      </c>
      <c r="T27" s="184">
        <f t="shared" si="1"/>
        <v>0</v>
      </c>
      <c r="U27" s="76">
        <v>12.5</v>
      </c>
      <c r="V27" s="79"/>
      <c r="W27" s="79" t="str">
        <f t="shared" si="2"/>
        <v>Heavy Oil</v>
      </c>
    </row>
    <row r="28" spans="3:23" x14ac:dyDescent="0.25">
      <c r="C28" s="76" t="e" vm="10">
        <v>#VALUE!</v>
      </c>
      <c r="D28" s="18" t="s">
        <v>30</v>
      </c>
      <c r="E28" s="18" t="s">
        <v>457</v>
      </c>
      <c r="F28" s="18" t="s">
        <v>459</v>
      </c>
      <c r="G28" s="81" t="s">
        <v>318</v>
      </c>
      <c r="H28" s="182"/>
      <c r="I28" s="182"/>
      <c r="J28" s="182"/>
      <c r="K28" s="185">
        <v>35.569315068493154</v>
      </c>
      <c r="L28" s="185">
        <v>0</v>
      </c>
      <c r="M28" s="185">
        <v>0</v>
      </c>
      <c r="N28" s="185">
        <v>0</v>
      </c>
      <c r="O28" s="185">
        <v>0</v>
      </c>
      <c r="P28" s="185">
        <v>35.569315068493154</v>
      </c>
      <c r="Q28" s="185">
        <v>3.5723835616438366</v>
      </c>
      <c r="R28" s="185">
        <v>0</v>
      </c>
      <c r="S28" s="185">
        <v>0</v>
      </c>
      <c r="T28" s="184">
        <f t="shared" si="1"/>
        <v>0</v>
      </c>
      <c r="U28" s="76" t="s">
        <v>31</v>
      </c>
      <c r="V28" s="79" t="s">
        <v>435</v>
      </c>
      <c r="W28" s="79" t="str">
        <f t="shared" si="2"/>
        <v>Doesn't Apply</v>
      </c>
    </row>
    <row r="29" spans="3:23" x14ac:dyDescent="0.25">
      <c r="C29" s="76" t="e" vm="11">
        <v>#VALUE!</v>
      </c>
      <c r="D29" s="18" t="s">
        <v>30</v>
      </c>
      <c r="E29" s="18" t="s">
        <v>449</v>
      </c>
      <c r="F29" s="18" t="s">
        <v>461</v>
      </c>
      <c r="G29" s="81" t="s">
        <v>449</v>
      </c>
      <c r="H29" s="182"/>
      <c r="I29" s="182"/>
      <c r="J29" s="182"/>
      <c r="K29" s="185">
        <v>3.4626301369863017</v>
      </c>
      <c r="L29" s="185">
        <v>0</v>
      </c>
      <c r="M29" s="185">
        <v>0</v>
      </c>
      <c r="N29" s="185">
        <v>3.4626301369863017</v>
      </c>
      <c r="O29" s="185">
        <v>0</v>
      </c>
      <c r="P29" s="185">
        <v>0</v>
      </c>
      <c r="Q29" s="185">
        <v>0</v>
      </c>
      <c r="R29" s="185">
        <v>0</v>
      </c>
      <c r="S29" s="185">
        <v>1962.0646849315069</v>
      </c>
      <c r="T29" s="184">
        <f t="shared" si="1"/>
        <v>0</v>
      </c>
      <c r="U29" s="76">
        <v>35</v>
      </c>
      <c r="V29" s="79"/>
      <c r="W29" s="79"/>
    </row>
    <row r="35" spans="5:12" x14ac:dyDescent="0.25">
      <c r="G35" t="s">
        <v>30</v>
      </c>
      <c r="I35" t="s">
        <v>473</v>
      </c>
    </row>
    <row r="36" spans="5:12" x14ac:dyDescent="0.25">
      <c r="E36" s="189" t="e" vm="5">
        <v>#VALUE!</v>
      </c>
      <c r="F36" s="180" t="s">
        <v>462</v>
      </c>
      <c r="G36" s="190">
        <v>14656.498438356164</v>
      </c>
      <c r="H36" s="191">
        <v>2.8564827826612956E-2</v>
      </c>
      <c r="I36" s="180">
        <f>+SUMIF($C$10:C29,E36,S$10:S$29)</f>
        <v>13595.920273972602</v>
      </c>
      <c r="J36" s="180"/>
      <c r="K36" s="192">
        <f>+G36-I36</f>
        <v>1060.5781643835617</v>
      </c>
      <c r="L36" s="191">
        <f>+K36/G36</f>
        <v>7.2362315517874365E-2</v>
      </c>
    </row>
    <row r="37" spans="5:12" x14ac:dyDescent="0.25">
      <c r="E37" s="189" t="e" vm="7">
        <v>#VALUE!</v>
      </c>
      <c r="F37" s="180" t="s">
        <v>463</v>
      </c>
      <c r="G37" s="190">
        <v>49873.263342465754</v>
      </c>
      <c r="H37" s="191">
        <v>9.7200650381855019E-2</v>
      </c>
      <c r="I37" s="180">
        <f ca="1">+SUMIF($C$10:C30,E37,S$10:S$29)</f>
        <v>45006.501780821927</v>
      </c>
      <c r="J37" s="180"/>
      <c r="K37" s="192">
        <f t="shared" ref="K37:K48" ca="1" si="3">+G37-I37</f>
        <v>4866.761561643827</v>
      </c>
      <c r="L37" s="191">
        <f t="shared" ref="L37:L48" ca="1" si="4">+K37/G37</f>
        <v>9.758257702579308E-2</v>
      </c>
    </row>
    <row r="38" spans="5:12" x14ac:dyDescent="0.25">
      <c r="F38" t="s">
        <v>464</v>
      </c>
      <c r="G38" s="187">
        <v>2877.3214794520545</v>
      </c>
      <c r="H38" s="186">
        <v>5.6077645699651466E-3</v>
      </c>
      <c r="I38">
        <f ca="1">+SUMIF($C$10:C31,E38,S$10:S$29)</f>
        <v>0</v>
      </c>
      <c r="K38" s="188">
        <f t="shared" ca="1" si="3"/>
        <v>2877.3214794520545</v>
      </c>
      <c r="L38" s="186">
        <f t="shared" ca="1" si="4"/>
        <v>1</v>
      </c>
    </row>
    <row r="39" spans="5:12" x14ac:dyDescent="0.25">
      <c r="F39" t="s">
        <v>465</v>
      </c>
      <c r="G39" s="187">
        <v>63.741945205479446</v>
      </c>
      <c r="H39" s="186">
        <v>1.2423006066462157E-4</v>
      </c>
      <c r="I39">
        <f ca="1">+SUMIF($C$10:C32,E39,S$10:S$29)</f>
        <v>0</v>
      </c>
      <c r="K39" s="188">
        <f t="shared" ca="1" si="3"/>
        <v>63.741945205479446</v>
      </c>
      <c r="L39" s="186">
        <f t="shared" ca="1" si="4"/>
        <v>1</v>
      </c>
    </row>
    <row r="40" spans="5:12" x14ac:dyDescent="0.25">
      <c r="E40" s="189" t="e" vm="9">
        <v>#VALUE!</v>
      </c>
      <c r="F40" s="180" t="s">
        <v>466</v>
      </c>
      <c r="G40" s="190">
        <v>23392.562712328774</v>
      </c>
      <c r="H40" s="191">
        <v>4.5591007232138166E-2</v>
      </c>
      <c r="I40" s="180">
        <f ca="1">+SUMIF($C$10:C33,E40,S$10:S$29)</f>
        <v>12779.930328767123</v>
      </c>
      <c r="J40" s="180"/>
      <c r="K40" s="192">
        <f t="shared" ca="1" si="3"/>
        <v>10612.632383561651</v>
      </c>
      <c r="L40" s="191">
        <f t="shared" ca="1" si="4"/>
        <v>0.45367549139745977</v>
      </c>
    </row>
    <row r="41" spans="5:12" x14ac:dyDescent="0.25">
      <c r="E41" s="189" t="e" vm="1">
        <v>#VALUE!</v>
      </c>
      <c r="F41" s="180" t="s">
        <v>467</v>
      </c>
      <c r="G41" s="190">
        <v>351063.42304109584</v>
      </c>
      <c r="H41" s="191">
        <v>0.68420614088469911</v>
      </c>
      <c r="I41" s="180">
        <f ca="1">+SUMIF($C$10:C34,E41,S$10:S$29)</f>
        <v>323688.66057534254</v>
      </c>
      <c r="J41" s="180"/>
      <c r="K41" s="192">
        <f t="shared" ca="1" si="3"/>
        <v>27374.762465753302</v>
      </c>
      <c r="L41" s="191">
        <f t="shared" ca="1" si="4"/>
        <v>7.7976686459155231E-2</v>
      </c>
    </row>
    <row r="42" spans="5:12" x14ac:dyDescent="0.25">
      <c r="E42" s="189" t="e" vm="10">
        <v>#VALUE!</v>
      </c>
      <c r="F42" s="180" t="s">
        <v>468</v>
      </c>
      <c r="G42" s="190">
        <v>1502.4393150684932</v>
      </c>
      <c r="H42" s="191">
        <v>2.9281837360656286E-3</v>
      </c>
      <c r="I42" s="180">
        <f ca="1">+SUMIF($C$10:C35,E42,S$10:S$29)</f>
        <v>0</v>
      </c>
      <c r="J42" s="180"/>
      <c r="K42" s="192">
        <f t="shared" ca="1" si="3"/>
        <v>1502.4393150684932</v>
      </c>
      <c r="L42" s="191">
        <f t="shared" ca="1" si="4"/>
        <v>1</v>
      </c>
    </row>
    <row r="43" spans="5:12" x14ac:dyDescent="0.25">
      <c r="E43" s="189" t="e" vm="11">
        <v>#VALUE!</v>
      </c>
      <c r="F43" s="180" t="s">
        <v>451</v>
      </c>
      <c r="G43" s="190">
        <v>5907.8353698630135</v>
      </c>
      <c r="H43" s="191">
        <v>1.1514093961656952E-2</v>
      </c>
      <c r="I43" s="180">
        <f ca="1">+SUMIF($C$10:C36,E43,S$10:S$29)</f>
        <v>1962.0646849315069</v>
      </c>
      <c r="J43" s="180"/>
      <c r="K43" s="192">
        <f t="shared" ca="1" si="3"/>
        <v>3945.7706849315064</v>
      </c>
      <c r="L43" s="191">
        <f t="shared" ca="1" si="4"/>
        <v>0.66788771824273063</v>
      </c>
    </row>
    <row r="44" spans="5:12" x14ac:dyDescent="0.25">
      <c r="F44" t="s">
        <v>464</v>
      </c>
      <c r="G44" s="187">
        <v>2877.3214794520545</v>
      </c>
      <c r="H44" s="186">
        <v>5.6077645699651466E-3</v>
      </c>
      <c r="I44">
        <f ca="1">+SUMIF($C$10:C37,E44,S$10:S$29)</f>
        <v>0</v>
      </c>
      <c r="K44" s="188">
        <f t="shared" ca="1" si="3"/>
        <v>2877.3214794520545</v>
      </c>
      <c r="L44" s="186">
        <f t="shared" ca="1" si="4"/>
        <v>1</v>
      </c>
    </row>
    <row r="45" spans="5:12" x14ac:dyDescent="0.25">
      <c r="E45" s="189" t="e" vm="2">
        <v>#VALUE!</v>
      </c>
      <c r="F45" s="180" t="s">
        <v>469</v>
      </c>
      <c r="G45" s="190">
        <v>56937.26830136987</v>
      </c>
      <c r="H45" s="191">
        <v>0.11096806462926974</v>
      </c>
      <c r="I45" s="180">
        <f ca="1">+SUMIF($C$10:C38,E45,S$10:S$29)</f>
        <v>42334.39687671233</v>
      </c>
      <c r="J45" s="180"/>
      <c r="K45" s="192">
        <f t="shared" ca="1" si="3"/>
        <v>14602.87142465754</v>
      </c>
      <c r="L45" s="191">
        <f t="shared" ca="1" si="4"/>
        <v>0.25647298966582499</v>
      </c>
    </row>
    <row r="46" spans="5:12" x14ac:dyDescent="0.25">
      <c r="F46" t="s">
        <v>470</v>
      </c>
      <c r="G46" s="187">
        <v>33.721452054794518</v>
      </c>
      <c r="H46" s="186">
        <v>6.5721527966581929E-5</v>
      </c>
      <c r="I46">
        <f ca="1">+SUMIF($C$10:C39,E46,S$10:S$29)</f>
        <v>0</v>
      </c>
      <c r="K46" s="188">
        <f t="shared" ca="1" si="3"/>
        <v>33.721452054794518</v>
      </c>
      <c r="L46" s="186">
        <f t="shared" ca="1" si="4"/>
        <v>1</v>
      </c>
    </row>
    <row r="47" spans="5:12" x14ac:dyDescent="0.25">
      <c r="F47" t="s">
        <v>471</v>
      </c>
      <c r="G47" s="187">
        <v>3910.58701369863</v>
      </c>
      <c r="H47" s="186">
        <v>7.6215506191408197E-3</v>
      </c>
      <c r="I47">
        <f ca="1">+SUMIF($C$10:C40,E47,S$10:S$29)</f>
        <v>0</v>
      </c>
      <c r="K47" s="188">
        <f t="shared" ca="1" si="3"/>
        <v>3910.58701369863</v>
      </c>
      <c r="L47" s="186">
        <f t="shared" ca="1" si="4"/>
        <v>1</v>
      </c>
    </row>
    <row r="48" spans="5:12" x14ac:dyDescent="0.25">
      <c r="E48" s="189" t="e" vm="4">
        <v>#VALUE!</v>
      </c>
      <c r="F48" s="180" t="s">
        <v>472</v>
      </c>
      <c r="G48" s="190">
        <v>14709.643945205482</v>
      </c>
      <c r="H48" s="191">
        <v>2.8668405926067869E-2</v>
      </c>
      <c r="I48" s="180">
        <f ca="1">+SUMIF($C$10:C41,E48,S$10:S$29)</f>
        <v>17849.99879452055</v>
      </c>
      <c r="J48" s="180"/>
      <c r="K48" s="192">
        <f t="shared" ca="1" si="3"/>
        <v>-3140.3548493150683</v>
      </c>
      <c r="L48" s="191">
        <f t="shared" ca="1" si="4"/>
        <v>-0.2134895216371738</v>
      </c>
    </row>
    <row r="49" spans="7:9" x14ac:dyDescent="0.25">
      <c r="G49">
        <v>513095.98389041098</v>
      </c>
      <c r="I49">
        <f ca="1">+SUM(I36:I48)</f>
        <v>457217.47331506858</v>
      </c>
    </row>
  </sheetData>
  <mergeCells count="2">
    <mergeCell ref="D2:F2"/>
    <mergeCell ref="K8:R8"/>
  </mergeCells>
  <conditionalFormatting sqref="F10:F29">
    <cfRule type="containsBlanks" dxfId="12" priority="32">
      <formula>LEN(TRIM(F10))=0</formula>
    </cfRule>
  </conditionalFormatting>
  <conditionalFormatting sqref="U10:V21">
    <cfRule type="containsText" dxfId="11" priority="28" operator="containsText" text="Oil and Gas">
      <formula>NOT(ISERROR(SEARCH("Oil and Gas",U10)))</formula>
    </cfRule>
    <cfRule type="containsText" dxfId="10" priority="29" operator="containsText" text="Gas">
      <formula>NOT(ISERROR(SEARCH("Gas",U10)))</formula>
    </cfRule>
    <cfRule type="containsText" dxfId="9" priority="30" operator="containsText" text="Oil">
      <formula>NOT(ISERROR(SEARCH("Oil",U10)))</formula>
    </cfRule>
  </conditionalFormatting>
  <conditionalFormatting sqref="U22:V29">
    <cfRule type="containsText" dxfId="8" priority="2" operator="containsText" text="Oil and Gas">
      <formula>NOT(ISERROR(SEARCH("Oil and Gas",U22)))</formula>
    </cfRule>
    <cfRule type="containsText" dxfId="7" priority="3" operator="containsText" text="Gas">
      <formula>NOT(ISERROR(SEARCH("Gas",U22)))</formula>
    </cfRule>
    <cfRule type="containsText" dxfId="6" priority="4" operator="containsText" text="Oil">
      <formula>NOT(ISERROR(SEARCH("Oil",U22)))</formula>
    </cfRule>
  </conditionalFormatting>
  <conditionalFormatting sqref="K10:S29">
    <cfRule type="cellIs" dxfId="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3" operator="containsText" id="{939931F9-62D2-434A-B365-7AB1DF16894F}">
            <xm:f>NOT(ISERROR(SEARCH($D$7,D4)))</xm:f>
            <xm:f>$D$7</xm:f>
            <x14:dxf>
              <fill>
                <patternFill>
                  <bgColor theme="7" tint="0.79998168889431442"/>
                </patternFill>
              </fill>
            </x14:dxf>
          </x14:cfRule>
          <x14:cfRule type="containsText" priority="14" operator="containsText" id="{A0E49F1A-959B-4CE7-BB28-97C1B2047DB9}">
            <xm:f>NOT(ISERROR(SEARCH($D$6,D4)))</xm:f>
            <xm:f>$D$6</xm:f>
            <x14:dxf>
              <fill>
                <patternFill>
                  <bgColor theme="5" tint="0.79998168889431442"/>
                </patternFill>
              </fill>
            </x14:dxf>
          </x14:cfRule>
          <x14:cfRule type="containsText" priority="15" operator="containsText" id="{F90B021F-32A0-4186-A3E2-6E1767715FD8}">
            <xm:f>NOT(ISERROR(SEARCH($D$5,D4)))</xm:f>
            <xm:f>$D$5</xm:f>
            <x14:dxf>
              <fill>
                <patternFill>
                  <bgColor theme="0" tint="-0.24994659260841701"/>
                </patternFill>
              </fill>
            </x14:dxf>
          </x14:cfRule>
          <x14:cfRule type="containsText" priority="16" operator="containsText" id="{7BFE0A8B-3899-4783-85DC-403086432AED}">
            <xm:f>NOT(ISERROR(SEARCH($D$4,D4)))</xm:f>
            <xm:f>$D$4</xm:f>
            <x14:dxf>
              <fill>
                <patternFill>
                  <bgColor theme="0" tint="-0.34998626667073579"/>
                </patternFill>
              </fill>
            </x14:dxf>
          </x14:cfRule>
          <xm:sqref>D4:D7 W10:W29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AF11C-6D97-40EB-8508-BF37DEBC90BE}">
  <dimension ref="C1:AF61"/>
  <sheetViews>
    <sheetView showGridLines="0" zoomScale="115" zoomScaleNormal="115" workbookViewId="0">
      <selection activeCell="K21" sqref="K21"/>
    </sheetView>
  </sheetViews>
  <sheetFormatPr baseColWidth="10" defaultRowHeight="15" x14ac:dyDescent="0.25"/>
  <cols>
    <col min="3" max="4" width="17.5703125" customWidth="1"/>
    <col min="5" max="5" width="21.42578125" customWidth="1"/>
    <col min="6" max="6" width="13.42578125" customWidth="1"/>
    <col min="7" max="12" width="11.42578125" customWidth="1"/>
    <col min="19" max="19" width="15.28515625" customWidth="1"/>
    <col min="21" max="21" width="14.140625" customWidth="1"/>
    <col min="28" max="28" width="14.140625" customWidth="1"/>
    <col min="29" max="29" width="21.28515625" customWidth="1"/>
    <col min="30" max="30" width="18.85546875" customWidth="1"/>
    <col min="31" max="31" width="20.28515625" customWidth="1"/>
  </cols>
  <sheetData>
    <row r="1" spans="3:32" x14ac:dyDescent="0.25">
      <c r="F1" t="s">
        <v>507</v>
      </c>
      <c r="G1" s="229">
        <f>+F29*1000/E29</f>
        <v>5997.3958333333339</v>
      </c>
      <c r="H1" s="229" t="s">
        <v>525</v>
      </c>
      <c r="I1" s="229"/>
      <c r="J1" s="229"/>
      <c r="U1">
        <v>1</v>
      </c>
      <c r="V1" t="s">
        <v>484</v>
      </c>
      <c r="W1">
        <v>5800</v>
      </c>
      <c r="X1" t="s">
        <v>485</v>
      </c>
    </row>
    <row r="3" spans="3:32" x14ac:dyDescent="0.25">
      <c r="M3" s="238" t="s">
        <v>533</v>
      </c>
      <c r="N3" s="239"/>
      <c r="O3" s="239"/>
      <c r="P3" s="239"/>
      <c r="Q3" s="240"/>
      <c r="R3" s="239"/>
      <c r="S3" s="239"/>
      <c r="T3" s="207" t="s">
        <v>479</v>
      </c>
      <c r="U3" s="208"/>
      <c r="V3" s="208"/>
      <c r="W3" s="208"/>
      <c r="X3" s="208"/>
      <c r="Y3" s="208"/>
      <c r="Z3" s="209"/>
      <c r="AD3" s="272" t="s">
        <v>488</v>
      </c>
      <c r="AE3" s="272"/>
    </row>
    <row r="4" spans="3:32" x14ac:dyDescent="0.25">
      <c r="E4" s="216" t="s">
        <v>475</v>
      </c>
      <c r="F4" s="217" t="s">
        <v>478</v>
      </c>
      <c r="G4" s="218" t="s">
        <v>477</v>
      </c>
      <c r="H4" s="218" t="s">
        <v>476</v>
      </c>
      <c r="I4" s="218"/>
      <c r="J4" s="218"/>
      <c r="K4" s="219" t="s">
        <v>480</v>
      </c>
      <c r="L4" s="216" t="s">
        <v>481</v>
      </c>
      <c r="M4" s="241" t="s">
        <v>380</v>
      </c>
      <c r="N4" s="241" t="s">
        <v>535</v>
      </c>
      <c r="O4" s="241" t="s">
        <v>534</v>
      </c>
      <c r="P4" s="241" t="s">
        <v>536</v>
      </c>
      <c r="Q4" s="241" t="s">
        <v>537</v>
      </c>
      <c r="R4" s="241" t="s">
        <v>477</v>
      </c>
      <c r="S4" s="241" t="s">
        <v>538</v>
      </c>
      <c r="T4" s="216">
        <v>2020</v>
      </c>
      <c r="U4" s="217">
        <v>2025</v>
      </c>
      <c r="V4" s="217">
        <v>2030</v>
      </c>
      <c r="W4" s="217">
        <v>2035</v>
      </c>
      <c r="X4" s="217">
        <v>2040</v>
      </c>
      <c r="Y4" s="217">
        <v>2045</v>
      </c>
      <c r="Z4" s="218">
        <v>2050</v>
      </c>
      <c r="AA4" s="220" t="s">
        <v>483</v>
      </c>
      <c r="AB4" s="221" t="s">
        <v>482</v>
      </c>
      <c r="AC4" s="222" t="s">
        <v>486</v>
      </c>
      <c r="AD4" s="220" t="s">
        <v>487</v>
      </c>
      <c r="AE4" s="221" t="s">
        <v>489</v>
      </c>
      <c r="AF4" s="183" t="s">
        <v>490</v>
      </c>
    </row>
    <row r="5" spans="3:32" x14ac:dyDescent="0.25">
      <c r="C5" t="s">
        <v>301</v>
      </c>
      <c r="E5" s="197">
        <v>28.68</v>
      </c>
      <c r="F5" s="198">
        <v>172.07</v>
      </c>
      <c r="G5" s="199">
        <v>0</v>
      </c>
      <c r="H5">
        <f t="shared" ref="H5:H43" si="0">+E5-G5</f>
        <v>28.68</v>
      </c>
      <c r="I5" s="186">
        <f t="shared" ref="I5:I38" si="1">+G5/E5</f>
        <v>0</v>
      </c>
      <c r="J5" s="186">
        <f t="shared" ref="J5:J38" si="2">+H5/E5</f>
        <v>1</v>
      </c>
      <c r="K5" s="200">
        <v>0.96079999999999999</v>
      </c>
      <c r="L5" s="201">
        <v>2027</v>
      </c>
      <c r="Q5" s="244">
        <v>0</v>
      </c>
      <c r="R5" s="245">
        <f t="shared" ref="R5:R27" si="3">+Q5*E5</f>
        <v>0</v>
      </c>
      <c r="S5" t="s">
        <v>539</v>
      </c>
      <c r="T5" s="202">
        <v>20000</v>
      </c>
      <c r="U5" s="203">
        <v>12500</v>
      </c>
      <c r="V5" s="206"/>
      <c r="W5" s="206"/>
      <c r="X5" s="206"/>
      <c r="Y5" s="206"/>
      <c r="Z5" s="199"/>
      <c r="AA5" s="210">
        <f t="shared" ref="AA5:AA37" si="4">+SLOPE(T5:Z5,$T$4:$Z$4)</f>
        <v>-1500</v>
      </c>
      <c r="AB5" s="204">
        <f t="shared" ref="AB5:AB37" si="5">+INTERCEPT(T5:Z5,$T$4:$Z$4)</f>
        <v>3050000</v>
      </c>
      <c r="AC5" s="211">
        <f t="shared" ref="AC5:AC37" si="6">+AA5*L5+AB5</f>
        <v>9500</v>
      </c>
      <c r="AD5" s="224">
        <f t="shared" ref="AD5:AD37" si="7">+((L5-$T$4)*AC5+((L5-$T$4)*(T5-AC5))/2)*365/1000000</f>
        <v>37.686250000000001</v>
      </c>
      <c r="AE5" s="225">
        <f t="shared" ref="AE5:AE37" si="8">+((AA5*L5*L5/2)+(AB5*L5)-(AA5*$T$4*$T$4/2)-(AB5*$T$4))*365/1000000</f>
        <v>37.686250000000001</v>
      </c>
      <c r="AF5" s="186">
        <f t="shared" ref="AF5:AF37" si="9">+(AE5-E5)/E5</f>
        <v>0.31402545327754539</v>
      </c>
    </row>
    <row r="6" spans="3:32" x14ac:dyDescent="0.25">
      <c r="C6" t="s">
        <v>342</v>
      </c>
      <c r="E6" s="194">
        <v>89.87</v>
      </c>
      <c r="F6" s="194">
        <v>0</v>
      </c>
      <c r="G6" s="194">
        <f>+E6</f>
        <v>89.87</v>
      </c>
      <c r="H6">
        <f t="shared" si="0"/>
        <v>0</v>
      </c>
      <c r="I6" s="186">
        <f t="shared" si="1"/>
        <v>1</v>
      </c>
      <c r="J6" s="186">
        <f t="shared" si="2"/>
        <v>0</v>
      </c>
      <c r="K6" s="196">
        <v>0.24629999999999999</v>
      </c>
      <c r="L6" s="194">
        <v>2048</v>
      </c>
      <c r="M6" s="242">
        <f>+N6+P6</f>
        <v>19756.607616438356</v>
      </c>
      <c r="N6" s="242">
        <v>19756.607616438356</v>
      </c>
      <c r="O6" s="242">
        <v>0</v>
      </c>
      <c r="P6" s="242">
        <f>+(O6*1000000)/$W$1</f>
        <v>0</v>
      </c>
      <c r="Q6" s="243">
        <f>+N6/M6</f>
        <v>1</v>
      </c>
      <c r="R6" s="245">
        <f t="shared" si="3"/>
        <v>89.87</v>
      </c>
      <c r="S6" s="243">
        <f t="shared" ref="S6:S38" si="10">+G6/E6</f>
        <v>1</v>
      </c>
      <c r="T6" s="194">
        <v>10000</v>
      </c>
      <c r="U6" s="194">
        <v>16000</v>
      </c>
      <c r="V6" s="194">
        <v>11000</v>
      </c>
      <c r="W6" s="194">
        <v>7500</v>
      </c>
      <c r="X6" s="194">
        <v>5500</v>
      </c>
      <c r="Y6" s="194">
        <v>4000</v>
      </c>
      <c r="Z6" s="194"/>
      <c r="AA6" s="210">
        <f t="shared" si="4"/>
        <v>-371.42857142857144</v>
      </c>
      <c r="AB6" s="204">
        <f t="shared" si="5"/>
        <v>763928.57142857148</v>
      </c>
      <c r="AC6" s="211">
        <f t="shared" si="6"/>
        <v>3242.8571428571595</v>
      </c>
      <c r="AD6" s="226">
        <f t="shared" si="7"/>
        <v>67.671000000000092</v>
      </c>
      <c r="AE6" s="227">
        <f t="shared" si="8"/>
        <v>86.286000000000001</v>
      </c>
      <c r="AF6" s="186">
        <f t="shared" si="9"/>
        <v>-3.9879826415934162E-2</v>
      </c>
    </row>
    <row r="7" spans="3:32" x14ac:dyDescent="0.25">
      <c r="C7" t="s">
        <v>491</v>
      </c>
      <c r="E7" s="194">
        <v>1.37</v>
      </c>
      <c r="F7" s="230">
        <f>+E7*1.12%</f>
        <v>1.5344000000000003E-2</v>
      </c>
      <c r="G7" s="195">
        <f>+E7*98.88%</f>
        <v>1.3546559999999999</v>
      </c>
      <c r="H7">
        <f t="shared" si="0"/>
        <v>1.5344000000000246E-2</v>
      </c>
      <c r="I7" s="186">
        <f t="shared" si="1"/>
        <v>0.98879999999999979</v>
      </c>
      <c r="J7" s="186">
        <f t="shared" si="2"/>
        <v>1.1200000000000179E-2</v>
      </c>
      <c r="K7" s="196">
        <v>0.62780000000000002</v>
      </c>
      <c r="L7" s="194">
        <v>2041</v>
      </c>
      <c r="M7" s="242">
        <f t="shared" ref="M7:M38" si="11">+N7+P7</f>
        <v>285.28490222012289</v>
      </c>
      <c r="N7" s="242">
        <v>249.14413698630142</v>
      </c>
      <c r="O7" s="242">
        <v>0.20961643835616439</v>
      </c>
      <c r="P7" s="242">
        <f t="shared" ref="P7:P38" si="12">+(O7*1000000)/$W$1</f>
        <v>36.140765233821448</v>
      </c>
      <c r="Q7" s="243">
        <f t="shared" ref="Q7:Q38" si="13">+N7/M7</f>
        <v>0.8733169370248145</v>
      </c>
      <c r="R7" s="245">
        <f t="shared" si="3"/>
        <v>1.196444203723996</v>
      </c>
      <c r="S7" s="243">
        <f t="shared" si="10"/>
        <v>0.98879999999999979</v>
      </c>
      <c r="T7" s="194">
        <v>400</v>
      </c>
      <c r="U7" s="194">
        <v>280</v>
      </c>
      <c r="V7" s="194">
        <v>200</v>
      </c>
      <c r="W7" s="194">
        <v>120</v>
      </c>
      <c r="X7" s="194">
        <v>80</v>
      </c>
      <c r="Y7" s="194"/>
      <c r="Z7" s="194"/>
      <c r="AA7" s="210">
        <f t="shared" si="4"/>
        <v>-16</v>
      </c>
      <c r="AB7" s="204">
        <f t="shared" si="5"/>
        <v>32696</v>
      </c>
      <c r="AC7" s="211">
        <f t="shared" si="6"/>
        <v>40</v>
      </c>
      <c r="AD7" s="226">
        <f t="shared" si="7"/>
        <v>1.6862999999999999</v>
      </c>
      <c r="AE7" s="227">
        <f t="shared" si="8"/>
        <v>1.59432</v>
      </c>
      <c r="AF7" s="186">
        <f t="shared" si="9"/>
        <v>0.16373722627737214</v>
      </c>
    </row>
    <row r="8" spans="3:32" x14ac:dyDescent="0.25">
      <c r="C8" t="s">
        <v>346</v>
      </c>
      <c r="E8" s="194">
        <v>2.5</v>
      </c>
      <c r="F8" s="194">
        <v>7.0000000000000007E-2</v>
      </c>
      <c r="G8" s="194">
        <f>+E8*99.53%</f>
        <v>2.4882499999999999</v>
      </c>
      <c r="H8">
        <f t="shared" si="0"/>
        <v>1.1750000000000149E-2</v>
      </c>
      <c r="I8" s="186">
        <f t="shared" si="1"/>
        <v>0.99529999999999996</v>
      </c>
      <c r="J8" s="186">
        <f t="shared" si="2"/>
        <v>4.70000000000006E-3</v>
      </c>
      <c r="K8" s="196">
        <v>0.93179999999999996</v>
      </c>
      <c r="L8" s="194">
        <v>2029</v>
      </c>
      <c r="M8" s="242">
        <f t="shared" si="11"/>
        <v>3767.1428889938588</v>
      </c>
      <c r="N8" s="242">
        <v>3691.9893698630135</v>
      </c>
      <c r="O8" s="242">
        <v>0.43589041095890391</v>
      </c>
      <c r="P8" s="242">
        <f t="shared" si="12"/>
        <v>75.153519130845496</v>
      </c>
      <c r="Q8" s="243">
        <f t="shared" si="13"/>
        <v>0.98005026054349709</v>
      </c>
      <c r="R8" s="245">
        <f t="shared" si="3"/>
        <v>2.4501256513587428</v>
      </c>
      <c r="S8" s="243">
        <f t="shared" si="10"/>
        <v>0.99529999999999996</v>
      </c>
      <c r="T8" s="194">
        <v>2950</v>
      </c>
      <c r="U8" s="194">
        <v>750</v>
      </c>
      <c r="V8" s="194"/>
      <c r="W8" s="194"/>
      <c r="X8" s="194"/>
      <c r="Y8" s="194"/>
      <c r="Z8" s="194"/>
      <c r="AA8" s="210">
        <f t="shared" si="4"/>
        <v>-440</v>
      </c>
      <c r="AB8" s="204">
        <f t="shared" si="5"/>
        <v>891750</v>
      </c>
      <c r="AC8" s="211">
        <f t="shared" si="6"/>
        <v>-1010</v>
      </c>
      <c r="AD8" s="226">
        <f t="shared" si="7"/>
        <v>3.1864499999999998</v>
      </c>
      <c r="AE8" s="227">
        <f t="shared" si="8"/>
        <v>3.1864499999999998</v>
      </c>
      <c r="AF8" s="186">
        <f t="shared" si="9"/>
        <v>0.27457999999999994</v>
      </c>
    </row>
    <row r="9" spans="3:32" x14ac:dyDescent="0.25">
      <c r="C9" t="s">
        <v>311</v>
      </c>
      <c r="E9" s="194">
        <v>14.92</v>
      </c>
      <c r="F9" s="194">
        <v>89.54</v>
      </c>
      <c r="G9" s="194">
        <v>0</v>
      </c>
      <c r="H9">
        <f t="shared" si="0"/>
        <v>14.92</v>
      </c>
      <c r="I9" s="186">
        <f t="shared" si="1"/>
        <v>0</v>
      </c>
      <c r="J9" s="186">
        <f t="shared" si="2"/>
        <v>1</v>
      </c>
      <c r="K9" s="196">
        <v>0.69059999999999999</v>
      </c>
      <c r="L9" s="194">
        <v>2039</v>
      </c>
      <c r="M9" s="242">
        <f t="shared" si="11"/>
        <v>3970.7652338214457</v>
      </c>
      <c r="N9" s="242">
        <v>0</v>
      </c>
      <c r="O9" s="242">
        <v>23.030438356164385</v>
      </c>
      <c r="P9" s="242">
        <f t="shared" si="12"/>
        <v>3970.7652338214457</v>
      </c>
      <c r="Q9" s="243">
        <f t="shared" si="13"/>
        <v>0</v>
      </c>
      <c r="R9" s="245">
        <f t="shared" si="3"/>
        <v>0</v>
      </c>
      <c r="S9" s="243">
        <f t="shared" si="10"/>
        <v>0</v>
      </c>
      <c r="T9" s="194">
        <v>2500</v>
      </c>
      <c r="U9" s="213">
        <v>3000</v>
      </c>
      <c r="V9" s="194">
        <v>2100</v>
      </c>
      <c r="W9" s="194">
        <v>1800</v>
      </c>
      <c r="X9" s="194"/>
      <c r="Y9" s="194"/>
      <c r="Z9" s="194"/>
      <c r="AA9" s="210">
        <f t="shared" si="4"/>
        <v>-60</v>
      </c>
      <c r="AB9" s="204">
        <f t="shared" si="5"/>
        <v>124000</v>
      </c>
      <c r="AC9" s="211">
        <f t="shared" si="6"/>
        <v>1660</v>
      </c>
      <c r="AD9" s="226">
        <f t="shared" si="7"/>
        <v>14.424799999999999</v>
      </c>
      <c r="AE9" s="227">
        <f t="shared" si="8"/>
        <v>15.46505</v>
      </c>
      <c r="AF9" s="186">
        <f t="shared" si="9"/>
        <v>3.653150134048256E-2</v>
      </c>
    </row>
    <row r="10" spans="3:32" x14ac:dyDescent="0.25">
      <c r="C10" t="s">
        <v>492</v>
      </c>
      <c r="E10" s="194">
        <v>153.29</v>
      </c>
      <c r="F10" s="194">
        <v>0</v>
      </c>
      <c r="G10" s="194">
        <v>153.29</v>
      </c>
      <c r="H10">
        <f t="shared" si="0"/>
        <v>0</v>
      </c>
      <c r="I10" s="186">
        <f t="shared" si="1"/>
        <v>1</v>
      </c>
      <c r="J10" s="186">
        <f t="shared" si="2"/>
        <v>0</v>
      </c>
      <c r="K10" s="196">
        <v>0.70950000000000002</v>
      </c>
      <c r="L10" s="194">
        <v>2036</v>
      </c>
      <c r="M10" s="242">
        <f t="shared" si="11"/>
        <v>70553.994630136978</v>
      </c>
      <c r="N10" s="242">
        <v>70553.994630136978</v>
      </c>
      <c r="O10" s="242">
        <v>0</v>
      </c>
      <c r="P10" s="242">
        <f t="shared" si="12"/>
        <v>0</v>
      </c>
      <c r="Q10" s="243">
        <f t="shared" si="13"/>
        <v>1</v>
      </c>
      <c r="R10" s="245">
        <f t="shared" si="3"/>
        <v>153.29</v>
      </c>
      <c r="S10" s="243">
        <f t="shared" si="10"/>
        <v>1</v>
      </c>
      <c r="T10" s="194">
        <v>65000</v>
      </c>
      <c r="U10" s="213">
        <v>37500</v>
      </c>
      <c r="V10" s="194">
        <v>22500</v>
      </c>
      <c r="W10" s="194">
        <v>12500</v>
      </c>
      <c r="X10" s="194"/>
      <c r="Y10" s="194"/>
      <c r="Z10" s="194"/>
      <c r="AA10" s="232">
        <f t="shared" si="4"/>
        <v>-3450</v>
      </c>
      <c r="AB10" s="233">
        <f t="shared" si="5"/>
        <v>7029250</v>
      </c>
      <c r="AC10" s="234">
        <f t="shared" si="6"/>
        <v>5050</v>
      </c>
      <c r="AD10" s="224">
        <f t="shared" si="7"/>
        <v>204.54599999999999</v>
      </c>
      <c r="AE10" s="225">
        <f t="shared" si="8"/>
        <v>190.67599999999999</v>
      </c>
      <c r="AF10" s="186">
        <f t="shared" si="9"/>
        <v>0.24389066475308238</v>
      </c>
    </row>
    <row r="11" spans="3:32" x14ac:dyDescent="0.25">
      <c r="C11" t="s">
        <v>493</v>
      </c>
      <c r="E11" s="194">
        <v>0.88</v>
      </c>
      <c r="F11" s="194">
        <v>0</v>
      </c>
      <c r="G11" s="194">
        <v>0.88</v>
      </c>
      <c r="H11">
        <f t="shared" si="0"/>
        <v>0</v>
      </c>
      <c r="I11" s="186">
        <f t="shared" si="1"/>
        <v>1</v>
      </c>
      <c r="J11" s="186">
        <f t="shared" si="2"/>
        <v>0</v>
      </c>
      <c r="K11" s="196">
        <v>0.69830000000000003</v>
      </c>
      <c r="L11" s="194">
        <v>2042</v>
      </c>
      <c r="M11" s="242">
        <f t="shared" si="11"/>
        <v>226.03172602739721</v>
      </c>
      <c r="N11" s="242">
        <v>226.03172602739721</v>
      </c>
      <c r="O11" s="242">
        <v>0</v>
      </c>
      <c r="P11" s="242">
        <f t="shared" si="12"/>
        <v>0</v>
      </c>
      <c r="Q11" s="243">
        <f t="shared" si="13"/>
        <v>1</v>
      </c>
      <c r="R11" s="245">
        <f t="shared" si="3"/>
        <v>0.88</v>
      </c>
      <c r="S11" s="243">
        <f t="shared" si="10"/>
        <v>1</v>
      </c>
      <c r="T11" s="194">
        <v>150</v>
      </c>
      <c r="U11" s="231">
        <v>180</v>
      </c>
      <c r="V11" s="194">
        <v>105</v>
      </c>
      <c r="W11" s="194">
        <v>90</v>
      </c>
      <c r="X11" s="194">
        <v>60</v>
      </c>
      <c r="Y11" s="194"/>
      <c r="Z11" s="194"/>
      <c r="AA11" s="232">
        <f t="shared" si="4"/>
        <v>-5.4</v>
      </c>
      <c r="AB11" s="233">
        <f t="shared" si="5"/>
        <v>11079</v>
      </c>
      <c r="AC11" s="234">
        <f t="shared" si="6"/>
        <v>52.199999999998909</v>
      </c>
      <c r="AD11" s="224">
        <f t="shared" si="7"/>
        <v>0.81183299999999559</v>
      </c>
      <c r="AE11" s="225">
        <f t="shared" si="8"/>
        <v>0.89614799999972805</v>
      </c>
      <c r="AF11" s="186">
        <f t="shared" si="9"/>
        <v>1.8349999999690961E-2</v>
      </c>
    </row>
    <row r="12" spans="3:32" x14ac:dyDescent="0.25">
      <c r="C12" t="s">
        <v>494</v>
      </c>
      <c r="E12" s="194">
        <v>543.79</v>
      </c>
      <c r="F12" s="194">
        <v>0</v>
      </c>
      <c r="G12" s="194">
        <f>+E12</f>
        <v>543.79</v>
      </c>
      <c r="H12">
        <f t="shared" si="0"/>
        <v>0</v>
      </c>
      <c r="I12" s="186">
        <f t="shared" si="1"/>
        <v>1</v>
      </c>
      <c r="J12" s="186">
        <f t="shared" si="2"/>
        <v>0</v>
      </c>
      <c r="K12" s="196">
        <v>0.31709999999999999</v>
      </c>
      <c r="L12" s="194">
        <v>2099</v>
      </c>
      <c r="M12" s="242">
        <f t="shared" si="11"/>
        <v>43276.035643835618</v>
      </c>
      <c r="N12" s="242">
        <v>43276.035643835618</v>
      </c>
      <c r="O12" s="242">
        <v>0</v>
      </c>
      <c r="P12" s="242">
        <f t="shared" si="12"/>
        <v>0</v>
      </c>
      <c r="Q12" s="243">
        <f t="shared" si="13"/>
        <v>1</v>
      </c>
      <c r="R12" s="245">
        <f t="shared" si="3"/>
        <v>543.79</v>
      </c>
      <c r="S12" s="243">
        <f t="shared" si="10"/>
        <v>1</v>
      </c>
      <c r="T12" s="194">
        <v>40000</v>
      </c>
      <c r="U12" s="194"/>
      <c r="V12" s="194">
        <v>32500</v>
      </c>
      <c r="X12" s="194">
        <v>27500</v>
      </c>
      <c r="Y12" s="194"/>
      <c r="Z12" s="194">
        <v>22500</v>
      </c>
      <c r="AA12" s="232">
        <f t="shared" si="4"/>
        <v>-575</v>
      </c>
      <c r="AB12" s="233">
        <f t="shared" si="5"/>
        <v>1200750</v>
      </c>
      <c r="AC12" s="234">
        <f t="shared" si="6"/>
        <v>-6175</v>
      </c>
      <c r="AD12" s="224">
        <f t="shared" si="7"/>
        <v>487.67193750000001</v>
      </c>
      <c r="AE12" s="225">
        <f t="shared" si="8"/>
        <v>476.8588125</v>
      </c>
      <c r="AF12" s="186">
        <f t="shared" si="9"/>
        <v>-0.1230827847146876</v>
      </c>
    </row>
    <row r="13" spans="3:32" x14ac:dyDescent="0.25">
      <c r="C13" t="s">
        <v>29</v>
      </c>
      <c r="E13" s="194">
        <v>272.89999999999998</v>
      </c>
      <c r="F13" s="194">
        <v>0</v>
      </c>
      <c r="G13" s="194">
        <v>272.29000000000002</v>
      </c>
      <c r="H13">
        <f t="shared" si="0"/>
        <v>0.6099999999999568</v>
      </c>
      <c r="I13" s="186">
        <f t="shared" si="1"/>
        <v>0.99776474899230505</v>
      </c>
      <c r="J13" s="186">
        <f t="shared" si="2"/>
        <v>2.2352510076949681E-3</v>
      </c>
      <c r="K13" s="228">
        <v>0.71530000000000005</v>
      </c>
      <c r="L13" s="194">
        <v>2036</v>
      </c>
      <c r="M13" s="242">
        <f t="shared" si="11"/>
        <v>119308.68268493151</v>
      </c>
      <c r="N13" s="242">
        <v>119308.68268493151</v>
      </c>
      <c r="O13" s="242">
        <v>0</v>
      </c>
      <c r="P13" s="242">
        <f t="shared" si="12"/>
        <v>0</v>
      </c>
      <c r="Q13" s="243">
        <f t="shared" si="13"/>
        <v>1</v>
      </c>
      <c r="R13" s="245">
        <f t="shared" si="3"/>
        <v>272.89999999999998</v>
      </c>
      <c r="S13" s="243">
        <f t="shared" si="10"/>
        <v>0.99776474899230505</v>
      </c>
      <c r="T13" s="205">
        <v>105000</v>
      </c>
      <c r="U13" s="214">
        <v>75000</v>
      </c>
      <c r="V13" s="194">
        <v>40000</v>
      </c>
      <c r="W13" s="194">
        <v>25000</v>
      </c>
      <c r="AA13" s="232">
        <f t="shared" si="4"/>
        <v>-5500</v>
      </c>
      <c r="AB13" s="233">
        <f t="shared" si="5"/>
        <v>11212500</v>
      </c>
      <c r="AC13" s="234">
        <f t="shared" si="6"/>
        <v>14500</v>
      </c>
      <c r="AD13" s="224">
        <f t="shared" si="7"/>
        <v>348.94</v>
      </c>
      <c r="AE13" s="225">
        <f t="shared" si="8"/>
        <v>341.64</v>
      </c>
      <c r="AF13" s="186">
        <f t="shared" si="9"/>
        <v>0.25188713814584102</v>
      </c>
    </row>
    <row r="14" spans="3:32" x14ac:dyDescent="0.25">
      <c r="C14" t="s">
        <v>345</v>
      </c>
      <c r="E14" s="194">
        <v>16.52</v>
      </c>
      <c r="F14" s="194">
        <v>1.61</v>
      </c>
      <c r="G14">
        <f>+E14*98.07%</f>
        <v>16.201163999999999</v>
      </c>
      <c r="H14">
        <f t="shared" si="0"/>
        <v>0.31883600000000101</v>
      </c>
      <c r="I14" s="186">
        <f t="shared" si="1"/>
        <v>0.98069999999999991</v>
      </c>
      <c r="J14" s="186">
        <f t="shared" si="2"/>
        <v>1.930000000000006E-2</v>
      </c>
      <c r="K14" s="228">
        <v>0.73629999999999995</v>
      </c>
      <c r="L14" s="194">
        <v>2060</v>
      </c>
      <c r="M14" s="242">
        <f t="shared" si="11"/>
        <v>4154.1152328767121</v>
      </c>
      <c r="N14" s="242">
        <v>4154.1152328767121</v>
      </c>
      <c r="O14" s="242">
        <v>0</v>
      </c>
      <c r="P14" s="242">
        <f t="shared" si="12"/>
        <v>0</v>
      </c>
      <c r="Q14" s="243">
        <f t="shared" si="13"/>
        <v>1</v>
      </c>
      <c r="R14" s="245">
        <f t="shared" si="3"/>
        <v>16.52</v>
      </c>
      <c r="S14" s="243">
        <f t="shared" si="10"/>
        <v>0.98069999999999991</v>
      </c>
      <c r="T14" s="194">
        <v>4000</v>
      </c>
      <c r="U14" s="194">
        <v>3000</v>
      </c>
      <c r="V14" s="194">
        <v>1800</v>
      </c>
      <c r="W14" s="194">
        <v>1000</v>
      </c>
      <c r="X14" s="194">
        <v>900</v>
      </c>
      <c r="Y14" s="194">
        <v>700</v>
      </c>
      <c r="Z14" s="194">
        <v>500</v>
      </c>
      <c r="AA14" s="232">
        <f t="shared" si="4"/>
        <v>-114.28571428571429</v>
      </c>
      <c r="AB14" s="233">
        <f t="shared" si="5"/>
        <v>234271.42857142858</v>
      </c>
      <c r="AC14" s="234">
        <f t="shared" si="6"/>
        <v>-1157.1428571428696</v>
      </c>
      <c r="AD14" s="224">
        <f t="shared" si="7"/>
        <v>20.752857142857053</v>
      </c>
      <c r="AE14" s="225">
        <f t="shared" si="8"/>
        <v>16.47714285712421</v>
      </c>
      <c r="AF14" s="186">
        <f t="shared" si="9"/>
        <v>-2.5942580433286396E-3</v>
      </c>
    </row>
    <row r="15" spans="3:32" x14ac:dyDescent="0.25">
      <c r="C15" t="s">
        <v>140</v>
      </c>
      <c r="E15" s="194">
        <v>21.91</v>
      </c>
      <c r="F15" s="194">
        <v>0</v>
      </c>
      <c r="G15">
        <f>+E15</f>
        <v>21.91</v>
      </c>
      <c r="H15">
        <f t="shared" si="0"/>
        <v>0</v>
      </c>
      <c r="I15" s="186">
        <f t="shared" si="1"/>
        <v>1</v>
      </c>
      <c r="J15" s="186">
        <f t="shared" si="2"/>
        <v>0</v>
      </c>
      <c r="K15" s="228">
        <v>0.78649999999999998</v>
      </c>
      <c r="L15" s="194">
        <v>2035</v>
      </c>
      <c r="M15" s="242">
        <f t="shared" si="11"/>
        <v>10381.531479452055</v>
      </c>
      <c r="N15" s="242">
        <v>10381.531479452055</v>
      </c>
      <c r="O15" s="242">
        <v>0</v>
      </c>
      <c r="P15" s="242">
        <f t="shared" si="12"/>
        <v>0</v>
      </c>
      <c r="Q15" s="243">
        <f t="shared" si="13"/>
        <v>1</v>
      </c>
      <c r="R15" s="245">
        <f t="shared" si="3"/>
        <v>21.91</v>
      </c>
      <c r="S15" s="243">
        <f t="shared" si="10"/>
        <v>1</v>
      </c>
      <c r="T15" s="205">
        <v>10500</v>
      </c>
      <c r="U15" s="215">
        <v>6000</v>
      </c>
      <c r="V15" s="194">
        <v>2300</v>
      </c>
      <c r="W15" s="194">
        <v>1800</v>
      </c>
      <c r="AA15" s="232">
        <f t="shared" si="4"/>
        <v>-596</v>
      </c>
      <c r="AB15" s="233">
        <f t="shared" si="5"/>
        <v>1213540</v>
      </c>
      <c r="AC15" s="234">
        <f t="shared" si="6"/>
        <v>680</v>
      </c>
      <c r="AD15" s="224">
        <f t="shared" si="7"/>
        <v>30.605250000000002</v>
      </c>
      <c r="AE15" s="225">
        <f t="shared" si="8"/>
        <v>28.196249999999999</v>
      </c>
      <c r="AF15" s="186">
        <f t="shared" si="9"/>
        <v>0.28691236878137832</v>
      </c>
    </row>
    <row r="16" spans="3:32" x14ac:dyDescent="0.25">
      <c r="C16" t="s">
        <v>495</v>
      </c>
      <c r="E16" s="194">
        <v>8.85</v>
      </c>
      <c r="F16" s="194">
        <v>0</v>
      </c>
      <c r="G16">
        <f>+E16</f>
        <v>8.85</v>
      </c>
      <c r="H16">
        <f t="shared" si="0"/>
        <v>0</v>
      </c>
      <c r="I16" s="186">
        <f t="shared" si="1"/>
        <v>1</v>
      </c>
      <c r="J16" s="186">
        <f t="shared" si="2"/>
        <v>0</v>
      </c>
      <c r="K16" s="228">
        <v>0.55530000000000002</v>
      </c>
      <c r="L16" s="194">
        <v>2052</v>
      </c>
      <c r="M16" s="242">
        <f t="shared" si="11"/>
        <v>1737.8650958904109</v>
      </c>
      <c r="N16" s="242">
        <v>1737.8650958904109</v>
      </c>
      <c r="O16" s="242">
        <v>0</v>
      </c>
      <c r="P16" s="242">
        <f t="shared" si="12"/>
        <v>0</v>
      </c>
      <c r="Q16" s="243">
        <f t="shared" si="13"/>
        <v>1</v>
      </c>
      <c r="R16" s="245">
        <f t="shared" si="3"/>
        <v>8.85</v>
      </c>
      <c r="S16" s="243">
        <f t="shared" si="10"/>
        <v>1</v>
      </c>
      <c r="T16" s="205">
        <v>1600</v>
      </c>
      <c r="U16" s="205">
        <v>1500</v>
      </c>
      <c r="V16" s="194">
        <v>1100</v>
      </c>
      <c r="W16" s="194">
        <v>750</v>
      </c>
      <c r="X16" s="194">
        <v>500</v>
      </c>
      <c r="Y16" s="194">
        <v>250</v>
      </c>
      <c r="Z16" s="194">
        <v>200</v>
      </c>
      <c r="AA16" s="232">
        <f t="shared" si="4"/>
        <v>-52.142857142857146</v>
      </c>
      <c r="AB16" s="233">
        <f t="shared" si="5"/>
        <v>106953.57142857143</v>
      </c>
      <c r="AC16" s="234">
        <f t="shared" si="6"/>
        <v>-43.571428571434808</v>
      </c>
      <c r="AD16" s="224">
        <f t="shared" si="7"/>
        <v>9.0895428571428205</v>
      </c>
      <c r="AE16" s="225">
        <f t="shared" si="8"/>
        <v>9.2355428571459655</v>
      </c>
      <c r="AF16" s="186">
        <f t="shared" si="9"/>
        <v>4.3564164649261675E-2</v>
      </c>
    </row>
    <row r="17" spans="3:32" x14ac:dyDescent="0.25">
      <c r="C17" t="s">
        <v>61</v>
      </c>
      <c r="E17" s="194">
        <v>146.25</v>
      </c>
      <c r="F17" s="194">
        <v>0</v>
      </c>
      <c r="G17">
        <v>146.25</v>
      </c>
      <c r="H17">
        <f t="shared" si="0"/>
        <v>0</v>
      </c>
      <c r="I17" s="186">
        <f t="shared" si="1"/>
        <v>1</v>
      </c>
      <c r="J17" s="186">
        <f t="shared" si="2"/>
        <v>0</v>
      </c>
      <c r="K17" s="228">
        <v>0.58260000000000001</v>
      </c>
      <c r="L17" s="194">
        <v>2039</v>
      </c>
      <c r="M17" s="242">
        <f t="shared" si="11"/>
        <v>48971.756410958893</v>
      </c>
      <c r="N17" s="242">
        <v>48971.756410958893</v>
      </c>
      <c r="O17" s="242">
        <v>0</v>
      </c>
      <c r="P17" s="242">
        <f t="shared" si="12"/>
        <v>0</v>
      </c>
      <c r="Q17" s="243">
        <f t="shared" si="13"/>
        <v>1</v>
      </c>
      <c r="R17" s="245">
        <f t="shared" si="3"/>
        <v>146.25</v>
      </c>
      <c r="S17" s="243">
        <f t="shared" si="10"/>
        <v>1</v>
      </c>
      <c r="T17" s="205">
        <v>50000</v>
      </c>
      <c r="U17" s="205">
        <v>35000</v>
      </c>
      <c r="V17" s="194">
        <v>20000</v>
      </c>
      <c r="W17" s="194">
        <v>12500</v>
      </c>
      <c r="AA17" s="232">
        <f t="shared" si="4"/>
        <v>-2550</v>
      </c>
      <c r="AB17" s="233">
        <f t="shared" si="5"/>
        <v>5199500</v>
      </c>
      <c r="AC17" s="234">
        <f t="shared" si="6"/>
        <v>50</v>
      </c>
      <c r="AD17" s="224">
        <f t="shared" si="7"/>
        <v>173.54837499999999</v>
      </c>
      <c r="AE17" s="225">
        <f t="shared" si="8"/>
        <v>168.34712500000001</v>
      </c>
      <c r="AF17" s="186">
        <f t="shared" si="9"/>
        <v>0.15109145299145302</v>
      </c>
    </row>
    <row r="18" spans="3:32" x14ac:dyDescent="0.25">
      <c r="C18" t="s">
        <v>496</v>
      </c>
      <c r="E18" s="194">
        <v>89.99</v>
      </c>
      <c r="F18" s="194">
        <v>0</v>
      </c>
      <c r="G18">
        <f>+E18</f>
        <v>89.99</v>
      </c>
      <c r="H18">
        <f t="shared" si="0"/>
        <v>0</v>
      </c>
      <c r="I18" s="186">
        <f t="shared" si="1"/>
        <v>1</v>
      </c>
      <c r="J18" s="186">
        <f t="shared" si="2"/>
        <v>0</v>
      </c>
      <c r="K18" s="228">
        <v>0.42830000000000001</v>
      </c>
      <c r="L18" s="194">
        <v>2044</v>
      </c>
      <c r="M18" s="242">
        <f t="shared" si="11"/>
        <v>20119.028164383562</v>
      </c>
      <c r="N18" s="242">
        <v>20119.028164383562</v>
      </c>
      <c r="O18" s="242">
        <v>0</v>
      </c>
      <c r="P18" s="242">
        <f t="shared" si="12"/>
        <v>0</v>
      </c>
      <c r="Q18" s="243">
        <f t="shared" si="13"/>
        <v>1</v>
      </c>
      <c r="R18" s="245">
        <f t="shared" si="3"/>
        <v>89.99</v>
      </c>
      <c r="S18" s="243">
        <f t="shared" si="10"/>
        <v>1</v>
      </c>
      <c r="T18" s="205">
        <v>20000</v>
      </c>
      <c r="U18" s="205">
        <v>17500</v>
      </c>
      <c r="V18" s="194">
        <v>12500</v>
      </c>
      <c r="W18" s="194">
        <v>7600</v>
      </c>
      <c r="X18" s="194">
        <v>6000</v>
      </c>
      <c r="AA18" s="232">
        <f t="shared" si="4"/>
        <v>-758</v>
      </c>
      <c r="AB18" s="233">
        <f t="shared" si="5"/>
        <v>1551460</v>
      </c>
      <c r="AC18" s="234">
        <f t="shared" si="6"/>
        <v>2108</v>
      </c>
      <c r="AD18" s="224">
        <f t="shared" si="7"/>
        <v>96.833039999999997</v>
      </c>
      <c r="AE18" s="225">
        <f t="shared" si="8"/>
        <v>98.147040000000004</v>
      </c>
      <c r="AF18" s="186">
        <f t="shared" si="9"/>
        <v>9.0643849316590835E-2</v>
      </c>
    </row>
    <row r="19" spans="3:32" x14ac:dyDescent="0.25">
      <c r="C19" t="s">
        <v>497</v>
      </c>
      <c r="E19" s="194">
        <v>86.96</v>
      </c>
      <c r="F19" s="194">
        <v>357.74</v>
      </c>
      <c r="G19">
        <f>+E19*68.57%</f>
        <v>59.628471999999995</v>
      </c>
      <c r="H19">
        <f t="shared" si="0"/>
        <v>27.331527999999999</v>
      </c>
      <c r="I19" s="186">
        <f t="shared" si="1"/>
        <v>0.68569999999999998</v>
      </c>
      <c r="J19" s="186">
        <f t="shared" si="2"/>
        <v>0.31430000000000002</v>
      </c>
      <c r="K19" s="228">
        <v>0.87790000000000001</v>
      </c>
      <c r="L19" s="194">
        <v>2035</v>
      </c>
      <c r="M19" s="242">
        <f t="shared" si="11"/>
        <v>36739.649441662732</v>
      </c>
      <c r="N19" s="242">
        <v>5802.3135890410958</v>
      </c>
      <c r="O19" s="242">
        <v>179.43654794520549</v>
      </c>
      <c r="P19" s="242">
        <f t="shared" si="12"/>
        <v>30937.335852621636</v>
      </c>
      <c r="Q19" s="243">
        <f t="shared" si="13"/>
        <v>0.15793056485893622</v>
      </c>
      <c r="R19" s="245">
        <f t="shared" si="3"/>
        <v>13.733641920133094</v>
      </c>
      <c r="S19" s="243">
        <f t="shared" si="10"/>
        <v>0.68569999999999998</v>
      </c>
      <c r="T19" s="205">
        <v>42000</v>
      </c>
      <c r="U19" s="205">
        <v>22000</v>
      </c>
      <c r="V19" s="194">
        <v>16000</v>
      </c>
      <c r="W19" s="194">
        <v>8000</v>
      </c>
      <c r="AA19" s="232">
        <f t="shared" si="4"/>
        <v>-2160</v>
      </c>
      <c r="AB19" s="233">
        <f t="shared" si="5"/>
        <v>4401400</v>
      </c>
      <c r="AC19" s="234">
        <f t="shared" si="6"/>
        <v>5800</v>
      </c>
      <c r="AD19" s="224">
        <f t="shared" si="7"/>
        <v>130.85249999999999</v>
      </c>
      <c r="AE19" s="225">
        <f t="shared" si="8"/>
        <v>120.45</v>
      </c>
      <c r="AF19" s="186">
        <f t="shared" si="9"/>
        <v>0.38511959521619149</v>
      </c>
    </row>
    <row r="20" spans="3:32" x14ac:dyDescent="0.25">
      <c r="C20" t="s">
        <v>498</v>
      </c>
      <c r="E20" s="194">
        <v>5.73</v>
      </c>
      <c r="F20" s="194">
        <v>0</v>
      </c>
      <c r="G20">
        <f>+E20</f>
        <v>5.73</v>
      </c>
      <c r="H20">
        <f t="shared" si="0"/>
        <v>0</v>
      </c>
      <c r="I20" s="186">
        <f t="shared" si="1"/>
        <v>1</v>
      </c>
      <c r="J20" s="186">
        <f t="shared" si="2"/>
        <v>0</v>
      </c>
      <c r="K20" s="228">
        <v>0.61819999999999997</v>
      </c>
      <c r="L20" s="194">
        <v>2050</v>
      </c>
      <c r="M20" s="242">
        <f t="shared" si="11"/>
        <v>3032.86197260274</v>
      </c>
      <c r="N20" s="242">
        <v>3032.86197260274</v>
      </c>
      <c r="O20" s="242">
        <v>0</v>
      </c>
      <c r="P20" s="242">
        <f t="shared" si="12"/>
        <v>0</v>
      </c>
      <c r="Q20" s="243">
        <f t="shared" si="13"/>
        <v>1</v>
      </c>
      <c r="R20" s="245">
        <f t="shared" si="3"/>
        <v>5.73</v>
      </c>
      <c r="S20" s="243">
        <f t="shared" si="10"/>
        <v>1</v>
      </c>
      <c r="T20" s="205">
        <v>2250</v>
      </c>
      <c r="U20" s="205">
        <v>1250</v>
      </c>
      <c r="V20" s="194">
        <v>600</v>
      </c>
      <c r="W20" s="194">
        <v>400</v>
      </c>
      <c r="X20" s="194">
        <v>200</v>
      </c>
      <c r="Y20" s="194">
        <v>150</v>
      </c>
      <c r="Z20" s="194">
        <v>100</v>
      </c>
      <c r="AA20" s="232">
        <f t="shared" si="4"/>
        <v>-64.642857142857139</v>
      </c>
      <c r="AB20" s="233">
        <f t="shared" si="5"/>
        <v>132255.35714285716</v>
      </c>
      <c r="AC20" s="234">
        <f t="shared" si="6"/>
        <v>-262.4999999999709</v>
      </c>
      <c r="AD20" s="224">
        <f t="shared" si="7"/>
        <v>10.881562500000161</v>
      </c>
      <c r="AE20" s="225">
        <f t="shared" si="8"/>
        <v>7.7432142857189472</v>
      </c>
      <c r="AF20" s="186">
        <f t="shared" si="9"/>
        <v>0.35134629768218961</v>
      </c>
    </row>
    <row r="21" spans="3:32" x14ac:dyDescent="0.25">
      <c r="C21" t="s">
        <v>499</v>
      </c>
      <c r="E21" s="194">
        <v>89.27</v>
      </c>
      <c r="F21" s="194">
        <v>504.38</v>
      </c>
      <c r="G21">
        <f>+E21*5.84%</f>
        <v>5.213368</v>
      </c>
      <c r="H21">
        <f t="shared" si="0"/>
        <v>84.056631999999993</v>
      </c>
      <c r="I21" s="186">
        <f t="shared" si="1"/>
        <v>5.8400000000000001E-2</v>
      </c>
      <c r="J21" s="186">
        <f t="shared" si="2"/>
        <v>0.94159999999999999</v>
      </c>
      <c r="K21" s="228">
        <v>0.24510000000000001</v>
      </c>
      <c r="L21" s="194">
        <v>2059</v>
      </c>
      <c r="M21" s="242">
        <f t="shared" si="11"/>
        <v>5687.8121180916396</v>
      </c>
      <c r="N21" s="242">
        <v>1396.6784383561644</v>
      </c>
      <c r="O21" s="242">
        <v>24.888575342465753</v>
      </c>
      <c r="P21" s="242">
        <f t="shared" si="12"/>
        <v>4291.1336797354752</v>
      </c>
      <c r="Q21" s="243">
        <f t="shared" si="13"/>
        <v>0.24555635969648984</v>
      </c>
      <c r="R21" s="245">
        <f t="shared" si="3"/>
        <v>21.920816230105647</v>
      </c>
      <c r="S21" s="243">
        <f t="shared" si="10"/>
        <v>5.8400000000000001E-2</v>
      </c>
      <c r="T21" s="205">
        <v>10000</v>
      </c>
      <c r="U21" s="205">
        <v>18500</v>
      </c>
      <c r="V21" s="194">
        <v>10000</v>
      </c>
      <c r="W21" s="194">
        <v>7000</v>
      </c>
      <c r="X21" s="194">
        <v>5000</v>
      </c>
      <c r="Y21" s="194">
        <v>3500</v>
      </c>
      <c r="Z21" s="194">
        <v>2100</v>
      </c>
      <c r="AA21" s="232">
        <f t="shared" si="4"/>
        <v>-419.28571428571439</v>
      </c>
      <c r="AB21" s="233">
        <f t="shared" si="5"/>
        <v>861260.71428571444</v>
      </c>
      <c r="AC21" s="234">
        <f t="shared" si="6"/>
        <v>-2048.5714285714785</v>
      </c>
      <c r="AD21" s="224">
        <f t="shared" si="7"/>
        <v>56.594292857142499</v>
      </c>
      <c r="AE21" s="225">
        <f t="shared" si="8"/>
        <v>87.224962500087017</v>
      </c>
      <c r="AF21" s="186">
        <f t="shared" si="9"/>
        <v>-2.2908451886557404E-2</v>
      </c>
    </row>
    <row r="22" spans="3:32" x14ac:dyDescent="0.25">
      <c r="C22" t="s">
        <v>500</v>
      </c>
      <c r="E22" s="194">
        <v>10.25</v>
      </c>
      <c r="F22" s="194">
        <v>60.26</v>
      </c>
      <c r="G22">
        <f>+E22*2%</f>
        <v>0.20500000000000002</v>
      </c>
      <c r="H22">
        <f t="shared" si="0"/>
        <v>10.045</v>
      </c>
      <c r="I22" s="186">
        <f t="shared" si="1"/>
        <v>0.02</v>
      </c>
      <c r="J22" s="186">
        <f t="shared" si="2"/>
        <v>0.98</v>
      </c>
      <c r="K22" s="228">
        <v>0.98270000000000002</v>
      </c>
      <c r="L22" s="194">
        <v>2025</v>
      </c>
      <c r="M22" s="242">
        <f t="shared" si="11"/>
        <v>13330.402025507794</v>
      </c>
      <c r="N22" s="242">
        <v>802.2064657534246</v>
      </c>
      <c r="O22" s="242">
        <v>72.663534246575338</v>
      </c>
      <c r="P22" s="242">
        <f t="shared" si="12"/>
        <v>12528.195559754369</v>
      </c>
      <c r="Q22" s="243">
        <f t="shared" si="13"/>
        <v>6.0178715106896125E-2</v>
      </c>
      <c r="R22" s="245">
        <f t="shared" si="3"/>
        <v>0.6168318298456853</v>
      </c>
      <c r="S22" s="243">
        <f t="shared" si="10"/>
        <v>0.02</v>
      </c>
      <c r="T22" s="205">
        <v>8000</v>
      </c>
      <c r="U22" s="205">
        <v>5000</v>
      </c>
      <c r="AA22" s="232">
        <f t="shared" si="4"/>
        <v>-600</v>
      </c>
      <c r="AB22" s="233">
        <f t="shared" si="5"/>
        <v>1220000</v>
      </c>
      <c r="AC22" s="234">
        <f t="shared" si="6"/>
        <v>5000</v>
      </c>
      <c r="AD22" s="224">
        <f t="shared" si="7"/>
        <v>11.862500000000001</v>
      </c>
      <c r="AE22" s="225">
        <f t="shared" si="8"/>
        <v>11.862500000000001</v>
      </c>
      <c r="AF22" s="186">
        <f t="shared" si="9"/>
        <v>0.15731707317073176</v>
      </c>
    </row>
    <row r="23" spans="3:32" x14ac:dyDescent="0.25">
      <c r="C23" t="s">
        <v>501</v>
      </c>
      <c r="E23" s="194">
        <v>17.7</v>
      </c>
      <c r="F23" s="194">
        <v>97.48</v>
      </c>
      <c r="G23">
        <f>+E23*8.23%</f>
        <v>1.4567099999999999</v>
      </c>
      <c r="H23">
        <f t="shared" si="0"/>
        <v>16.243289999999998</v>
      </c>
      <c r="I23" s="186">
        <f t="shared" si="1"/>
        <v>8.2299999999999998E-2</v>
      </c>
      <c r="J23" s="186">
        <f t="shared" si="2"/>
        <v>0.91769999999999996</v>
      </c>
      <c r="K23" s="228">
        <v>0.97750000000000004</v>
      </c>
      <c r="L23" s="194">
        <v>2025</v>
      </c>
      <c r="M23" s="242">
        <f t="shared" si="11"/>
        <v>18303.892234293809</v>
      </c>
      <c r="N23" s="242">
        <v>2380.4156164383562</v>
      </c>
      <c r="O23" s="242">
        <v>92.356164383561648</v>
      </c>
      <c r="P23" s="242">
        <f t="shared" si="12"/>
        <v>15923.476617855455</v>
      </c>
      <c r="Q23" s="243">
        <f t="shared" si="13"/>
        <v>0.13004969576790104</v>
      </c>
      <c r="R23" s="245">
        <f t="shared" si="3"/>
        <v>2.3018796150918481</v>
      </c>
      <c r="S23" s="243">
        <f t="shared" si="10"/>
        <v>8.2299999999999998E-2</v>
      </c>
      <c r="T23" s="194">
        <v>8000</v>
      </c>
      <c r="U23" s="213">
        <v>5000</v>
      </c>
      <c r="AA23" s="232">
        <f t="shared" si="4"/>
        <v>-600</v>
      </c>
      <c r="AB23" s="233">
        <f t="shared" si="5"/>
        <v>1220000</v>
      </c>
      <c r="AC23" s="234">
        <f t="shared" si="6"/>
        <v>5000</v>
      </c>
      <c r="AD23" s="224">
        <f t="shared" si="7"/>
        <v>11.862500000000001</v>
      </c>
      <c r="AE23" s="225">
        <f t="shared" si="8"/>
        <v>11.862500000000001</v>
      </c>
      <c r="AF23" s="186">
        <f t="shared" si="9"/>
        <v>-0.32980225988700557</v>
      </c>
    </row>
    <row r="24" spans="3:32" x14ac:dyDescent="0.25">
      <c r="C24" t="s">
        <v>502</v>
      </c>
      <c r="E24" s="194">
        <v>8.8000000000000007</v>
      </c>
      <c r="F24" s="194">
        <v>2.82</v>
      </c>
      <c r="G24">
        <f>+E24*94.66%</f>
        <v>8.3300800000000006</v>
      </c>
      <c r="H24">
        <f t="shared" si="0"/>
        <v>0.46992000000000012</v>
      </c>
      <c r="I24" s="186">
        <f t="shared" si="1"/>
        <v>0.9466</v>
      </c>
      <c r="J24" s="186">
        <f t="shared" si="2"/>
        <v>5.340000000000001E-2</v>
      </c>
      <c r="K24" s="228">
        <v>0.7712</v>
      </c>
      <c r="L24" s="194">
        <v>2039</v>
      </c>
      <c r="M24" s="242">
        <f t="shared" si="11"/>
        <v>3090.1880736891835</v>
      </c>
      <c r="N24" s="242">
        <v>2982.4176438356171</v>
      </c>
      <c r="O24" s="242">
        <v>0.62506849315068491</v>
      </c>
      <c r="P24" s="242">
        <f t="shared" si="12"/>
        <v>107.77042985356636</v>
      </c>
      <c r="Q24" s="243">
        <f t="shared" si="13"/>
        <v>0.96512496091381716</v>
      </c>
      <c r="R24" s="245">
        <f t="shared" si="3"/>
        <v>8.4930996560415917</v>
      </c>
      <c r="S24" s="243">
        <f t="shared" si="10"/>
        <v>0.9466</v>
      </c>
      <c r="T24" s="194">
        <v>3000</v>
      </c>
      <c r="U24" s="213">
        <v>2000</v>
      </c>
      <c r="V24" s="194">
        <v>1100</v>
      </c>
      <c r="W24" s="194">
        <v>800</v>
      </c>
      <c r="AA24" s="232">
        <f t="shared" si="4"/>
        <v>-150</v>
      </c>
      <c r="AB24" s="233">
        <f t="shared" si="5"/>
        <v>305850</v>
      </c>
      <c r="AC24" s="234">
        <f t="shared" si="6"/>
        <v>0</v>
      </c>
      <c r="AD24" s="224">
        <f t="shared" si="7"/>
        <v>10.4025</v>
      </c>
      <c r="AE24" s="225">
        <f t="shared" si="8"/>
        <v>9.8823749999999997</v>
      </c>
      <c r="AF24" s="186">
        <f t="shared" si="9"/>
        <v>0.12299715909090897</v>
      </c>
    </row>
    <row r="25" spans="3:32" x14ac:dyDescent="0.25">
      <c r="C25" t="s">
        <v>503</v>
      </c>
      <c r="E25" s="194">
        <v>1.1399999999999999</v>
      </c>
      <c r="F25" s="194">
        <v>0.47</v>
      </c>
      <c r="G25">
        <f>+E25*93.12%</f>
        <v>1.0615679999999998</v>
      </c>
      <c r="H25">
        <f t="shared" si="0"/>
        <v>7.8432000000000057E-2</v>
      </c>
      <c r="I25" s="186">
        <f t="shared" si="1"/>
        <v>0.93119999999999992</v>
      </c>
      <c r="J25" s="186">
        <f t="shared" si="2"/>
        <v>6.8800000000000056E-2</v>
      </c>
      <c r="K25" s="228">
        <v>0.73509999999999998</v>
      </c>
      <c r="L25" s="194">
        <v>2033</v>
      </c>
      <c r="M25" s="242">
        <f t="shared" si="11"/>
        <v>1290.1837175247995</v>
      </c>
      <c r="N25" s="242">
        <v>1266.3858904109591</v>
      </c>
      <c r="O25" s="242">
        <v>0.13802739726027391</v>
      </c>
      <c r="P25" s="242">
        <f t="shared" si="12"/>
        <v>23.797827113840331</v>
      </c>
      <c r="Q25" s="243">
        <f t="shared" si="13"/>
        <v>0.98155469892342451</v>
      </c>
      <c r="R25" s="245">
        <f t="shared" si="3"/>
        <v>1.1189723567727039</v>
      </c>
      <c r="S25" s="243">
        <f t="shared" si="10"/>
        <v>0.93119999999999992</v>
      </c>
      <c r="T25" s="205">
        <v>1000</v>
      </c>
      <c r="U25" s="213">
        <v>300</v>
      </c>
      <c r="V25" s="194">
        <v>100</v>
      </c>
      <c r="AA25" s="232">
        <f t="shared" si="4"/>
        <v>-90</v>
      </c>
      <c r="AB25" s="233">
        <f t="shared" si="5"/>
        <v>182716.66666666666</v>
      </c>
      <c r="AC25" s="234">
        <f t="shared" si="6"/>
        <v>-253.33333333334303</v>
      </c>
      <c r="AD25" s="224">
        <f t="shared" si="7"/>
        <v>1.7714666666666437</v>
      </c>
      <c r="AE25" s="225">
        <f t="shared" si="8"/>
        <v>1.5737583333405851</v>
      </c>
      <c r="AF25" s="186">
        <f t="shared" si="9"/>
        <v>0.38048976608823271</v>
      </c>
    </row>
    <row r="26" spans="3:32" x14ac:dyDescent="0.25">
      <c r="C26" t="s">
        <v>504</v>
      </c>
      <c r="E26" s="194">
        <v>1.31</v>
      </c>
      <c r="F26" s="194">
        <v>0.37</v>
      </c>
      <c r="G26">
        <f>+E26*95.34%</f>
        <v>1.2489540000000001</v>
      </c>
      <c r="H26">
        <f t="shared" si="0"/>
        <v>6.1045999999999934E-2</v>
      </c>
      <c r="I26" s="186">
        <f t="shared" si="1"/>
        <v>0.95340000000000003</v>
      </c>
      <c r="J26" s="186">
        <f t="shared" si="2"/>
        <v>4.6599999999999947E-2</v>
      </c>
      <c r="K26" s="228">
        <v>0.34710000000000002</v>
      </c>
      <c r="L26" s="194">
        <v>2053</v>
      </c>
      <c r="M26" s="242">
        <f t="shared" si="11"/>
        <v>483.05330278696272</v>
      </c>
      <c r="N26" s="242">
        <v>435.87805479452061</v>
      </c>
      <c r="O26" s="242">
        <v>0.27361643835616434</v>
      </c>
      <c r="P26" s="242">
        <f t="shared" si="12"/>
        <v>47.175247992442124</v>
      </c>
      <c r="Q26" s="243">
        <f t="shared" si="13"/>
        <v>0.90233945670122573</v>
      </c>
      <c r="R26" s="245">
        <f t="shared" si="3"/>
        <v>1.1820646882786057</v>
      </c>
      <c r="S26" s="243">
        <f t="shared" si="10"/>
        <v>0.95340000000000003</v>
      </c>
      <c r="T26" s="205">
        <v>480</v>
      </c>
      <c r="U26" s="205">
        <v>280</v>
      </c>
      <c r="V26" s="194">
        <v>125</v>
      </c>
      <c r="W26">
        <v>90</v>
      </c>
      <c r="X26">
        <v>50</v>
      </c>
      <c r="Y26">
        <v>30</v>
      </c>
      <c r="Z26">
        <v>25</v>
      </c>
      <c r="AA26" s="232">
        <f t="shared" si="4"/>
        <v>-13.857142857142858</v>
      </c>
      <c r="AB26" s="233">
        <f t="shared" si="5"/>
        <v>28353.571428571428</v>
      </c>
      <c r="AC26" s="234">
        <f t="shared" si="6"/>
        <v>-95.142857142858702</v>
      </c>
      <c r="AD26" s="224">
        <f t="shared" si="7"/>
        <v>2.3178021428571336</v>
      </c>
      <c r="AE26" s="225">
        <f t="shared" si="8"/>
        <v>1.6080075</v>
      </c>
      <c r="AF26" s="186">
        <f t="shared" si="9"/>
        <v>0.22748664122137402</v>
      </c>
    </row>
    <row r="27" spans="3:32" x14ac:dyDescent="0.25">
      <c r="C27" t="s">
        <v>505</v>
      </c>
      <c r="E27" s="194">
        <v>4.72</v>
      </c>
      <c r="F27" s="194">
        <v>7.45</v>
      </c>
      <c r="G27">
        <f>+E27*73.7%</f>
        <v>3.47864</v>
      </c>
      <c r="H27">
        <f t="shared" si="0"/>
        <v>1.2413599999999998</v>
      </c>
      <c r="I27" s="186">
        <f t="shared" si="1"/>
        <v>0.73699999999999999</v>
      </c>
      <c r="J27" s="186">
        <f t="shared" si="2"/>
        <v>0.26299999999999996</v>
      </c>
      <c r="K27" s="228">
        <v>0.91449999999999998</v>
      </c>
      <c r="L27" s="194">
        <v>2030</v>
      </c>
      <c r="M27" s="242">
        <f t="shared" si="11"/>
        <v>4583.6177808219181</v>
      </c>
      <c r="N27" s="242">
        <v>4583.6177808219181</v>
      </c>
      <c r="O27" s="242">
        <v>0</v>
      </c>
      <c r="P27" s="242">
        <f t="shared" si="12"/>
        <v>0</v>
      </c>
      <c r="Q27" s="243">
        <f t="shared" si="13"/>
        <v>1</v>
      </c>
      <c r="R27" s="245">
        <f t="shared" si="3"/>
        <v>4.72</v>
      </c>
      <c r="S27" s="243">
        <f t="shared" si="10"/>
        <v>0.73699999999999999</v>
      </c>
      <c r="T27" s="205">
        <v>3750</v>
      </c>
      <c r="U27" s="205">
        <v>1750</v>
      </c>
      <c r="V27" s="194">
        <v>750</v>
      </c>
      <c r="AA27" s="232">
        <f t="shared" si="4"/>
        <v>-300</v>
      </c>
      <c r="AB27" s="233">
        <f t="shared" si="5"/>
        <v>609583.33333333337</v>
      </c>
      <c r="AC27" s="234">
        <f t="shared" si="6"/>
        <v>583.33333333337214</v>
      </c>
      <c r="AD27" s="224">
        <f t="shared" si="7"/>
        <v>7.9083333333334034</v>
      </c>
      <c r="AE27" s="225">
        <f t="shared" si="8"/>
        <v>7.6041666666376591</v>
      </c>
      <c r="AF27" s="186">
        <f t="shared" si="9"/>
        <v>0.61105225988086009</v>
      </c>
    </row>
    <row r="28" spans="3:32" x14ac:dyDescent="0.25">
      <c r="C28" t="s">
        <v>506</v>
      </c>
      <c r="E28" s="194">
        <v>11.27</v>
      </c>
      <c r="F28" s="194">
        <v>0</v>
      </c>
      <c r="G28">
        <v>11.27</v>
      </c>
      <c r="H28">
        <f t="shared" si="0"/>
        <v>0</v>
      </c>
      <c r="I28" s="186">
        <f t="shared" si="1"/>
        <v>1</v>
      </c>
      <c r="J28" s="186">
        <f t="shared" si="2"/>
        <v>0</v>
      </c>
      <c r="K28" s="228">
        <v>0.4148</v>
      </c>
      <c r="L28" s="194">
        <v>2067</v>
      </c>
      <c r="M28" s="242">
        <f t="shared" si="11"/>
        <v>0</v>
      </c>
      <c r="N28" s="242"/>
      <c r="O28" s="242"/>
      <c r="P28" s="242">
        <f t="shared" si="12"/>
        <v>0</v>
      </c>
      <c r="Q28" s="243" t="e">
        <f t="shared" si="13"/>
        <v>#DIV/0!</v>
      </c>
      <c r="R28" s="245"/>
      <c r="S28" s="243">
        <f t="shared" si="10"/>
        <v>1</v>
      </c>
      <c r="T28" s="205">
        <v>2500</v>
      </c>
      <c r="U28" s="214">
        <v>1750</v>
      </c>
      <c r="V28" s="194">
        <v>1250</v>
      </c>
      <c r="W28">
        <v>800</v>
      </c>
      <c r="X28">
        <v>600</v>
      </c>
      <c r="Y28">
        <v>400</v>
      </c>
      <c r="Z28">
        <v>300</v>
      </c>
      <c r="AA28" s="232">
        <f t="shared" si="4"/>
        <v>-71.071428571428569</v>
      </c>
      <c r="AB28" s="233">
        <f t="shared" si="5"/>
        <v>145716.07142857142</v>
      </c>
      <c r="AC28" s="234">
        <f t="shared" si="6"/>
        <v>-1188.5714285714203</v>
      </c>
      <c r="AD28" s="224">
        <f t="shared" si="7"/>
        <v>11.248778571428643</v>
      </c>
      <c r="AE28" s="225">
        <f t="shared" si="8"/>
        <v>8.2619705357080697</v>
      </c>
      <c r="AF28" s="186">
        <f t="shared" si="9"/>
        <v>-0.2669058974527001</v>
      </c>
    </row>
    <row r="29" spans="3:32" x14ac:dyDescent="0.25">
      <c r="C29" t="s">
        <v>318</v>
      </c>
      <c r="E29" s="194">
        <v>3.84</v>
      </c>
      <c r="F29" s="194">
        <v>23.03</v>
      </c>
      <c r="H29">
        <f t="shared" si="0"/>
        <v>3.84</v>
      </c>
      <c r="I29" s="186">
        <f t="shared" si="1"/>
        <v>0</v>
      </c>
      <c r="J29" s="186">
        <f t="shared" si="2"/>
        <v>1</v>
      </c>
      <c r="K29" s="228">
        <v>0.84079999999999999</v>
      </c>
      <c r="L29" s="194">
        <v>2028</v>
      </c>
      <c r="M29" s="242">
        <f t="shared" si="11"/>
        <v>5516.7123287671238</v>
      </c>
      <c r="N29" s="242">
        <v>0</v>
      </c>
      <c r="O29" s="242">
        <v>31.996931506849318</v>
      </c>
      <c r="P29" s="242">
        <f t="shared" si="12"/>
        <v>5516.7123287671238</v>
      </c>
      <c r="Q29" s="243">
        <f t="shared" si="13"/>
        <v>0</v>
      </c>
      <c r="R29" s="245">
        <f t="shared" ref="R29:R38" si="14">+Q29*E29</f>
        <v>0</v>
      </c>
      <c r="S29" s="243">
        <f t="shared" si="10"/>
        <v>0</v>
      </c>
      <c r="T29" s="205">
        <v>5300</v>
      </c>
      <c r="U29" s="205">
        <v>1250</v>
      </c>
      <c r="AA29" s="232">
        <f t="shared" si="4"/>
        <v>-810</v>
      </c>
      <c r="AB29" s="233">
        <f t="shared" si="5"/>
        <v>1641500</v>
      </c>
      <c r="AC29" s="234">
        <f t="shared" si="6"/>
        <v>-1180</v>
      </c>
      <c r="AD29" s="224">
        <f t="shared" si="7"/>
        <v>6.0152000000000001</v>
      </c>
      <c r="AE29" s="225">
        <f t="shared" si="8"/>
        <v>6.0152000000000001</v>
      </c>
      <c r="AF29" s="186">
        <f t="shared" si="9"/>
        <v>0.5664583333333334</v>
      </c>
    </row>
    <row r="30" spans="3:32" x14ac:dyDescent="0.25">
      <c r="C30" t="s">
        <v>508</v>
      </c>
      <c r="E30" s="194">
        <v>14.92</v>
      </c>
      <c r="F30">
        <v>0.24</v>
      </c>
      <c r="G30">
        <f>+E30*99.74%</f>
        <v>14.881207999999999</v>
      </c>
      <c r="H30">
        <f t="shared" si="0"/>
        <v>3.8792000000000826E-2</v>
      </c>
      <c r="I30" s="186">
        <f t="shared" si="1"/>
        <v>0.99739999999999995</v>
      </c>
      <c r="J30" s="186">
        <f t="shared" si="2"/>
        <v>2.6000000000000554E-3</v>
      </c>
      <c r="K30" s="228">
        <v>0.75690000000000002</v>
      </c>
      <c r="L30" s="194">
        <v>2043</v>
      </c>
      <c r="M30" s="242">
        <f t="shared" si="11"/>
        <v>12434.820158715165</v>
      </c>
      <c r="N30" s="242">
        <v>12274.754027397263</v>
      </c>
      <c r="O30" s="242">
        <v>0.92838356164383562</v>
      </c>
      <c r="P30" s="242">
        <f t="shared" si="12"/>
        <v>160.06613131790269</v>
      </c>
      <c r="Q30" s="243">
        <f t="shared" si="13"/>
        <v>0.98712758775158338</v>
      </c>
      <c r="R30" s="245">
        <f t="shared" si="14"/>
        <v>14.727943609253623</v>
      </c>
      <c r="S30" s="243">
        <f t="shared" si="10"/>
        <v>0.99739999999999995</v>
      </c>
      <c r="T30" s="205">
        <v>10000</v>
      </c>
      <c r="U30" s="205">
        <v>4000</v>
      </c>
      <c r="V30" s="194">
        <v>1000</v>
      </c>
      <c r="W30">
        <v>500</v>
      </c>
      <c r="X30">
        <v>400</v>
      </c>
      <c r="AA30" s="232">
        <f t="shared" si="4"/>
        <v>-454</v>
      </c>
      <c r="AB30" s="233">
        <f t="shared" si="5"/>
        <v>924800</v>
      </c>
      <c r="AC30" s="234">
        <f t="shared" si="6"/>
        <v>-2722</v>
      </c>
      <c r="AD30" s="224">
        <f t="shared" si="7"/>
        <v>30.549405</v>
      </c>
      <c r="AE30" s="225">
        <f t="shared" si="8"/>
        <v>20.979105000000001</v>
      </c>
      <c r="AF30" s="186">
        <f t="shared" si="9"/>
        <v>0.40610623324396788</v>
      </c>
    </row>
    <row r="31" spans="3:32" x14ac:dyDescent="0.25">
      <c r="C31" t="s">
        <v>80</v>
      </c>
      <c r="E31" s="194">
        <v>43.42</v>
      </c>
      <c r="F31" s="194">
        <v>16.96</v>
      </c>
      <c r="G31">
        <f>+E31*93.49%</f>
        <v>40.593358000000002</v>
      </c>
      <c r="H31">
        <f t="shared" si="0"/>
        <v>2.8266419999999997</v>
      </c>
      <c r="I31" s="186">
        <f t="shared" si="1"/>
        <v>0.93490000000000006</v>
      </c>
      <c r="J31" s="186">
        <f t="shared" si="2"/>
        <v>6.5099999999999991E-2</v>
      </c>
      <c r="K31" s="228">
        <v>0.76190000000000002</v>
      </c>
      <c r="L31" s="194">
        <v>2042</v>
      </c>
      <c r="M31" s="242">
        <f t="shared" si="11"/>
        <v>30543.691030703827</v>
      </c>
      <c r="N31" s="242">
        <v>30059.642849315071</v>
      </c>
      <c r="O31" s="242">
        <v>2.8074794520547948</v>
      </c>
      <c r="P31" s="242">
        <f t="shared" si="12"/>
        <v>484.04818138875771</v>
      </c>
      <c r="Q31" s="243">
        <f t="shared" si="13"/>
        <v>0.98415226958319579</v>
      </c>
      <c r="R31" s="245">
        <f t="shared" si="14"/>
        <v>42.731891545302361</v>
      </c>
      <c r="S31" s="243">
        <f t="shared" si="10"/>
        <v>0.93490000000000006</v>
      </c>
      <c r="T31" s="205">
        <v>25000</v>
      </c>
      <c r="U31" s="205">
        <v>12500</v>
      </c>
      <c r="V31" s="194">
        <v>4500</v>
      </c>
      <c r="W31">
        <v>2500</v>
      </c>
      <c r="X31">
        <v>1000</v>
      </c>
      <c r="AA31" s="232">
        <f t="shared" si="4"/>
        <v>-1160</v>
      </c>
      <c r="AB31" s="233">
        <f t="shared" si="5"/>
        <v>2363900</v>
      </c>
      <c r="AC31" s="234">
        <f t="shared" si="6"/>
        <v>-4820</v>
      </c>
      <c r="AD31" s="224">
        <f t="shared" si="7"/>
        <v>81.0227</v>
      </c>
      <c r="AE31" s="225">
        <f t="shared" si="8"/>
        <v>63.758200000000002</v>
      </c>
      <c r="AF31" s="186">
        <f t="shared" si="9"/>
        <v>0.46840626439428834</v>
      </c>
    </row>
    <row r="32" spans="3:32" x14ac:dyDescent="0.25">
      <c r="C32" t="s">
        <v>449</v>
      </c>
      <c r="E32" s="194">
        <v>7.3</v>
      </c>
      <c r="F32" s="194">
        <v>4.54</v>
      </c>
      <c r="G32">
        <f>+E32*89.64%</f>
        <v>6.5437199999999995</v>
      </c>
      <c r="H32">
        <f t="shared" si="0"/>
        <v>0.75628000000000029</v>
      </c>
      <c r="I32" s="186">
        <f t="shared" si="1"/>
        <v>0.89639999999999997</v>
      </c>
      <c r="J32" s="186">
        <f t="shared" si="2"/>
        <v>0.10360000000000004</v>
      </c>
      <c r="K32" s="228">
        <v>0.77580000000000005</v>
      </c>
      <c r="L32" s="194">
        <v>2044</v>
      </c>
      <c r="M32" s="242">
        <f t="shared" si="11"/>
        <v>1962.0646849315069</v>
      </c>
      <c r="N32" s="242">
        <v>1962.0646849315069</v>
      </c>
      <c r="O32" s="242">
        <v>0</v>
      </c>
      <c r="P32" s="242">
        <f t="shared" si="12"/>
        <v>0</v>
      </c>
      <c r="Q32" s="243">
        <f t="shared" si="13"/>
        <v>1</v>
      </c>
      <c r="R32" s="245">
        <f t="shared" si="14"/>
        <v>7.3</v>
      </c>
      <c r="S32" s="243">
        <f t="shared" si="10"/>
        <v>0.89639999999999997</v>
      </c>
      <c r="T32" s="205">
        <v>2000</v>
      </c>
      <c r="U32" s="205">
        <v>1250</v>
      </c>
      <c r="V32" s="194">
        <v>900</v>
      </c>
      <c r="W32">
        <v>600</v>
      </c>
      <c r="X32">
        <v>400</v>
      </c>
      <c r="AA32" s="232">
        <f t="shared" si="4"/>
        <v>-77</v>
      </c>
      <c r="AB32" s="233">
        <f t="shared" si="5"/>
        <v>157340</v>
      </c>
      <c r="AC32" s="234">
        <f t="shared" si="6"/>
        <v>-48</v>
      </c>
      <c r="AD32" s="224">
        <f t="shared" si="7"/>
        <v>8.5497599999999991</v>
      </c>
      <c r="AE32" s="225">
        <f t="shared" si="8"/>
        <v>7.6737599999999997</v>
      </c>
      <c r="AF32" s="186">
        <f t="shared" si="9"/>
        <v>5.1199999999999982E-2</v>
      </c>
    </row>
    <row r="33" spans="3:32" x14ac:dyDescent="0.25">
      <c r="C33" t="s">
        <v>509</v>
      </c>
      <c r="E33" s="194">
        <v>0.57999999999999996</v>
      </c>
      <c r="F33" s="194">
        <v>0</v>
      </c>
      <c r="G33">
        <f>+E33</f>
        <v>0.57999999999999996</v>
      </c>
      <c r="H33">
        <f t="shared" si="0"/>
        <v>0</v>
      </c>
      <c r="I33" s="186">
        <f t="shared" si="1"/>
        <v>1</v>
      </c>
      <c r="J33" s="186">
        <f t="shared" si="2"/>
        <v>0</v>
      </c>
      <c r="K33" s="228">
        <v>0.91830000000000001</v>
      </c>
      <c r="L33" s="194">
        <v>2031</v>
      </c>
      <c r="M33" s="242">
        <f t="shared" si="11"/>
        <v>60862.479471894199</v>
      </c>
      <c r="N33" s="242">
        <v>26403.53284931507</v>
      </c>
      <c r="O33" s="242">
        <v>199.86189041095895</v>
      </c>
      <c r="P33" s="242">
        <f t="shared" si="12"/>
        <v>34458.946622579126</v>
      </c>
      <c r="Q33" s="243">
        <f t="shared" si="13"/>
        <v>0.43382282612242257</v>
      </c>
      <c r="R33" s="245">
        <f t="shared" si="14"/>
        <v>0.25161723915100509</v>
      </c>
      <c r="S33" s="243">
        <f t="shared" si="10"/>
        <v>1</v>
      </c>
      <c r="T33" s="205">
        <v>500</v>
      </c>
      <c r="U33" s="205">
        <v>200</v>
      </c>
      <c r="V33" s="194">
        <v>80</v>
      </c>
      <c r="AA33" s="232">
        <f t="shared" si="4"/>
        <v>-42</v>
      </c>
      <c r="AB33" s="233">
        <f t="shared" si="5"/>
        <v>85310</v>
      </c>
      <c r="AC33" s="234">
        <f t="shared" si="6"/>
        <v>8</v>
      </c>
      <c r="AD33" s="224">
        <f t="shared" si="7"/>
        <v>1.0198100000000001</v>
      </c>
      <c r="AE33" s="225">
        <f t="shared" si="8"/>
        <v>0.95958500000000002</v>
      </c>
      <c r="AF33" s="186">
        <f t="shared" si="9"/>
        <v>0.65445689655172434</v>
      </c>
    </row>
    <row r="34" spans="3:32" x14ac:dyDescent="0.25">
      <c r="C34" t="s">
        <v>510</v>
      </c>
      <c r="E34" s="194">
        <v>130.22</v>
      </c>
      <c r="F34" s="194">
        <v>284</v>
      </c>
      <c r="G34">
        <f>+E34*63.65%</f>
        <v>82.88503</v>
      </c>
      <c r="H34">
        <f t="shared" si="0"/>
        <v>47.334969999999998</v>
      </c>
      <c r="I34" s="186">
        <f t="shared" si="1"/>
        <v>0.63649999999999995</v>
      </c>
      <c r="J34" s="186">
        <f t="shared" si="2"/>
        <v>0.36349999999999999</v>
      </c>
      <c r="K34" s="228">
        <v>0.63759999999999994</v>
      </c>
      <c r="L34" s="194">
        <v>2018</v>
      </c>
      <c r="M34" s="242">
        <f t="shared" si="11"/>
        <v>604.87506849315071</v>
      </c>
      <c r="N34" s="242">
        <v>604.87506849315071</v>
      </c>
      <c r="O34" s="242">
        <v>0</v>
      </c>
      <c r="P34" s="242">
        <f t="shared" si="12"/>
        <v>0</v>
      </c>
      <c r="Q34" s="243">
        <f t="shared" si="13"/>
        <v>1</v>
      </c>
      <c r="R34" s="245">
        <f t="shared" si="14"/>
        <v>130.22</v>
      </c>
      <c r="S34" s="243">
        <f t="shared" si="10"/>
        <v>0.63649999999999995</v>
      </c>
      <c r="T34" s="205">
        <v>55000</v>
      </c>
      <c r="U34" s="205">
        <v>31000</v>
      </c>
      <c r="V34" s="194">
        <v>15000</v>
      </c>
      <c r="W34">
        <v>8000</v>
      </c>
      <c r="AA34" s="232">
        <f t="shared" si="4"/>
        <v>-3140</v>
      </c>
      <c r="AB34" s="233">
        <f t="shared" si="5"/>
        <v>6393600</v>
      </c>
      <c r="AC34" s="234">
        <f t="shared" si="6"/>
        <v>57080</v>
      </c>
      <c r="AD34" s="224">
        <f t="shared" si="7"/>
        <v>-40.909199999999998</v>
      </c>
      <c r="AE34" s="225">
        <f t="shared" si="8"/>
        <v>-39.376199999999997</v>
      </c>
      <c r="AF34" s="186">
        <f t="shared" si="9"/>
        <v>-1.3023821225618186</v>
      </c>
    </row>
    <row r="35" spans="3:32" x14ac:dyDescent="0.25">
      <c r="C35" t="s">
        <v>344</v>
      </c>
      <c r="E35" s="194">
        <v>24.09</v>
      </c>
      <c r="F35" s="194">
        <v>0</v>
      </c>
      <c r="G35">
        <f>+E35</f>
        <v>24.09</v>
      </c>
      <c r="H35">
        <f t="shared" si="0"/>
        <v>0</v>
      </c>
      <c r="I35" s="186">
        <f t="shared" si="1"/>
        <v>1</v>
      </c>
      <c r="J35" s="186">
        <f t="shared" si="2"/>
        <v>0</v>
      </c>
      <c r="K35" s="228">
        <v>0.73740000000000006</v>
      </c>
      <c r="L35" s="194">
        <v>2064</v>
      </c>
      <c r="M35" s="242">
        <f t="shared" si="11"/>
        <v>4233.3403013698626</v>
      </c>
      <c r="N35" s="242">
        <v>4233.3403013698626</v>
      </c>
      <c r="O35" s="242">
        <v>0</v>
      </c>
      <c r="P35" s="242">
        <f t="shared" si="12"/>
        <v>0</v>
      </c>
      <c r="Q35" s="243">
        <f t="shared" si="13"/>
        <v>1</v>
      </c>
      <c r="R35" s="245">
        <f t="shared" si="14"/>
        <v>24.09</v>
      </c>
      <c r="S35" s="243">
        <f t="shared" si="10"/>
        <v>1</v>
      </c>
      <c r="T35" s="205">
        <v>4000</v>
      </c>
      <c r="U35" s="205">
        <v>3500</v>
      </c>
      <c r="V35" s="194">
        <v>2500</v>
      </c>
      <c r="W35">
        <v>2000</v>
      </c>
      <c r="X35">
        <v>1500</v>
      </c>
      <c r="Y35">
        <v>1250</v>
      </c>
      <c r="Z35">
        <v>1000</v>
      </c>
      <c r="AA35" s="232">
        <f t="shared" si="4"/>
        <v>-103.57142857142857</v>
      </c>
      <c r="AB35" s="233">
        <f t="shared" si="5"/>
        <v>213017.85714285713</v>
      </c>
      <c r="AC35" s="234">
        <f t="shared" si="6"/>
        <v>-753.57142857144936</v>
      </c>
      <c r="AD35" s="224">
        <f t="shared" si="7"/>
        <v>26.068821428571262</v>
      </c>
      <c r="AE35" s="225">
        <f t="shared" si="8"/>
        <v>24.491499999999998</v>
      </c>
      <c r="AF35" s="186">
        <f t="shared" si="9"/>
        <v>1.6666666666666611E-2</v>
      </c>
    </row>
    <row r="36" spans="3:32" x14ac:dyDescent="0.25">
      <c r="C36" t="s">
        <v>511</v>
      </c>
      <c r="E36" s="194">
        <v>5.59</v>
      </c>
      <c r="F36" s="194">
        <v>0</v>
      </c>
      <c r="G36">
        <f>+E36</f>
        <v>5.59</v>
      </c>
      <c r="H36">
        <f t="shared" si="0"/>
        <v>0</v>
      </c>
      <c r="I36" s="186">
        <f t="shared" si="1"/>
        <v>1</v>
      </c>
      <c r="J36" s="186">
        <f t="shared" si="2"/>
        <v>0</v>
      </c>
      <c r="K36" s="228">
        <v>0.69210000000000005</v>
      </c>
      <c r="L36" s="194">
        <v>2047</v>
      </c>
      <c r="M36" s="242">
        <f t="shared" si="11"/>
        <v>1476.5236986301368</v>
      </c>
      <c r="N36" s="242">
        <v>1476.5236986301368</v>
      </c>
      <c r="O36" s="242">
        <v>0</v>
      </c>
      <c r="P36" s="242">
        <f t="shared" si="12"/>
        <v>0</v>
      </c>
      <c r="Q36" s="243">
        <f t="shared" si="13"/>
        <v>1</v>
      </c>
      <c r="R36" s="245">
        <f t="shared" si="14"/>
        <v>5.59</v>
      </c>
      <c r="S36" s="243">
        <f t="shared" si="10"/>
        <v>1</v>
      </c>
      <c r="T36" s="205">
        <v>1400</v>
      </c>
      <c r="U36" s="205">
        <v>1250</v>
      </c>
      <c r="V36" s="194">
        <v>750</v>
      </c>
      <c r="W36">
        <v>450</v>
      </c>
      <c r="X36">
        <v>250</v>
      </c>
      <c r="AA36" s="232">
        <f t="shared" si="4"/>
        <v>-62</v>
      </c>
      <c r="AB36" s="233">
        <f t="shared" si="5"/>
        <v>126680</v>
      </c>
      <c r="AC36" s="234">
        <f t="shared" si="6"/>
        <v>-234</v>
      </c>
      <c r="AD36" s="224">
        <f t="shared" si="7"/>
        <v>5.7454650000000003</v>
      </c>
      <c r="AE36" s="225">
        <f t="shared" si="8"/>
        <v>5.9425650000000001</v>
      </c>
      <c r="AF36" s="186">
        <f t="shared" si="9"/>
        <v>6.307066189624333E-2</v>
      </c>
    </row>
    <row r="37" spans="3:32" x14ac:dyDescent="0.25">
      <c r="C37" t="s">
        <v>345</v>
      </c>
      <c r="E37" s="194">
        <v>16.52</v>
      </c>
      <c r="F37" s="194">
        <v>1.91</v>
      </c>
      <c r="G37">
        <f>+E37*98.07%</f>
        <v>16.201163999999999</v>
      </c>
      <c r="H37">
        <f t="shared" si="0"/>
        <v>0.31883600000000101</v>
      </c>
      <c r="I37" s="186">
        <f t="shared" si="1"/>
        <v>0.98069999999999991</v>
      </c>
      <c r="J37" s="186">
        <f t="shared" si="2"/>
        <v>1.930000000000006E-2</v>
      </c>
      <c r="K37" s="228">
        <v>0.73629999999999995</v>
      </c>
      <c r="L37" s="194">
        <v>2060</v>
      </c>
      <c r="M37" s="242">
        <f t="shared" si="11"/>
        <v>4154.1152328767121</v>
      </c>
      <c r="N37" s="242">
        <v>4154.1152328767121</v>
      </c>
      <c r="O37" s="242">
        <v>0</v>
      </c>
      <c r="P37" s="242">
        <f t="shared" si="12"/>
        <v>0</v>
      </c>
      <c r="Q37" s="243">
        <f t="shared" si="13"/>
        <v>1</v>
      </c>
      <c r="R37" s="245">
        <f t="shared" si="14"/>
        <v>16.52</v>
      </c>
      <c r="S37" s="243">
        <f t="shared" si="10"/>
        <v>0.98069999999999991</v>
      </c>
      <c r="T37" s="205">
        <v>4000</v>
      </c>
      <c r="U37" s="205">
        <v>3000</v>
      </c>
      <c r="V37" s="194">
        <v>1800</v>
      </c>
      <c r="W37">
        <v>1250</v>
      </c>
      <c r="X37">
        <v>1000</v>
      </c>
      <c r="Y37">
        <v>750</v>
      </c>
      <c r="AA37" s="232">
        <f t="shared" si="4"/>
        <v>-130.28571428571428</v>
      </c>
      <c r="AB37" s="233">
        <f t="shared" si="5"/>
        <v>266772.38095238095</v>
      </c>
      <c r="AC37" s="234">
        <f t="shared" si="6"/>
        <v>-1616.1904761904734</v>
      </c>
      <c r="AD37" s="224">
        <f t="shared" si="7"/>
        <v>17.401809523809543</v>
      </c>
      <c r="AE37" s="225">
        <f t="shared" si="8"/>
        <v>14.447047619026899</v>
      </c>
      <c r="AF37" s="186">
        <f t="shared" si="9"/>
        <v>-0.12548137899352912</v>
      </c>
    </row>
    <row r="38" spans="3:32" x14ac:dyDescent="0.25">
      <c r="C38" t="s">
        <v>512</v>
      </c>
      <c r="E38" s="194">
        <v>90.73</v>
      </c>
      <c r="F38" s="194">
        <v>10.09</v>
      </c>
      <c r="G38">
        <f>+E38*98.15%</f>
        <v>89.051495000000003</v>
      </c>
      <c r="H38">
        <f t="shared" si="0"/>
        <v>1.6785050000000012</v>
      </c>
      <c r="I38" s="186">
        <f t="shared" si="1"/>
        <v>0.98150000000000004</v>
      </c>
      <c r="J38" s="186">
        <f t="shared" si="2"/>
        <v>1.8500000000000013E-2</v>
      </c>
      <c r="K38" s="228">
        <v>0.50829999999999997</v>
      </c>
      <c r="L38" s="194">
        <v>2061</v>
      </c>
      <c r="M38" s="242">
        <f t="shared" si="11"/>
        <v>18271.22222390175</v>
      </c>
      <c r="N38" s="242">
        <v>17849.99879452055</v>
      </c>
      <c r="O38" s="242">
        <v>2.4430958904109596</v>
      </c>
      <c r="P38" s="242">
        <f t="shared" si="12"/>
        <v>421.22342938119994</v>
      </c>
      <c r="Q38" s="243">
        <f t="shared" si="13"/>
        <v>0.97694607266994049</v>
      </c>
      <c r="R38" s="245">
        <f t="shared" si="14"/>
        <v>88.638317173343708</v>
      </c>
      <c r="S38" s="243">
        <f t="shared" si="10"/>
        <v>0.98150000000000004</v>
      </c>
      <c r="T38" s="205">
        <v>19000</v>
      </c>
      <c r="U38" s="205">
        <v>16000</v>
      </c>
      <c r="V38" s="194">
        <v>10000</v>
      </c>
      <c r="W38">
        <v>7000</v>
      </c>
      <c r="X38">
        <v>4500</v>
      </c>
      <c r="Y38">
        <v>3000</v>
      </c>
      <c r="Z38">
        <v>2000</v>
      </c>
    </row>
    <row r="39" spans="3:32" x14ac:dyDescent="0.25">
      <c r="H39">
        <f t="shared" si="0"/>
        <v>0</v>
      </c>
      <c r="I39" s="186"/>
      <c r="J39" s="186"/>
    </row>
    <row r="40" spans="3:32" x14ac:dyDescent="0.25">
      <c r="C40" t="s">
        <v>519</v>
      </c>
      <c r="E40" s="194" t="s">
        <v>527</v>
      </c>
      <c r="F40" s="194">
        <v>23.75</v>
      </c>
      <c r="G40" t="e">
        <f>+E40*0.74%</f>
        <v>#VALUE!</v>
      </c>
      <c r="H40" t="e">
        <f t="shared" si="0"/>
        <v>#VALUE!</v>
      </c>
      <c r="I40" s="186" t="e">
        <f>+G40/E40</f>
        <v>#VALUE!</v>
      </c>
      <c r="J40" s="186" t="e">
        <f>+H40/E40</f>
        <v>#VALUE!</v>
      </c>
      <c r="K40" s="228">
        <v>0.30909999999999999</v>
      </c>
      <c r="L40" s="194">
        <v>2049</v>
      </c>
      <c r="M40" s="194"/>
      <c r="N40" s="194"/>
      <c r="O40" s="194"/>
      <c r="P40" s="194"/>
      <c r="Q40" s="194"/>
      <c r="R40" s="194"/>
      <c r="S40" s="194"/>
    </row>
    <row r="41" spans="3:32" x14ac:dyDescent="0.25">
      <c r="C41" t="s">
        <v>520</v>
      </c>
      <c r="E41" s="194">
        <v>6.24</v>
      </c>
      <c r="F41" s="194">
        <v>11.14</v>
      </c>
      <c r="G41">
        <f>+E41*70.26%</f>
        <v>4.3842240000000006</v>
      </c>
      <c r="H41">
        <f t="shared" si="0"/>
        <v>1.8557759999999996</v>
      </c>
      <c r="I41" s="186">
        <f>+G41/E41</f>
        <v>0.70260000000000011</v>
      </c>
      <c r="J41" s="186">
        <f>+H41/E41</f>
        <v>0.29739999999999994</v>
      </c>
      <c r="K41" s="228">
        <v>0.77259999999999995</v>
      </c>
      <c r="L41" s="194">
        <v>2041</v>
      </c>
      <c r="M41" s="194"/>
      <c r="N41" s="194"/>
      <c r="O41" s="194"/>
      <c r="P41" s="194"/>
      <c r="Q41" s="194"/>
      <c r="R41" s="194"/>
      <c r="S41" s="194"/>
      <c r="T41" s="205">
        <v>3700</v>
      </c>
    </row>
    <row r="42" spans="3:32" x14ac:dyDescent="0.25">
      <c r="C42" t="s">
        <v>521</v>
      </c>
      <c r="E42" s="194">
        <v>18.809999999999999</v>
      </c>
      <c r="F42" s="194">
        <v>112.29</v>
      </c>
      <c r="G42">
        <f>+E42*0.49%</f>
        <v>9.2168999999999987E-2</v>
      </c>
      <c r="H42">
        <f t="shared" si="0"/>
        <v>18.717831</v>
      </c>
      <c r="I42" s="186">
        <f>+G42/E42</f>
        <v>4.8999999999999998E-3</v>
      </c>
      <c r="J42" s="186">
        <f>+H42/E42</f>
        <v>0.9951000000000001</v>
      </c>
      <c r="K42" s="228">
        <v>0.29599999999999999</v>
      </c>
      <c r="L42" s="194">
        <v>2042</v>
      </c>
      <c r="M42" s="194"/>
      <c r="N42" s="194"/>
      <c r="O42" s="194"/>
      <c r="P42" s="194"/>
      <c r="Q42" s="194"/>
      <c r="R42" s="194"/>
      <c r="S42" s="194"/>
      <c r="T42" s="205">
        <v>4500</v>
      </c>
    </row>
    <row r="43" spans="3:32" x14ac:dyDescent="0.25">
      <c r="C43" t="s">
        <v>522</v>
      </c>
      <c r="E43" s="194">
        <v>9.35</v>
      </c>
      <c r="F43" s="194">
        <v>4.1900000000000004</v>
      </c>
      <c r="G43">
        <f>+E43*92.53%</f>
        <v>8.6515550000000001</v>
      </c>
      <c r="H43">
        <f t="shared" si="0"/>
        <v>0.69844499999999954</v>
      </c>
      <c r="I43" s="186">
        <f>+G43/E43</f>
        <v>0.92530000000000001</v>
      </c>
      <c r="J43" s="186">
        <f>+H43/E43</f>
        <v>7.4699999999999947E-2</v>
      </c>
      <c r="K43" s="228">
        <v>0.51980000000000004</v>
      </c>
      <c r="L43" s="194">
        <v>2068</v>
      </c>
      <c r="M43" s="194"/>
      <c r="N43" s="194"/>
      <c r="O43" s="194"/>
      <c r="P43" s="194"/>
      <c r="Q43" s="194"/>
      <c r="R43" s="194"/>
      <c r="S43" s="194"/>
      <c r="T43" s="194">
        <v>1800</v>
      </c>
    </row>
    <row r="45" spans="3:32" x14ac:dyDescent="0.25">
      <c r="T45">
        <f>+SUM(T6:T43)</f>
        <v>529280</v>
      </c>
      <c r="U45" t="s">
        <v>528</v>
      </c>
    </row>
    <row r="46" spans="3:32" x14ac:dyDescent="0.25">
      <c r="T46">
        <f>+T45*365</f>
        <v>193187200</v>
      </c>
      <c r="U46" t="s">
        <v>528</v>
      </c>
    </row>
    <row r="47" spans="3:32" x14ac:dyDescent="0.25">
      <c r="C47" t="s">
        <v>513</v>
      </c>
      <c r="E47" s="212">
        <f>+SUM(E5:E38)+E42</f>
        <v>1984.8899999999996</v>
      </c>
      <c r="F47" t="s">
        <v>488</v>
      </c>
      <c r="T47" s="229">
        <f>+T46/1000000</f>
        <v>193.18719999999999</v>
      </c>
      <c r="U47" t="s">
        <v>529</v>
      </c>
    </row>
    <row r="48" spans="3:32" x14ac:dyDescent="0.25">
      <c r="C48" t="s">
        <v>514</v>
      </c>
      <c r="E48">
        <f>+SUM(G5:G38)+G42</f>
        <v>1725.2950059999996</v>
      </c>
      <c r="F48" t="s">
        <v>488</v>
      </c>
      <c r="G48" s="186">
        <f>+E48/E47</f>
        <v>0.86921441792744181</v>
      </c>
      <c r="H48" s="186"/>
      <c r="I48" s="186"/>
      <c r="J48" s="186"/>
      <c r="K48" s="212"/>
      <c r="T48" s="219" t="s">
        <v>530</v>
      </c>
      <c r="U48" s="219" t="s">
        <v>531</v>
      </c>
    </row>
    <row r="49" spans="3:21" x14ac:dyDescent="0.25">
      <c r="C49" t="s">
        <v>517</v>
      </c>
      <c r="E49" s="212">
        <f>+E47-E48</f>
        <v>259.59499400000004</v>
      </c>
      <c r="F49" t="s">
        <v>488</v>
      </c>
      <c r="G49" s="186">
        <f>+E49/E47</f>
        <v>0.13078558207255822</v>
      </c>
      <c r="H49" s="186"/>
      <c r="I49" s="186"/>
      <c r="J49" s="186"/>
      <c r="T49" s="236">
        <f>+T47*T54</f>
        <v>25.114335999999998</v>
      </c>
      <c r="U49" s="237">
        <f>+T47*(100%-T54)</f>
        <v>168.07286399999998</v>
      </c>
    </row>
    <row r="50" spans="3:21" x14ac:dyDescent="0.25">
      <c r="C50" t="s">
        <v>515</v>
      </c>
      <c r="E50" s="212">
        <f>+SUM(F5:F38)</f>
        <v>1635.0453439999999</v>
      </c>
      <c r="F50" t="s">
        <v>516</v>
      </c>
    </row>
    <row r="51" spans="3:21" x14ac:dyDescent="0.25">
      <c r="E51" s="212">
        <f>+E50*(1000000000)</f>
        <v>1635045344000</v>
      </c>
      <c r="F51" t="s">
        <v>526</v>
      </c>
    </row>
    <row r="52" spans="3:21" x14ac:dyDescent="0.25">
      <c r="E52" s="212">
        <f>+(E51/G1)/1000000</f>
        <v>272.62588454016498</v>
      </c>
      <c r="L52" t="s">
        <v>518</v>
      </c>
      <c r="T52" t="s">
        <v>532</v>
      </c>
    </row>
    <row r="53" spans="3:21" x14ac:dyDescent="0.25">
      <c r="L53">
        <v>71</v>
      </c>
      <c r="T53" s="235">
        <v>0.87</v>
      </c>
    </row>
    <row r="54" spans="3:21" x14ac:dyDescent="0.25">
      <c r="E54">
        <f>+E50*1000</f>
        <v>1635045.3439999998</v>
      </c>
      <c r="F54" t="s">
        <v>523</v>
      </c>
      <c r="L54">
        <v>29</v>
      </c>
      <c r="T54" s="235">
        <v>0.13</v>
      </c>
    </row>
    <row r="55" spans="3:21" x14ac:dyDescent="0.25">
      <c r="E55">
        <f>+E54/11</f>
        <v>148640.4858181818</v>
      </c>
      <c r="F55" t="s">
        <v>523</v>
      </c>
      <c r="O55" t="s">
        <v>540</v>
      </c>
      <c r="P55" s="212">
        <f>+E47</f>
        <v>1984.8899999999996</v>
      </c>
      <c r="Q55" t="s">
        <v>488</v>
      </c>
    </row>
    <row r="56" spans="3:21" x14ac:dyDescent="0.25">
      <c r="E56">
        <f>+E55/365</f>
        <v>407.234207721046</v>
      </c>
      <c r="F56" t="s">
        <v>523</v>
      </c>
      <c r="O56" t="s">
        <v>541</v>
      </c>
      <c r="P56" s="245">
        <f>+SUM(R6:R38)</f>
        <v>1737.7836457184026</v>
      </c>
    </row>
    <row r="58" spans="3:21" x14ac:dyDescent="0.25">
      <c r="E58">
        <v>1000</v>
      </c>
      <c r="F58" t="s">
        <v>523</v>
      </c>
    </row>
    <row r="59" spans="3:21" x14ac:dyDescent="0.25">
      <c r="E59">
        <f>+E58*365</f>
        <v>365000</v>
      </c>
    </row>
    <row r="60" spans="3:21" x14ac:dyDescent="0.25">
      <c r="E60" s="229">
        <f>+E54/E59</f>
        <v>4.4795762849315066</v>
      </c>
      <c r="F60" t="s">
        <v>524</v>
      </c>
    </row>
    <row r="61" spans="3:21" x14ac:dyDescent="0.25">
      <c r="E61" s="223"/>
    </row>
  </sheetData>
  <mergeCells count="1">
    <mergeCell ref="AD3:AE3"/>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F472-E402-46D4-B360-E35C880EA1BD}">
  <dimension ref="C1:AH61"/>
  <sheetViews>
    <sheetView showGridLines="0" tabSelected="1" topLeftCell="O1" zoomScale="115" zoomScaleNormal="115" workbookViewId="0">
      <selection activeCell="E5" sqref="E5"/>
    </sheetView>
  </sheetViews>
  <sheetFormatPr baseColWidth="10" defaultRowHeight="15" x14ac:dyDescent="0.25"/>
  <cols>
    <col min="3" max="4" width="17.5703125" customWidth="1"/>
    <col min="5" max="5" width="21.42578125" customWidth="1"/>
    <col min="6" max="6" width="13.42578125" customWidth="1"/>
    <col min="7" max="14" width="11.42578125" customWidth="1"/>
    <col min="21" max="21" width="15.28515625" customWidth="1"/>
    <col min="23" max="23" width="14.140625" customWidth="1"/>
    <col min="30" max="30" width="14.140625" customWidth="1"/>
    <col min="31" max="31" width="21.28515625" customWidth="1"/>
    <col min="32" max="32" width="18.85546875" customWidth="1"/>
    <col min="33" max="33" width="20.28515625" customWidth="1"/>
  </cols>
  <sheetData>
    <row r="1" spans="3:34" x14ac:dyDescent="0.25">
      <c r="F1" t="s">
        <v>507</v>
      </c>
      <c r="G1" s="229">
        <f>+F29*1000/E29</f>
        <v>5997.3958333333339</v>
      </c>
      <c r="H1" s="229" t="s">
        <v>525</v>
      </c>
      <c r="I1" s="229"/>
      <c r="J1" s="229"/>
      <c r="K1" s="229"/>
      <c r="L1" s="229"/>
      <c r="W1">
        <v>1</v>
      </c>
      <c r="X1" t="s">
        <v>484</v>
      </c>
      <c r="Y1">
        <v>5800</v>
      </c>
      <c r="Z1" t="s">
        <v>485</v>
      </c>
    </row>
    <row r="3" spans="3:34" x14ac:dyDescent="0.25">
      <c r="O3" s="238" t="s">
        <v>533</v>
      </c>
      <c r="P3" s="239"/>
      <c r="Q3" s="239"/>
      <c r="R3" s="239"/>
      <c r="S3" s="240"/>
      <c r="T3" s="239"/>
      <c r="U3" s="239"/>
      <c r="V3" s="207" t="s">
        <v>479</v>
      </c>
      <c r="W3" s="208"/>
      <c r="X3" s="208"/>
      <c r="Y3" s="208"/>
      <c r="Z3" s="208"/>
      <c r="AA3" s="208"/>
      <c r="AB3" s="209"/>
      <c r="AF3" s="272" t="s">
        <v>488</v>
      </c>
      <c r="AG3" s="272"/>
    </row>
    <row r="4" spans="3:34" x14ac:dyDescent="0.25">
      <c r="E4" s="216" t="s">
        <v>475</v>
      </c>
      <c r="F4" s="217" t="s">
        <v>478</v>
      </c>
      <c r="G4" s="218" t="s">
        <v>477</v>
      </c>
      <c r="H4" s="218" t="s">
        <v>476</v>
      </c>
      <c r="I4" s="218"/>
      <c r="J4" s="218"/>
      <c r="K4" s="218"/>
      <c r="L4" s="218"/>
      <c r="M4" s="219" t="s">
        <v>480</v>
      </c>
      <c r="N4" s="216" t="s">
        <v>481</v>
      </c>
      <c r="O4" s="241" t="s">
        <v>380</v>
      </c>
      <c r="P4" s="241" t="s">
        <v>535</v>
      </c>
      <c r="Q4" s="241" t="s">
        <v>534</v>
      </c>
      <c r="R4" s="241" t="s">
        <v>536</v>
      </c>
      <c r="S4" s="241" t="s">
        <v>537</v>
      </c>
      <c r="T4" s="241" t="s">
        <v>477</v>
      </c>
      <c r="U4" s="241" t="s">
        <v>538</v>
      </c>
      <c r="V4" s="216">
        <v>2020</v>
      </c>
      <c r="W4" s="217">
        <v>2025</v>
      </c>
      <c r="X4" s="217">
        <v>2030</v>
      </c>
      <c r="Y4" s="217">
        <v>2035</v>
      </c>
      <c r="Z4" s="217">
        <v>2040</v>
      </c>
      <c r="AA4" s="217">
        <v>2045</v>
      </c>
      <c r="AB4" s="218">
        <v>2050</v>
      </c>
      <c r="AC4" s="220" t="s">
        <v>483</v>
      </c>
      <c r="AD4" s="221" t="s">
        <v>482</v>
      </c>
      <c r="AE4" s="222" t="s">
        <v>486</v>
      </c>
      <c r="AF4" s="220" t="s">
        <v>487</v>
      </c>
      <c r="AG4" s="221" t="s">
        <v>489</v>
      </c>
      <c r="AH4" s="183" t="s">
        <v>490</v>
      </c>
    </row>
    <row r="5" spans="3:34" x14ac:dyDescent="0.25">
      <c r="C5" t="s">
        <v>301</v>
      </c>
      <c r="E5" s="197">
        <v>28.68</v>
      </c>
      <c r="F5" s="198">
        <v>172.07</v>
      </c>
      <c r="G5" s="199">
        <v>0</v>
      </c>
      <c r="H5">
        <f t="shared" ref="H5:H43" si="0">+E5-G5</f>
        <v>28.68</v>
      </c>
      <c r="I5" s="186">
        <f>+G5/E5</f>
        <v>0</v>
      </c>
      <c r="J5" s="186">
        <f>+H5/E5</f>
        <v>1</v>
      </c>
      <c r="M5" s="200">
        <v>0.96079999999999999</v>
      </c>
      <c r="N5" s="201">
        <v>2027</v>
      </c>
      <c r="S5" s="244">
        <v>0</v>
      </c>
      <c r="T5" s="245">
        <f>+S5*E5</f>
        <v>0</v>
      </c>
      <c r="U5" t="s">
        <v>539</v>
      </c>
      <c r="V5" s="202">
        <v>20000</v>
      </c>
      <c r="W5" s="203">
        <v>12500</v>
      </c>
      <c r="X5" s="206"/>
      <c r="Y5" s="206"/>
      <c r="Z5" s="206"/>
      <c r="AA5" s="206"/>
      <c r="AB5" s="199"/>
      <c r="AC5" s="210">
        <f t="shared" ref="AC5:AC37" si="1">+SLOPE(V5:AB5,$V$4:$AB$4)</f>
        <v>-1500</v>
      </c>
      <c r="AD5" s="204">
        <f t="shared" ref="AD5:AD37" si="2">+INTERCEPT(V5:AB5,$V$4:$AB$4)</f>
        <v>3050000</v>
      </c>
      <c r="AE5" s="211">
        <f t="shared" ref="AE5:AE37" si="3">+AC5*N5+AD5</f>
        <v>9500</v>
      </c>
      <c r="AF5" s="224">
        <f t="shared" ref="AF5:AF37" si="4">+((N5-$V$4)*AE5+((N5-$V$4)*(V5-AE5))/2)*365/1000000</f>
        <v>37.686250000000001</v>
      </c>
      <c r="AG5" s="225">
        <f t="shared" ref="AG5:AG37" si="5">+((AC5*N5*N5/2)+(AD5*N5)-(AC5*$V$4*$V$4/2)-(AD5*$V$4))*365/1000000</f>
        <v>37.686250000000001</v>
      </c>
      <c r="AH5" s="186">
        <f t="shared" ref="AH5:AH37" si="6">+(AG5-E5)/E5</f>
        <v>0.31402545327754539</v>
      </c>
    </row>
    <row r="6" spans="3:34" x14ac:dyDescent="0.25">
      <c r="C6" t="s">
        <v>342</v>
      </c>
      <c r="E6" s="194">
        <v>89.87</v>
      </c>
      <c r="F6" s="194">
        <v>0</v>
      </c>
      <c r="G6" s="194">
        <f>+E6</f>
        <v>89.87</v>
      </c>
      <c r="H6">
        <f t="shared" si="0"/>
        <v>0</v>
      </c>
      <c r="I6" s="186">
        <f t="shared" ref="I6:I43" si="7">+G6/E6</f>
        <v>1</v>
      </c>
      <c r="J6" s="186">
        <f t="shared" ref="J6:J43" si="8">+H6/E6</f>
        <v>0</v>
      </c>
      <c r="M6" s="196">
        <v>0.24629999999999999</v>
      </c>
      <c r="N6" s="194">
        <v>2048</v>
      </c>
      <c r="O6" s="242">
        <f>+P6+R6</f>
        <v>19756.607616438356</v>
      </c>
      <c r="P6" s="242">
        <v>19756.607616438356</v>
      </c>
      <c r="Q6" s="242">
        <v>0</v>
      </c>
      <c r="R6" s="242">
        <f>+(Q6*1000000)/$Y$1</f>
        <v>0</v>
      </c>
      <c r="S6" s="243">
        <f>+P6/O6</f>
        <v>1</v>
      </c>
      <c r="T6" s="245">
        <f t="shared" ref="T6:T38" si="9">+S6*E6</f>
        <v>89.87</v>
      </c>
      <c r="U6" s="243">
        <f>+G6/E6</f>
        <v>1</v>
      </c>
      <c r="V6" s="194">
        <v>10000</v>
      </c>
      <c r="W6" s="194">
        <v>16000</v>
      </c>
      <c r="X6" s="194">
        <v>11000</v>
      </c>
      <c r="Y6" s="194">
        <v>7500</v>
      </c>
      <c r="Z6" s="194">
        <v>5500</v>
      </c>
      <c r="AA6" s="194">
        <v>4000</v>
      </c>
      <c r="AB6" s="194"/>
      <c r="AC6" s="210">
        <f t="shared" si="1"/>
        <v>-371.42857142857144</v>
      </c>
      <c r="AD6" s="204">
        <f t="shared" si="2"/>
        <v>763928.57142857148</v>
      </c>
      <c r="AE6" s="211">
        <f t="shared" si="3"/>
        <v>3242.8571428571595</v>
      </c>
      <c r="AF6" s="226">
        <f t="shared" si="4"/>
        <v>67.671000000000092</v>
      </c>
      <c r="AG6" s="227">
        <f t="shared" si="5"/>
        <v>86.286000000000001</v>
      </c>
      <c r="AH6" s="186">
        <f t="shared" si="6"/>
        <v>-3.9879826415934162E-2</v>
      </c>
    </row>
    <row r="7" spans="3:34"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M7" s="196">
        <v>0.62780000000000002</v>
      </c>
      <c r="N7" s="194">
        <v>2041</v>
      </c>
      <c r="O7" s="242">
        <f t="shared" ref="O7:O38" si="10">+P7+R7</f>
        <v>285.28490222012289</v>
      </c>
      <c r="P7" s="242">
        <v>249.14413698630142</v>
      </c>
      <c r="Q7" s="242">
        <v>0.20961643835616439</v>
      </c>
      <c r="R7" s="242">
        <f t="shared" ref="R7:R38" si="11">+(Q7*1000000)/$Y$1</f>
        <v>36.140765233821448</v>
      </c>
      <c r="S7" s="243">
        <f t="shared" ref="S7:S38" si="12">+P7/O7</f>
        <v>0.8733169370248145</v>
      </c>
      <c r="T7" s="245">
        <f t="shared" si="9"/>
        <v>1.196444203723996</v>
      </c>
      <c r="U7" s="243">
        <f t="shared" ref="U7:U38" si="13">+G7/E7</f>
        <v>0.98879999999999979</v>
      </c>
      <c r="V7" s="194">
        <v>400</v>
      </c>
      <c r="W7" s="194">
        <v>280</v>
      </c>
      <c r="X7" s="194">
        <v>200</v>
      </c>
      <c r="Y7" s="194">
        <v>120</v>
      </c>
      <c r="Z7" s="194">
        <v>80</v>
      </c>
      <c r="AA7" s="194"/>
      <c r="AB7" s="194"/>
      <c r="AC7" s="210">
        <f t="shared" si="1"/>
        <v>-16</v>
      </c>
      <c r="AD7" s="204">
        <f t="shared" si="2"/>
        <v>32696</v>
      </c>
      <c r="AE7" s="211">
        <f t="shared" si="3"/>
        <v>40</v>
      </c>
      <c r="AF7" s="226">
        <f t="shared" si="4"/>
        <v>1.6862999999999999</v>
      </c>
      <c r="AG7" s="227">
        <f t="shared" si="5"/>
        <v>1.59432</v>
      </c>
      <c r="AH7" s="186">
        <f t="shared" si="6"/>
        <v>0.16373722627737214</v>
      </c>
    </row>
    <row r="8" spans="3:34" x14ac:dyDescent="0.25">
      <c r="C8" t="s">
        <v>346</v>
      </c>
      <c r="E8" s="194">
        <v>2.5</v>
      </c>
      <c r="F8" s="194">
        <v>7.0000000000000007E-2</v>
      </c>
      <c r="G8" s="194">
        <f>+E8*99.53%</f>
        <v>2.4882499999999999</v>
      </c>
      <c r="H8">
        <f t="shared" si="0"/>
        <v>1.1750000000000149E-2</v>
      </c>
      <c r="I8" s="186">
        <f t="shared" si="7"/>
        <v>0.99529999999999996</v>
      </c>
      <c r="J8" s="186">
        <f t="shared" si="8"/>
        <v>4.70000000000006E-3</v>
      </c>
      <c r="M8" s="196">
        <v>0.93179999999999996</v>
      </c>
      <c r="N8" s="194">
        <v>2029</v>
      </c>
      <c r="O8" s="242">
        <f t="shared" si="10"/>
        <v>3767.1428889938588</v>
      </c>
      <c r="P8" s="242">
        <v>3691.9893698630135</v>
      </c>
      <c r="Q8" s="242">
        <v>0.43589041095890391</v>
      </c>
      <c r="R8" s="242">
        <f t="shared" si="11"/>
        <v>75.153519130845496</v>
      </c>
      <c r="S8" s="243">
        <f t="shared" si="12"/>
        <v>0.98005026054349709</v>
      </c>
      <c r="T8" s="245">
        <f t="shared" si="9"/>
        <v>2.4501256513587428</v>
      </c>
      <c r="U8" s="243">
        <f t="shared" si="13"/>
        <v>0.99529999999999996</v>
      </c>
      <c r="V8" s="194">
        <v>2950</v>
      </c>
      <c r="W8" s="194">
        <v>750</v>
      </c>
      <c r="X8" s="194"/>
      <c r="Y8" s="194"/>
      <c r="Z8" s="194"/>
      <c r="AA8" s="194"/>
      <c r="AB8" s="194"/>
      <c r="AC8" s="210">
        <f t="shared" si="1"/>
        <v>-440</v>
      </c>
      <c r="AD8" s="204">
        <f t="shared" si="2"/>
        <v>891750</v>
      </c>
      <c r="AE8" s="211">
        <f t="shared" si="3"/>
        <v>-1010</v>
      </c>
      <c r="AF8" s="226">
        <f t="shared" si="4"/>
        <v>3.1864499999999998</v>
      </c>
      <c r="AG8" s="227">
        <f t="shared" si="5"/>
        <v>3.1864499999999998</v>
      </c>
      <c r="AH8" s="186">
        <f t="shared" si="6"/>
        <v>0.27457999999999994</v>
      </c>
    </row>
    <row r="9" spans="3:34" x14ac:dyDescent="0.25">
      <c r="C9" t="s">
        <v>311</v>
      </c>
      <c r="E9" s="194">
        <v>14.92</v>
      </c>
      <c r="F9" s="194">
        <v>89.54</v>
      </c>
      <c r="G9" s="194">
        <v>0</v>
      </c>
      <c r="H9">
        <f t="shared" si="0"/>
        <v>14.92</v>
      </c>
      <c r="I9" s="186">
        <f t="shared" si="7"/>
        <v>0</v>
      </c>
      <c r="J9" s="186">
        <f t="shared" si="8"/>
        <v>1</v>
      </c>
      <c r="M9" s="196">
        <v>0.69059999999999999</v>
      </c>
      <c r="N9" s="194">
        <v>2039</v>
      </c>
      <c r="O9" s="242">
        <f t="shared" si="10"/>
        <v>3970.7652338214457</v>
      </c>
      <c r="P9" s="242">
        <v>0</v>
      </c>
      <c r="Q9" s="242">
        <v>23.030438356164385</v>
      </c>
      <c r="R9" s="242">
        <f t="shared" si="11"/>
        <v>3970.7652338214457</v>
      </c>
      <c r="S9" s="243">
        <f t="shared" si="12"/>
        <v>0</v>
      </c>
      <c r="T9" s="245">
        <f t="shared" si="9"/>
        <v>0</v>
      </c>
      <c r="U9" s="243">
        <f t="shared" si="13"/>
        <v>0</v>
      </c>
      <c r="V9" s="194">
        <v>2500</v>
      </c>
      <c r="W9" s="213">
        <v>3000</v>
      </c>
      <c r="X9" s="194">
        <v>2100</v>
      </c>
      <c r="Y9" s="194">
        <v>1800</v>
      </c>
      <c r="Z9" s="194"/>
      <c r="AA9" s="194"/>
      <c r="AB9" s="194"/>
      <c r="AC9" s="210">
        <f t="shared" si="1"/>
        <v>-60</v>
      </c>
      <c r="AD9" s="204">
        <f t="shared" si="2"/>
        <v>124000</v>
      </c>
      <c r="AE9" s="211">
        <f t="shared" si="3"/>
        <v>1660</v>
      </c>
      <c r="AF9" s="226">
        <f t="shared" si="4"/>
        <v>14.424799999999999</v>
      </c>
      <c r="AG9" s="227">
        <f t="shared" si="5"/>
        <v>15.46505</v>
      </c>
      <c r="AH9" s="186">
        <f t="shared" si="6"/>
        <v>3.653150134048256E-2</v>
      </c>
    </row>
    <row r="10" spans="3:34" x14ac:dyDescent="0.25">
      <c r="C10" t="s">
        <v>492</v>
      </c>
      <c r="E10" s="194">
        <v>153.29</v>
      </c>
      <c r="F10" s="194">
        <v>0</v>
      </c>
      <c r="G10" s="194">
        <v>153.29</v>
      </c>
      <c r="H10">
        <f t="shared" si="0"/>
        <v>0</v>
      </c>
      <c r="I10" s="186">
        <f t="shared" si="7"/>
        <v>1</v>
      </c>
      <c r="J10" s="186">
        <f t="shared" si="8"/>
        <v>0</v>
      </c>
      <c r="M10" s="196">
        <v>0.70950000000000002</v>
      </c>
      <c r="N10" s="194">
        <v>2036</v>
      </c>
      <c r="O10" s="242">
        <f t="shared" si="10"/>
        <v>70553.994630136978</v>
      </c>
      <c r="P10" s="242">
        <v>70553.994630136978</v>
      </c>
      <c r="Q10" s="242">
        <v>0</v>
      </c>
      <c r="R10" s="242">
        <f t="shared" si="11"/>
        <v>0</v>
      </c>
      <c r="S10" s="243">
        <f t="shared" si="12"/>
        <v>1</v>
      </c>
      <c r="T10" s="245">
        <f t="shared" si="9"/>
        <v>153.29</v>
      </c>
      <c r="U10" s="243">
        <f t="shared" si="13"/>
        <v>1</v>
      </c>
      <c r="V10" s="194">
        <v>65000</v>
      </c>
      <c r="W10" s="213">
        <v>37500</v>
      </c>
      <c r="X10" s="194">
        <v>22500</v>
      </c>
      <c r="Y10" s="194">
        <v>12500</v>
      </c>
      <c r="Z10" s="194"/>
      <c r="AA10" s="194"/>
      <c r="AB10" s="194"/>
      <c r="AC10" s="232">
        <f t="shared" si="1"/>
        <v>-3450</v>
      </c>
      <c r="AD10" s="233">
        <f t="shared" si="2"/>
        <v>7029250</v>
      </c>
      <c r="AE10" s="234">
        <f t="shared" si="3"/>
        <v>5050</v>
      </c>
      <c r="AF10" s="224">
        <f t="shared" si="4"/>
        <v>204.54599999999999</v>
      </c>
      <c r="AG10" s="225">
        <f t="shared" si="5"/>
        <v>190.67599999999999</v>
      </c>
      <c r="AH10" s="186">
        <f t="shared" si="6"/>
        <v>0.24389066475308238</v>
      </c>
    </row>
    <row r="11" spans="3:34" x14ac:dyDescent="0.25">
      <c r="C11" t="s">
        <v>493</v>
      </c>
      <c r="E11" s="194">
        <v>0.88</v>
      </c>
      <c r="F11" s="194">
        <v>0</v>
      </c>
      <c r="G11" s="194">
        <v>0.88</v>
      </c>
      <c r="H11">
        <f t="shared" si="0"/>
        <v>0</v>
      </c>
      <c r="I11" s="186">
        <f t="shared" si="7"/>
        <v>1</v>
      </c>
      <c r="J11" s="186">
        <f t="shared" si="8"/>
        <v>0</v>
      </c>
      <c r="M11" s="196">
        <v>0.69830000000000003</v>
      </c>
      <c r="N11" s="194">
        <v>2042</v>
      </c>
      <c r="O11" s="242">
        <f t="shared" si="10"/>
        <v>226.03172602739721</v>
      </c>
      <c r="P11" s="242">
        <v>226.03172602739721</v>
      </c>
      <c r="Q11" s="242">
        <v>0</v>
      </c>
      <c r="R11" s="242">
        <f t="shared" si="11"/>
        <v>0</v>
      </c>
      <c r="S11" s="243">
        <f t="shared" si="12"/>
        <v>1</v>
      </c>
      <c r="T11" s="245">
        <f t="shared" si="9"/>
        <v>0.88</v>
      </c>
      <c r="U11" s="243">
        <f t="shared" si="13"/>
        <v>1</v>
      </c>
      <c r="V11" s="194">
        <v>150</v>
      </c>
      <c r="W11" s="231">
        <v>180</v>
      </c>
      <c r="X11" s="194">
        <v>105</v>
      </c>
      <c r="Y11" s="194">
        <v>90</v>
      </c>
      <c r="Z11" s="194">
        <v>60</v>
      </c>
      <c r="AA11" s="194"/>
      <c r="AB11" s="194"/>
      <c r="AC11" s="232">
        <f t="shared" si="1"/>
        <v>-5.4</v>
      </c>
      <c r="AD11" s="233">
        <f t="shared" si="2"/>
        <v>11079</v>
      </c>
      <c r="AE11" s="234">
        <f t="shared" si="3"/>
        <v>52.199999999998909</v>
      </c>
      <c r="AF11" s="224">
        <f t="shared" si="4"/>
        <v>0.81183299999999559</v>
      </c>
      <c r="AG11" s="225">
        <f t="shared" si="5"/>
        <v>0.89614799999972805</v>
      </c>
      <c r="AH11" s="186">
        <f t="shared" si="6"/>
        <v>1.8349999999690961E-2</v>
      </c>
    </row>
    <row r="12" spans="3:34" x14ac:dyDescent="0.25">
      <c r="C12" t="s">
        <v>494</v>
      </c>
      <c r="E12" s="194">
        <v>543.79</v>
      </c>
      <c r="F12" s="194">
        <v>0</v>
      </c>
      <c r="G12" s="194">
        <f>+E12</f>
        <v>543.79</v>
      </c>
      <c r="H12">
        <f t="shared" si="0"/>
        <v>0</v>
      </c>
      <c r="I12" s="186">
        <f t="shared" si="7"/>
        <v>1</v>
      </c>
      <c r="J12" s="186">
        <f t="shared" si="8"/>
        <v>0</v>
      </c>
      <c r="M12" s="196">
        <v>0.31709999999999999</v>
      </c>
      <c r="N12" s="194">
        <v>2099</v>
      </c>
      <c r="O12" s="242">
        <f t="shared" si="10"/>
        <v>43276.035643835618</v>
      </c>
      <c r="P12" s="242">
        <v>43276.035643835618</v>
      </c>
      <c r="Q12" s="242">
        <v>0</v>
      </c>
      <c r="R12" s="242">
        <f t="shared" si="11"/>
        <v>0</v>
      </c>
      <c r="S12" s="243">
        <f t="shared" si="12"/>
        <v>1</v>
      </c>
      <c r="T12" s="245">
        <f t="shared" si="9"/>
        <v>543.79</v>
      </c>
      <c r="U12" s="243">
        <f t="shared" si="13"/>
        <v>1</v>
      </c>
      <c r="V12" s="194">
        <v>40000</v>
      </c>
      <c r="W12" s="194"/>
      <c r="X12" s="194">
        <v>32500</v>
      </c>
      <c r="Z12" s="194">
        <v>27500</v>
      </c>
      <c r="AA12" s="194"/>
      <c r="AB12" s="194">
        <v>22500</v>
      </c>
      <c r="AC12" s="232">
        <f t="shared" si="1"/>
        <v>-575</v>
      </c>
      <c r="AD12" s="233">
        <f t="shared" si="2"/>
        <v>1200750</v>
      </c>
      <c r="AE12" s="234">
        <f t="shared" si="3"/>
        <v>-6175</v>
      </c>
      <c r="AF12" s="224">
        <f t="shared" si="4"/>
        <v>487.67193750000001</v>
      </c>
      <c r="AG12" s="225">
        <f t="shared" si="5"/>
        <v>476.8588125</v>
      </c>
      <c r="AH12" s="186">
        <f t="shared" si="6"/>
        <v>-0.1230827847146876</v>
      </c>
    </row>
    <row r="13" spans="3:34" x14ac:dyDescent="0.25">
      <c r="C13" t="s">
        <v>29</v>
      </c>
      <c r="E13" s="194">
        <v>272.89999999999998</v>
      </c>
      <c r="F13" s="194">
        <v>0</v>
      </c>
      <c r="G13" s="194">
        <v>272.29000000000002</v>
      </c>
      <c r="H13">
        <f t="shared" si="0"/>
        <v>0.6099999999999568</v>
      </c>
      <c r="I13" s="186">
        <f t="shared" si="7"/>
        <v>0.99776474899230505</v>
      </c>
      <c r="J13" s="186">
        <f t="shared" si="8"/>
        <v>2.2352510076949681E-3</v>
      </c>
      <c r="M13" s="228">
        <v>0.71530000000000005</v>
      </c>
      <c r="N13" s="194">
        <v>2036</v>
      </c>
      <c r="O13" s="242">
        <f t="shared" si="10"/>
        <v>119308.68268493151</v>
      </c>
      <c r="P13" s="242">
        <v>119308.68268493151</v>
      </c>
      <c r="Q13" s="242">
        <v>0</v>
      </c>
      <c r="R13" s="242">
        <f t="shared" si="11"/>
        <v>0</v>
      </c>
      <c r="S13" s="243">
        <f t="shared" si="12"/>
        <v>1</v>
      </c>
      <c r="T13" s="245">
        <f t="shared" si="9"/>
        <v>272.89999999999998</v>
      </c>
      <c r="U13" s="243">
        <f t="shared" si="13"/>
        <v>0.99776474899230505</v>
      </c>
      <c r="V13" s="205">
        <v>105000</v>
      </c>
      <c r="W13" s="214">
        <v>75000</v>
      </c>
      <c r="X13" s="194">
        <v>40000</v>
      </c>
      <c r="Y13" s="194">
        <v>25000</v>
      </c>
      <c r="AC13" s="232">
        <f t="shared" si="1"/>
        <v>-5500</v>
      </c>
      <c r="AD13" s="233">
        <f t="shared" si="2"/>
        <v>11212500</v>
      </c>
      <c r="AE13" s="234">
        <f t="shared" si="3"/>
        <v>14500</v>
      </c>
      <c r="AF13" s="224">
        <f t="shared" si="4"/>
        <v>348.94</v>
      </c>
      <c r="AG13" s="225">
        <f t="shared" si="5"/>
        <v>341.64</v>
      </c>
      <c r="AH13" s="186">
        <f t="shared" si="6"/>
        <v>0.25188713814584102</v>
      </c>
    </row>
    <row r="14" spans="3:34" x14ac:dyDescent="0.25">
      <c r="C14" t="s">
        <v>345</v>
      </c>
      <c r="E14" s="194">
        <v>16.52</v>
      </c>
      <c r="F14" s="194">
        <v>1.61</v>
      </c>
      <c r="G14">
        <f>+E14*98.07%</f>
        <v>16.201163999999999</v>
      </c>
      <c r="H14">
        <f t="shared" si="0"/>
        <v>0.31883600000000101</v>
      </c>
      <c r="I14" s="186">
        <f t="shared" si="7"/>
        <v>0.98069999999999991</v>
      </c>
      <c r="J14" s="186">
        <f t="shared" si="8"/>
        <v>1.930000000000006E-2</v>
      </c>
      <c r="M14" s="228">
        <v>0.73629999999999995</v>
      </c>
      <c r="N14" s="194">
        <v>2060</v>
      </c>
      <c r="O14" s="242">
        <f t="shared" si="10"/>
        <v>4154.1152328767121</v>
      </c>
      <c r="P14" s="242">
        <v>4154.1152328767121</v>
      </c>
      <c r="Q14" s="242">
        <v>0</v>
      </c>
      <c r="R14" s="242">
        <f t="shared" si="11"/>
        <v>0</v>
      </c>
      <c r="S14" s="243">
        <f t="shared" si="12"/>
        <v>1</v>
      </c>
      <c r="T14" s="245">
        <f t="shared" si="9"/>
        <v>16.52</v>
      </c>
      <c r="U14" s="243">
        <f t="shared" si="13"/>
        <v>0.98069999999999991</v>
      </c>
      <c r="V14" s="194">
        <v>4000</v>
      </c>
      <c r="W14" s="194">
        <v>3000</v>
      </c>
      <c r="X14" s="194">
        <v>1800</v>
      </c>
      <c r="Y14" s="194">
        <v>1000</v>
      </c>
      <c r="Z14" s="194">
        <v>900</v>
      </c>
      <c r="AA14" s="194">
        <v>700</v>
      </c>
      <c r="AB14" s="194">
        <v>500</v>
      </c>
      <c r="AC14" s="232">
        <f t="shared" si="1"/>
        <v>-114.28571428571429</v>
      </c>
      <c r="AD14" s="233">
        <f t="shared" si="2"/>
        <v>234271.42857142858</v>
      </c>
      <c r="AE14" s="234">
        <f t="shared" si="3"/>
        <v>-1157.1428571428696</v>
      </c>
      <c r="AF14" s="224">
        <f t="shared" si="4"/>
        <v>20.752857142857053</v>
      </c>
      <c r="AG14" s="225">
        <f t="shared" si="5"/>
        <v>16.47714285712421</v>
      </c>
      <c r="AH14" s="186">
        <f t="shared" si="6"/>
        <v>-2.5942580433286396E-3</v>
      </c>
    </row>
    <row r="15" spans="3:34" x14ac:dyDescent="0.25">
      <c r="C15" t="s">
        <v>140</v>
      </c>
      <c r="E15" s="194">
        <v>21.91</v>
      </c>
      <c r="F15" s="194">
        <v>0</v>
      </c>
      <c r="G15">
        <f>+E15</f>
        <v>21.91</v>
      </c>
      <c r="H15">
        <f t="shared" si="0"/>
        <v>0</v>
      </c>
      <c r="I15" s="186">
        <f t="shared" si="7"/>
        <v>1</v>
      </c>
      <c r="J15" s="186">
        <f t="shared" si="8"/>
        <v>0</v>
      </c>
      <c r="M15" s="228">
        <v>0.78649999999999998</v>
      </c>
      <c r="N15" s="194">
        <v>2035</v>
      </c>
      <c r="O15" s="242">
        <f t="shared" si="10"/>
        <v>10381.531479452055</v>
      </c>
      <c r="P15" s="242">
        <v>10381.531479452055</v>
      </c>
      <c r="Q15" s="242">
        <v>0</v>
      </c>
      <c r="R15" s="242">
        <f t="shared" si="11"/>
        <v>0</v>
      </c>
      <c r="S15" s="243">
        <f t="shared" si="12"/>
        <v>1</v>
      </c>
      <c r="T15" s="245">
        <f t="shared" si="9"/>
        <v>21.91</v>
      </c>
      <c r="U15" s="243">
        <f t="shared" si="13"/>
        <v>1</v>
      </c>
      <c r="V15" s="205">
        <v>10500</v>
      </c>
      <c r="W15" s="215">
        <v>6000</v>
      </c>
      <c r="X15" s="194">
        <v>2300</v>
      </c>
      <c r="Y15" s="194">
        <v>1800</v>
      </c>
      <c r="AC15" s="232">
        <f t="shared" si="1"/>
        <v>-596</v>
      </c>
      <c r="AD15" s="233">
        <f t="shared" si="2"/>
        <v>1213540</v>
      </c>
      <c r="AE15" s="234">
        <f t="shared" si="3"/>
        <v>680</v>
      </c>
      <c r="AF15" s="224">
        <f t="shared" si="4"/>
        <v>30.605250000000002</v>
      </c>
      <c r="AG15" s="225">
        <f t="shared" si="5"/>
        <v>28.196249999999999</v>
      </c>
      <c r="AH15" s="186">
        <f t="shared" si="6"/>
        <v>0.28691236878137832</v>
      </c>
    </row>
    <row r="16" spans="3:34" x14ac:dyDescent="0.25">
      <c r="C16" t="s">
        <v>495</v>
      </c>
      <c r="E16" s="194">
        <v>8.85</v>
      </c>
      <c r="F16" s="194">
        <v>0</v>
      </c>
      <c r="G16">
        <f>+E16</f>
        <v>8.85</v>
      </c>
      <c r="H16">
        <f t="shared" si="0"/>
        <v>0</v>
      </c>
      <c r="I16" s="186">
        <f t="shared" si="7"/>
        <v>1</v>
      </c>
      <c r="J16" s="186">
        <f t="shared" si="8"/>
        <v>0</v>
      </c>
      <c r="M16" s="228">
        <v>0.55530000000000002</v>
      </c>
      <c r="N16" s="194">
        <v>2052</v>
      </c>
      <c r="O16" s="242">
        <f t="shared" si="10"/>
        <v>1737.8650958904109</v>
      </c>
      <c r="P16" s="242">
        <v>1737.8650958904109</v>
      </c>
      <c r="Q16" s="242">
        <v>0</v>
      </c>
      <c r="R16" s="242">
        <f t="shared" si="11"/>
        <v>0</v>
      </c>
      <c r="S16" s="243">
        <f t="shared" si="12"/>
        <v>1</v>
      </c>
      <c r="T16" s="245">
        <f t="shared" si="9"/>
        <v>8.85</v>
      </c>
      <c r="U16" s="243">
        <f t="shared" si="13"/>
        <v>1</v>
      </c>
      <c r="V16" s="205">
        <v>1600</v>
      </c>
      <c r="W16" s="205">
        <v>1500</v>
      </c>
      <c r="X16" s="194">
        <v>1100</v>
      </c>
      <c r="Y16" s="194">
        <v>750</v>
      </c>
      <c r="Z16" s="194">
        <v>500</v>
      </c>
      <c r="AA16" s="194">
        <v>250</v>
      </c>
      <c r="AB16" s="194">
        <v>200</v>
      </c>
      <c r="AC16" s="232">
        <f t="shared" si="1"/>
        <v>-52.142857142857146</v>
      </c>
      <c r="AD16" s="233">
        <f t="shared" si="2"/>
        <v>106953.57142857143</v>
      </c>
      <c r="AE16" s="234">
        <f t="shared" si="3"/>
        <v>-43.571428571434808</v>
      </c>
      <c r="AF16" s="224">
        <f t="shared" si="4"/>
        <v>9.0895428571428205</v>
      </c>
      <c r="AG16" s="225">
        <f t="shared" si="5"/>
        <v>9.2355428571459655</v>
      </c>
      <c r="AH16" s="186">
        <f t="shared" si="6"/>
        <v>4.3564164649261675E-2</v>
      </c>
    </row>
    <row r="17" spans="3:34" x14ac:dyDescent="0.25">
      <c r="C17" t="s">
        <v>61</v>
      </c>
      <c r="E17" s="194">
        <v>146.25</v>
      </c>
      <c r="F17" s="194">
        <v>0</v>
      </c>
      <c r="G17">
        <v>146.25</v>
      </c>
      <c r="H17">
        <f t="shared" si="0"/>
        <v>0</v>
      </c>
      <c r="I17" s="186">
        <f t="shared" si="7"/>
        <v>1</v>
      </c>
      <c r="J17" s="186">
        <f t="shared" si="8"/>
        <v>0</v>
      </c>
      <c r="M17" s="228">
        <v>0.58260000000000001</v>
      </c>
      <c r="N17" s="194">
        <v>2039</v>
      </c>
      <c r="O17" s="242">
        <f t="shared" si="10"/>
        <v>48971.756410958893</v>
      </c>
      <c r="P17" s="242">
        <v>48971.756410958893</v>
      </c>
      <c r="Q17" s="242">
        <v>0</v>
      </c>
      <c r="R17" s="242">
        <f t="shared" si="11"/>
        <v>0</v>
      </c>
      <c r="S17" s="243">
        <f t="shared" si="12"/>
        <v>1</v>
      </c>
      <c r="T17" s="245">
        <f t="shared" si="9"/>
        <v>146.25</v>
      </c>
      <c r="U17" s="243">
        <f t="shared" si="13"/>
        <v>1</v>
      </c>
      <c r="V17" s="205">
        <v>50000</v>
      </c>
      <c r="W17" s="205">
        <v>35000</v>
      </c>
      <c r="X17" s="194">
        <v>20000</v>
      </c>
      <c r="Y17" s="194">
        <v>12500</v>
      </c>
      <c r="AC17" s="232">
        <f t="shared" si="1"/>
        <v>-2550</v>
      </c>
      <c r="AD17" s="233">
        <f t="shared" si="2"/>
        <v>5199500</v>
      </c>
      <c r="AE17" s="234">
        <f t="shared" si="3"/>
        <v>50</v>
      </c>
      <c r="AF17" s="224">
        <f t="shared" si="4"/>
        <v>173.54837499999999</v>
      </c>
      <c r="AG17" s="225">
        <f t="shared" si="5"/>
        <v>168.34712500000001</v>
      </c>
      <c r="AH17" s="186">
        <f t="shared" si="6"/>
        <v>0.15109145299145302</v>
      </c>
    </row>
    <row r="18" spans="3:34" x14ac:dyDescent="0.25">
      <c r="C18" t="s">
        <v>496</v>
      </c>
      <c r="E18" s="194">
        <v>89.99</v>
      </c>
      <c r="F18" s="194">
        <v>0</v>
      </c>
      <c r="G18">
        <f>+E18</f>
        <v>89.99</v>
      </c>
      <c r="H18">
        <f t="shared" si="0"/>
        <v>0</v>
      </c>
      <c r="I18" s="186">
        <f t="shared" si="7"/>
        <v>1</v>
      </c>
      <c r="J18" s="186">
        <f t="shared" si="8"/>
        <v>0</v>
      </c>
      <c r="M18" s="228">
        <v>0.42830000000000001</v>
      </c>
      <c r="N18" s="194">
        <v>2044</v>
      </c>
      <c r="O18" s="242">
        <f t="shared" si="10"/>
        <v>20119.028164383562</v>
      </c>
      <c r="P18" s="242">
        <v>20119.028164383562</v>
      </c>
      <c r="Q18" s="242">
        <v>0</v>
      </c>
      <c r="R18" s="242">
        <f t="shared" si="11"/>
        <v>0</v>
      </c>
      <c r="S18" s="243">
        <f t="shared" si="12"/>
        <v>1</v>
      </c>
      <c r="T18" s="245">
        <f t="shared" si="9"/>
        <v>89.99</v>
      </c>
      <c r="U18" s="243">
        <f t="shared" si="13"/>
        <v>1</v>
      </c>
      <c r="V18" s="205">
        <v>20000</v>
      </c>
      <c r="W18" s="205">
        <v>17500</v>
      </c>
      <c r="X18" s="194">
        <v>12500</v>
      </c>
      <c r="Y18" s="194">
        <v>7600</v>
      </c>
      <c r="Z18" s="194">
        <v>6000</v>
      </c>
      <c r="AC18" s="232">
        <f t="shared" si="1"/>
        <v>-758</v>
      </c>
      <c r="AD18" s="233">
        <f t="shared" si="2"/>
        <v>1551460</v>
      </c>
      <c r="AE18" s="234">
        <f t="shared" si="3"/>
        <v>2108</v>
      </c>
      <c r="AF18" s="224">
        <f t="shared" si="4"/>
        <v>96.833039999999997</v>
      </c>
      <c r="AG18" s="225">
        <f t="shared" si="5"/>
        <v>98.147040000000004</v>
      </c>
      <c r="AH18" s="186">
        <f t="shared" si="6"/>
        <v>9.0643849316590835E-2</v>
      </c>
    </row>
    <row r="19" spans="3:34" x14ac:dyDescent="0.25">
      <c r="C19" t="s">
        <v>497</v>
      </c>
      <c r="E19" s="194">
        <v>86.96</v>
      </c>
      <c r="F19" s="194">
        <v>357.74</v>
      </c>
      <c r="G19">
        <f>+E19*68.57%</f>
        <v>59.628471999999995</v>
      </c>
      <c r="H19">
        <f t="shared" si="0"/>
        <v>27.331527999999999</v>
      </c>
      <c r="I19" s="186">
        <f t="shared" si="7"/>
        <v>0.68569999999999998</v>
      </c>
      <c r="J19" s="186">
        <f t="shared" si="8"/>
        <v>0.31430000000000002</v>
      </c>
      <c r="M19" s="228">
        <v>0.87790000000000001</v>
      </c>
      <c r="N19" s="194">
        <v>2035</v>
      </c>
      <c r="O19" s="242">
        <f t="shared" si="10"/>
        <v>36739.649441662732</v>
      </c>
      <c r="P19" s="242">
        <v>5802.3135890410958</v>
      </c>
      <c r="Q19" s="242">
        <v>179.43654794520549</v>
      </c>
      <c r="R19" s="242">
        <f t="shared" si="11"/>
        <v>30937.335852621636</v>
      </c>
      <c r="S19" s="243">
        <f t="shared" si="12"/>
        <v>0.15793056485893622</v>
      </c>
      <c r="T19" s="245">
        <f t="shared" si="9"/>
        <v>13.733641920133094</v>
      </c>
      <c r="U19" s="243">
        <f t="shared" si="13"/>
        <v>0.68569999999999998</v>
      </c>
      <c r="V19" s="205">
        <v>42000</v>
      </c>
      <c r="W19" s="205">
        <v>22000</v>
      </c>
      <c r="X19" s="194">
        <v>16000</v>
      </c>
      <c r="Y19" s="194">
        <v>8000</v>
      </c>
      <c r="AC19" s="232">
        <f t="shared" si="1"/>
        <v>-2160</v>
      </c>
      <c r="AD19" s="233">
        <f t="shared" si="2"/>
        <v>4401400</v>
      </c>
      <c r="AE19" s="234">
        <f t="shared" si="3"/>
        <v>5800</v>
      </c>
      <c r="AF19" s="224">
        <f t="shared" si="4"/>
        <v>130.85249999999999</v>
      </c>
      <c r="AG19" s="225">
        <f t="shared" si="5"/>
        <v>120.45</v>
      </c>
      <c r="AH19" s="186">
        <f t="shared" si="6"/>
        <v>0.38511959521619149</v>
      </c>
    </row>
    <row r="20" spans="3:34" x14ac:dyDescent="0.25">
      <c r="C20" t="s">
        <v>498</v>
      </c>
      <c r="E20" s="194">
        <v>5.73</v>
      </c>
      <c r="F20" s="194">
        <v>0</v>
      </c>
      <c r="G20">
        <f>+E20</f>
        <v>5.73</v>
      </c>
      <c r="H20">
        <f t="shared" si="0"/>
        <v>0</v>
      </c>
      <c r="I20" s="186">
        <f t="shared" si="7"/>
        <v>1</v>
      </c>
      <c r="J20" s="186">
        <f t="shared" si="8"/>
        <v>0</v>
      </c>
      <c r="M20" s="228">
        <v>0.61819999999999997</v>
      </c>
      <c r="N20" s="194">
        <v>2050</v>
      </c>
      <c r="O20" s="242">
        <f t="shared" si="10"/>
        <v>3032.86197260274</v>
      </c>
      <c r="P20" s="242">
        <v>3032.86197260274</v>
      </c>
      <c r="Q20" s="242">
        <v>0</v>
      </c>
      <c r="R20" s="242">
        <f t="shared" si="11"/>
        <v>0</v>
      </c>
      <c r="S20" s="243">
        <f t="shared" si="12"/>
        <v>1</v>
      </c>
      <c r="T20" s="245">
        <f t="shared" si="9"/>
        <v>5.73</v>
      </c>
      <c r="U20" s="243">
        <f t="shared" si="13"/>
        <v>1</v>
      </c>
      <c r="V20" s="205">
        <v>2250</v>
      </c>
      <c r="W20" s="205">
        <v>1250</v>
      </c>
      <c r="X20" s="194">
        <v>600</v>
      </c>
      <c r="Y20" s="194">
        <v>400</v>
      </c>
      <c r="Z20" s="194">
        <v>200</v>
      </c>
      <c r="AA20" s="194">
        <v>150</v>
      </c>
      <c r="AB20" s="194">
        <v>100</v>
      </c>
      <c r="AC20" s="232">
        <f t="shared" si="1"/>
        <v>-64.642857142857139</v>
      </c>
      <c r="AD20" s="233">
        <f t="shared" si="2"/>
        <v>132255.35714285716</v>
      </c>
      <c r="AE20" s="234">
        <f t="shared" si="3"/>
        <v>-262.4999999999709</v>
      </c>
      <c r="AF20" s="224">
        <f t="shared" si="4"/>
        <v>10.881562500000161</v>
      </c>
      <c r="AG20" s="225">
        <f t="shared" si="5"/>
        <v>7.7432142857189472</v>
      </c>
      <c r="AH20" s="186">
        <f t="shared" si="6"/>
        <v>0.35134629768218961</v>
      </c>
    </row>
    <row r="21" spans="3:34" x14ac:dyDescent="0.25">
      <c r="C21" t="s">
        <v>499</v>
      </c>
      <c r="E21" s="194">
        <v>89.27</v>
      </c>
      <c r="F21" s="194">
        <v>504.38</v>
      </c>
      <c r="G21">
        <f>+E21*5.84%</f>
        <v>5.213368</v>
      </c>
      <c r="H21">
        <f t="shared" si="0"/>
        <v>84.056631999999993</v>
      </c>
      <c r="I21" s="186">
        <f t="shared" si="7"/>
        <v>5.8400000000000001E-2</v>
      </c>
      <c r="J21" s="186">
        <f t="shared" si="8"/>
        <v>0.94159999999999999</v>
      </c>
      <c r="M21" s="228">
        <v>0.24510000000000001</v>
      </c>
      <c r="N21" s="194">
        <v>2059</v>
      </c>
      <c r="O21" s="242">
        <f t="shared" si="10"/>
        <v>5687.8121180916396</v>
      </c>
      <c r="P21" s="242">
        <v>1396.6784383561644</v>
      </c>
      <c r="Q21" s="242">
        <v>24.888575342465753</v>
      </c>
      <c r="R21" s="242">
        <f t="shared" si="11"/>
        <v>4291.1336797354752</v>
      </c>
      <c r="S21" s="243">
        <f t="shared" si="12"/>
        <v>0.24555635969648984</v>
      </c>
      <c r="T21" s="245">
        <f t="shared" si="9"/>
        <v>21.920816230105647</v>
      </c>
      <c r="U21" s="243">
        <f t="shared" si="13"/>
        <v>5.8400000000000001E-2</v>
      </c>
      <c r="V21" s="205">
        <v>10000</v>
      </c>
      <c r="W21" s="205">
        <v>18500</v>
      </c>
      <c r="X21" s="194">
        <v>10000</v>
      </c>
      <c r="Y21" s="194">
        <v>7000</v>
      </c>
      <c r="Z21" s="194">
        <v>5000</v>
      </c>
      <c r="AA21" s="194">
        <v>3500</v>
      </c>
      <c r="AB21" s="194">
        <v>2100</v>
      </c>
      <c r="AC21" s="232">
        <f t="shared" si="1"/>
        <v>-419.28571428571439</v>
      </c>
      <c r="AD21" s="233">
        <f t="shared" si="2"/>
        <v>861260.71428571444</v>
      </c>
      <c r="AE21" s="234">
        <f t="shared" si="3"/>
        <v>-2048.5714285714785</v>
      </c>
      <c r="AF21" s="224">
        <f t="shared" si="4"/>
        <v>56.594292857142499</v>
      </c>
      <c r="AG21" s="225">
        <f t="shared" si="5"/>
        <v>87.224962500087017</v>
      </c>
      <c r="AH21" s="186">
        <f t="shared" si="6"/>
        <v>-2.2908451886557404E-2</v>
      </c>
    </row>
    <row r="22" spans="3:34" x14ac:dyDescent="0.25">
      <c r="C22" t="s">
        <v>500</v>
      </c>
      <c r="E22" s="194">
        <v>10.25</v>
      </c>
      <c r="F22" s="194">
        <v>60.26</v>
      </c>
      <c r="G22">
        <f>+E22*2%</f>
        <v>0.20500000000000002</v>
      </c>
      <c r="H22">
        <f t="shared" si="0"/>
        <v>10.045</v>
      </c>
      <c r="I22" s="186">
        <f t="shared" si="7"/>
        <v>0.02</v>
      </c>
      <c r="J22" s="186">
        <f t="shared" si="8"/>
        <v>0.98</v>
      </c>
      <c r="M22" s="228">
        <v>0.98270000000000002</v>
      </c>
      <c r="N22" s="194">
        <v>2025</v>
      </c>
      <c r="O22" s="242">
        <f t="shared" si="10"/>
        <v>13330.402025507794</v>
      </c>
      <c r="P22" s="242">
        <v>802.2064657534246</v>
      </c>
      <c r="Q22" s="242">
        <v>72.663534246575338</v>
      </c>
      <c r="R22" s="242">
        <f t="shared" si="11"/>
        <v>12528.195559754369</v>
      </c>
      <c r="S22" s="243">
        <f t="shared" si="12"/>
        <v>6.0178715106896125E-2</v>
      </c>
      <c r="T22" s="245">
        <f t="shared" si="9"/>
        <v>0.6168318298456853</v>
      </c>
      <c r="U22" s="243">
        <f t="shared" si="13"/>
        <v>0.02</v>
      </c>
      <c r="V22" s="205">
        <v>8000</v>
      </c>
      <c r="W22" s="205">
        <v>5000</v>
      </c>
      <c r="AC22" s="232">
        <f t="shared" si="1"/>
        <v>-600</v>
      </c>
      <c r="AD22" s="233">
        <f t="shared" si="2"/>
        <v>1220000</v>
      </c>
      <c r="AE22" s="234">
        <f t="shared" si="3"/>
        <v>5000</v>
      </c>
      <c r="AF22" s="224">
        <f t="shared" si="4"/>
        <v>11.862500000000001</v>
      </c>
      <c r="AG22" s="225">
        <f t="shared" si="5"/>
        <v>11.862500000000001</v>
      </c>
      <c r="AH22" s="186">
        <f t="shared" si="6"/>
        <v>0.15731707317073176</v>
      </c>
    </row>
    <row r="23" spans="3:34" x14ac:dyDescent="0.25">
      <c r="C23" t="s">
        <v>501</v>
      </c>
      <c r="E23" s="194">
        <v>17.7</v>
      </c>
      <c r="F23" s="194">
        <v>97.48</v>
      </c>
      <c r="G23">
        <f>+E23*8.23%</f>
        <v>1.4567099999999999</v>
      </c>
      <c r="H23">
        <f t="shared" si="0"/>
        <v>16.243289999999998</v>
      </c>
      <c r="I23" s="186">
        <f t="shared" si="7"/>
        <v>8.2299999999999998E-2</v>
      </c>
      <c r="J23" s="186">
        <f t="shared" si="8"/>
        <v>0.91769999999999996</v>
      </c>
      <c r="M23" s="228">
        <v>0.97750000000000004</v>
      </c>
      <c r="N23" s="194">
        <v>2025</v>
      </c>
      <c r="O23" s="242">
        <f t="shared" si="10"/>
        <v>18303.892234293809</v>
      </c>
      <c r="P23" s="242">
        <v>2380.4156164383562</v>
      </c>
      <c r="Q23" s="242">
        <v>92.356164383561648</v>
      </c>
      <c r="R23" s="242">
        <f t="shared" si="11"/>
        <v>15923.476617855455</v>
      </c>
      <c r="S23" s="243">
        <f t="shared" si="12"/>
        <v>0.13004969576790104</v>
      </c>
      <c r="T23" s="245">
        <f t="shared" si="9"/>
        <v>2.3018796150918481</v>
      </c>
      <c r="U23" s="243">
        <f t="shared" si="13"/>
        <v>8.2299999999999998E-2</v>
      </c>
      <c r="V23" s="194">
        <v>8000</v>
      </c>
      <c r="W23" s="213">
        <v>5000</v>
      </c>
      <c r="AC23" s="232">
        <f t="shared" si="1"/>
        <v>-600</v>
      </c>
      <c r="AD23" s="233">
        <f t="shared" si="2"/>
        <v>1220000</v>
      </c>
      <c r="AE23" s="234">
        <f t="shared" si="3"/>
        <v>5000</v>
      </c>
      <c r="AF23" s="224">
        <f t="shared" si="4"/>
        <v>11.862500000000001</v>
      </c>
      <c r="AG23" s="225">
        <f t="shared" si="5"/>
        <v>11.862500000000001</v>
      </c>
      <c r="AH23" s="186">
        <f t="shared" si="6"/>
        <v>-0.32980225988700557</v>
      </c>
    </row>
    <row r="24" spans="3:34" x14ac:dyDescent="0.25">
      <c r="C24" t="s">
        <v>502</v>
      </c>
      <c r="E24" s="194">
        <v>8.8000000000000007</v>
      </c>
      <c r="F24" s="194">
        <v>2.82</v>
      </c>
      <c r="G24">
        <f>+E24*94.66%</f>
        <v>8.3300800000000006</v>
      </c>
      <c r="H24">
        <f t="shared" si="0"/>
        <v>0.46992000000000012</v>
      </c>
      <c r="I24" s="186">
        <f t="shared" si="7"/>
        <v>0.9466</v>
      </c>
      <c r="J24" s="186">
        <f t="shared" si="8"/>
        <v>5.340000000000001E-2</v>
      </c>
      <c r="M24" s="228">
        <v>0.7712</v>
      </c>
      <c r="N24" s="194">
        <v>2039</v>
      </c>
      <c r="O24" s="242">
        <f t="shared" si="10"/>
        <v>3090.1880736891835</v>
      </c>
      <c r="P24" s="242">
        <v>2982.4176438356171</v>
      </c>
      <c r="Q24" s="242">
        <v>0.62506849315068491</v>
      </c>
      <c r="R24" s="242">
        <f t="shared" si="11"/>
        <v>107.77042985356636</v>
      </c>
      <c r="S24" s="243">
        <f t="shared" si="12"/>
        <v>0.96512496091381716</v>
      </c>
      <c r="T24" s="245">
        <f t="shared" si="9"/>
        <v>8.4930996560415917</v>
      </c>
      <c r="U24" s="243">
        <f t="shared" si="13"/>
        <v>0.9466</v>
      </c>
      <c r="V24" s="194">
        <v>3000</v>
      </c>
      <c r="W24" s="213">
        <v>2000</v>
      </c>
      <c r="X24" s="194">
        <v>1100</v>
      </c>
      <c r="Y24" s="194">
        <v>800</v>
      </c>
      <c r="AC24" s="232">
        <f t="shared" si="1"/>
        <v>-150</v>
      </c>
      <c r="AD24" s="233">
        <f t="shared" si="2"/>
        <v>305850</v>
      </c>
      <c r="AE24" s="234">
        <f t="shared" si="3"/>
        <v>0</v>
      </c>
      <c r="AF24" s="224">
        <f t="shared" si="4"/>
        <v>10.4025</v>
      </c>
      <c r="AG24" s="225">
        <f t="shared" si="5"/>
        <v>9.8823749999999997</v>
      </c>
      <c r="AH24" s="186">
        <f t="shared" si="6"/>
        <v>0.12299715909090897</v>
      </c>
    </row>
    <row r="25" spans="3:34" x14ac:dyDescent="0.25">
      <c r="C25" t="s">
        <v>503</v>
      </c>
      <c r="E25" s="194">
        <v>1.1399999999999999</v>
      </c>
      <c r="F25" s="194">
        <v>0.47</v>
      </c>
      <c r="G25">
        <f>+E25*93.12%</f>
        <v>1.0615679999999998</v>
      </c>
      <c r="H25">
        <f t="shared" si="0"/>
        <v>7.8432000000000057E-2</v>
      </c>
      <c r="I25" s="186">
        <f t="shared" si="7"/>
        <v>0.93119999999999992</v>
      </c>
      <c r="J25" s="186">
        <f t="shared" si="8"/>
        <v>6.8800000000000056E-2</v>
      </c>
      <c r="M25" s="228">
        <v>0.73509999999999998</v>
      </c>
      <c r="N25" s="194">
        <v>2033</v>
      </c>
      <c r="O25" s="242">
        <f t="shared" si="10"/>
        <v>1290.1837175247995</v>
      </c>
      <c r="P25" s="242">
        <v>1266.3858904109591</v>
      </c>
      <c r="Q25" s="242">
        <v>0.13802739726027391</v>
      </c>
      <c r="R25" s="242">
        <f t="shared" si="11"/>
        <v>23.797827113840331</v>
      </c>
      <c r="S25" s="243">
        <f t="shared" si="12"/>
        <v>0.98155469892342451</v>
      </c>
      <c r="T25" s="245">
        <f t="shared" si="9"/>
        <v>1.1189723567727039</v>
      </c>
      <c r="U25" s="243">
        <f t="shared" si="13"/>
        <v>0.93119999999999992</v>
      </c>
      <c r="V25" s="205">
        <v>1000</v>
      </c>
      <c r="W25" s="213">
        <v>300</v>
      </c>
      <c r="X25" s="194">
        <v>100</v>
      </c>
      <c r="AC25" s="232">
        <f t="shared" si="1"/>
        <v>-90</v>
      </c>
      <c r="AD25" s="233">
        <f t="shared" si="2"/>
        <v>182716.66666666666</v>
      </c>
      <c r="AE25" s="234">
        <f t="shared" si="3"/>
        <v>-253.33333333334303</v>
      </c>
      <c r="AF25" s="224">
        <f t="shared" si="4"/>
        <v>1.7714666666666437</v>
      </c>
      <c r="AG25" s="225">
        <f t="shared" si="5"/>
        <v>1.5737583333405851</v>
      </c>
      <c r="AH25" s="186">
        <f t="shared" si="6"/>
        <v>0.38048976608823271</v>
      </c>
    </row>
    <row r="26" spans="3:34" x14ac:dyDescent="0.25">
      <c r="C26" t="s">
        <v>504</v>
      </c>
      <c r="E26" s="194">
        <v>1.31</v>
      </c>
      <c r="F26" s="194">
        <v>0.37</v>
      </c>
      <c r="G26">
        <f>+E26*95.34%</f>
        <v>1.2489540000000001</v>
      </c>
      <c r="H26">
        <f t="shared" si="0"/>
        <v>6.1045999999999934E-2</v>
      </c>
      <c r="I26" s="186">
        <f t="shared" si="7"/>
        <v>0.95340000000000003</v>
      </c>
      <c r="J26" s="186">
        <f t="shared" si="8"/>
        <v>4.6599999999999947E-2</v>
      </c>
      <c r="M26" s="228">
        <v>0.34710000000000002</v>
      </c>
      <c r="N26" s="194">
        <v>2053</v>
      </c>
      <c r="O26" s="242">
        <f t="shared" si="10"/>
        <v>483.05330278696272</v>
      </c>
      <c r="P26" s="242">
        <v>435.87805479452061</v>
      </c>
      <c r="Q26" s="242">
        <v>0.27361643835616434</v>
      </c>
      <c r="R26" s="242">
        <f t="shared" si="11"/>
        <v>47.175247992442124</v>
      </c>
      <c r="S26" s="243">
        <f t="shared" si="12"/>
        <v>0.90233945670122573</v>
      </c>
      <c r="T26" s="245">
        <f t="shared" si="9"/>
        <v>1.1820646882786057</v>
      </c>
      <c r="U26" s="243">
        <f t="shared" si="13"/>
        <v>0.95340000000000003</v>
      </c>
      <c r="V26" s="205">
        <v>480</v>
      </c>
      <c r="W26" s="205">
        <v>280</v>
      </c>
      <c r="X26" s="194">
        <v>125</v>
      </c>
      <c r="Y26">
        <v>90</v>
      </c>
      <c r="Z26">
        <v>50</v>
      </c>
      <c r="AA26">
        <v>30</v>
      </c>
      <c r="AB26">
        <v>25</v>
      </c>
      <c r="AC26" s="232">
        <f t="shared" si="1"/>
        <v>-13.857142857142858</v>
      </c>
      <c r="AD26" s="233">
        <f t="shared" si="2"/>
        <v>28353.571428571428</v>
      </c>
      <c r="AE26" s="234">
        <f t="shared" si="3"/>
        <v>-95.142857142858702</v>
      </c>
      <c r="AF26" s="224">
        <f t="shared" si="4"/>
        <v>2.3178021428571336</v>
      </c>
      <c r="AG26" s="225">
        <f t="shared" si="5"/>
        <v>1.6080075</v>
      </c>
      <c r="AH26" s="186">
        <f t="shared" si="6"/>
        <v>0.22748664122137402</v>
      </c>
    </row>
    <row r="27" spans="3:34" x14ac:dyDescent="0.25">
      <c r="C27" t="s">
        <v>505</v>
      </c>
      <c r="E27" s="194">
        <v>4.72</v>
      </c>
      <c r="F27" s="194">
        <v>7.45</v>
      </c>
      <c r="G27">
        <f>+E27*73.7%</f>
        <v>3.47864</v>
      </c>
      <c r="H27">
        <f t="shared" si="0"/>
        <v>1.2413599999999998</v>
      </c>
      <c r="I27" s="186">
        <f t="shared" si="7"/>
        <v>0.73699999999999999</v>
      </c>
      <c r="J27" s="186">
        <f t="shared" si="8"/>
        <v>0.26299999999999996</v>
      </c>
      <c r="M27" s="228">
        <v>0.91449999999999998</v>
      </c>
      <c r="N27" s="194">
        <v>2030</v>
      </c>
      <c r="O27" s="242">
        <f t="shared" si="10"/>
        <v>4583.6177808219181</v>
      </c>
      <c r="P27" s="242">
        <v>4583.6177808219181</v>
      </c>
      <c r="Q27" s="242">
        <v>0</v>
      </c>
      <c r="R27" s="242">
        <f t="shared" si="11"/>
        <v>0</v>
      </c>
      <c r="S27" s="243">
        <f t="shared" si="12"/>
        <v>1</v>
      </c>
      <c r="T27" s="245">
        <f t="shared" si="9"/>
        <v>4.72</v>
      </c>
      <c r="U27" s="243">
        <f t="shared" si="13"/>
        <v>0.73699999999999999</v>
      </c>
      <c r="V27" s="205">
        <v>3750</v>
      </c>
      <c r="W27" s="205">
        <v>1750</v>
      </c>
      <c r="X27" s="194">
        <v>750</v>
      </c>
      <c r="AC27" s="232">
        <f t="shared" si="1"/>
        <v>-300</v>
      </c>
      <c r="AD27" s="233">
        <f t="shared" si="2"/>
        <v>609583.33333333337</v>
      </c>
      <c r="AE27" s="234">
        <f t="shared" si="3"/>
        <v>583.33333333337214</v>
      </c>
      <c r="AF27" s="224">
        <f t="shared" si="4"/>
        <v>7.9083333333334034</v>
      </c>
      <c r="AG27" s="225">
        <f t="shared" si="5"/>
        <v>7.6041666666376591</v>
      </c>
      <c r="AH27" s="186">
        <f t="shared" si="6"/>
        <v>0.61105225988086009</v>
      </c>
    </row>
    <row r="28" spans="3:34" x14ac:dyDescent="0.25">
      <c r="C28" t="s">
        <v>506</v>
      </c>
      <c r="E28" s="194">
        <v>11.27</v>
      </c>
      <c r="F28" s="194">
        <v>0</v>
      </c>
      <c r="G28">
        <v>11.27</v>
      </c>
      <c r="H28">
        <f t="shared" si="0"/>
        <v>0</v>
      </c>
      <c r="I28" s="186">
        <f t="shared" si="7"/>
        <v>1</v>
      </c>
      <c r="J28" s="186">
        <f t="shared" si="8"/>
        <v>0</v>
      </c>
      <c r="M28" s="228">
        <v>0.4148</v>
      </c>
      <c r="N28" s="194">
        <v>2067</v>
      </c>
      <c r="O28" s="242">
        <f t="shared" si="10"/>
        <v>0</v>
      </c>
      <c r="P28" s="242"/>
      <c r="Q28" s="242"/>
      <c r="R28" s="242">
        <f t="shared" si="11"/>
        <v>0</v>
      </c>
      <c r="S28" s="243" t="e">
        <f t="shared" si="12"/>
        <v>#DIV/0!</v>
      </c>
      <c r="T28" s="245"/>
      <c r="U28" s="243">
        <f t="shared" si="13"/>
        <v>1</v>
      </c>
      <c r="V28" s="205">
        <v>2500</v>
      </c>
      <c r="W28" s="214">
        <v>1750</v>
      </c>
      <c r="X28" s="194">
        <v>1250</v>
      </c>
      <c r="Y28">
        <v>800</v>
      </c>
      <c r="Z28">
        <v>600</v>
      </c>
      <c r="AA28">
        <v>400</v>
      </c>
      <c r="AB28">
        <v>300</v>
      </c>
      <c r="AC28" s="232">
        <f t="shared" si="1"/>
        <v>-71.071428571428569</v>
      </c>
      <c r="AD28" s="233">
        <f t="shared" si="2"/>
        <v>145716.07142857142</v>
      </c>
      <c r="AE28" s="234">
        <f t="shared" si="3"/>
        <v>-1188.5714285714203</v>
      </c>
      <c r="AF28" s="224">
        <f t="shared" si="4"/>
        <v>11.248778571428643</v>
      </c>
      <c r="AG28" s="225">
        <f t="shared" si="5"/>
        <v>8.2619705357080697</v>
      </c>
      <c r="AH28" s="186">
        <f t="shared" si="6"/>
        <v>-0.2669058974527001</v>
      </c>
    </row>
    <row r="29" spans="3:34" x14ac:dyDescent="0.25">
      <c r="C29" t="s">
        <v>318</v>
      </c>
      <c r="E29" s="194">
        <v>3.84</v>
      </c>
      <c r="F29" s="194">
        <v>23.03</v>
      </c>
      <c r="H29">
        <f t="shared" si="0"/>
        <v>3.84</v>
      </c>
      <c r="I29" s="186">
        <f t="shared" si="7"/>
        <v>0</v>
      </c>
      <c r="J29" s="186">
        <f t="shared" si="8"/>
        <v>1</v>
      </c>
      <c r="M29" s="228">
        <v>0.84079999999999999</v>
      </c>
      <c r="N29" s="194">
        <v>2028</v>
      </c>
      <c r="O29" s="242">
        <f t="shared" si="10"/>
        <v>5516.7123287671238</v>
      </c>
      <c r="P29" s="242">
        <v>0</v>
      </c>
      <c r="Q29" s="242">
        <v>31.996931506849318</v>
      </c>
      <c r="R29" s="242">
        <f t="shared" si="11"/>
        <v>5516.7123287671238</v>
      </c>
      <c r="S29" s="243">
        <f t="shared" si="12"/>
        <v>0</v>
      </c>
      <c r="T29" s="245">
        <f t="shared" si="9"/>
        <v>0</v>
      </c>
      <c r="U29" s="243">
        <f t="shared" si="13"/>
        <v>0</v>
      </c>
      <c r="V29" s="205">
        <v>5300</v>
      </c>
      <c r="W29" s="205">
        <v>1250</v>
      </c>
      <c r="AC29" s="232">
        <f t="shared" si="1"/>
        <v>-810</v>
      </c>
      <c r="AD29" s="233">
        <f t="shared" si="2"/>
        <v>1641500</v>
      </c>
      <c r="AE29" s="234">
        <f t="shared" si="3"/>
        <v>-1180</v>
      </c>
      <c r="AF29" s="224">
        <f t="shared" si="4"/>
        <v>6.0152000000000001</v>
      </c>
      <c r="AG29" s="225">
        <f t="shared" si="5"/>
        <v>6.0152000000000001</v>
      </c>
      <c r="AH29" s="186">
        <f t="shared" si="6"/>
        <v>0.5664583333333334</v>
      </c>
    </row>
    <row r="30" spans="3:34" x14ac:dyDescent="0.25">
      <c r="C30" t="s">
        <v>508</v>
      </c>
      <c r="E30" s="194">
        <v>14.92</v>
      </c>
      <c r="F30">
        <v>0.24</v>
      </c>
      <c r="G30">
        <f>+E30*99.74%</f>
        <v>14.881207999999999</v>
      </c>
      <c r="H30">
        <f t="shared" si="0"/>
        <v>3.8792000000000826E-2</v>
      </c>
      <c r="I30" s="186">
        <f t="shared" si="7"/>
        <v>0.99739999999999995</v>
      </c>
      <c r="J30" s="186">
        <f t="shared" si="8"/>
        <v>2.6000000000000554E-3</v>
      </c>
      <c r="M30" s="228">
        <v>0.75690000000000002</v>
      </c>
      <c r="N30" s="194">
        <v>2043</v>
      </c>
      <c r="O30" s="242">
        <f t="shared" si="10"/>
        <v>12434.820158715165</v>
      </c>
      <c r="P30" s="242">
        <v>12274.754027397263</v>
      </c>
      <c r="Q30" s="242">
        <v>0.92838356164383562</v>
      </c>
      <c r="R30" s="242">
        <f t="shared" si="11"/>
        <v>160.06613131790269</v>
      </c>
      <c r="S30" s="243">
        <f t="shared" si="12"/>
        <v>0.98712758775158338</v>
      </c>
      <c r="T30" s="245">
        <f t="shared" si="9"/>
        <v>14.727943609253623</v>
      </c>
      <c r="U30" s="243">
        <f t="shared" si="13"/>
        <v>0.99739999999999995</v>
      </c>
      <c r="V30" s="205">
        <v>10000</v>
      </c>
      <c r="W30" s="205">
        <v>4000</v>
      </c>
      <c r="X30" s="194">
        <v>1000</v>
      </c>
      <c r="Y30">
        <v>500</v>
      </c>
      <c r="Z30">
        <v>400</v>
      </c>
      <c r="AC30" s="232">
        <f t="shared" si="1"/>
        <v>-454</v>
      </c>
      <c r="AD30" s="233">
        <f t="shared" si="2"/>
        <v>924800</v>
      </c>
      <c r="AE30" s="234">
        <f t="shared" si="3"/>
        <v>-2722</v>
      </c>
      <c r="AF30" s="224">
        <f t="shared" si="4"/>
        <v>30.549405</v>
      </c>
      <c r="AG30" s="225">
        <f t="shared" si="5"/>
        <v>20.979105000000001</v>
      </c>
      <c r="AH30" s="186">
        <f t="shared" si="6"/>
        <v>0.40610623324396788</v>
      </c>
    </row>
    <row r="31" spans="3:34" x14ac:dyDescent="0.25">
      <c r="C31" t="s">
        <v>80</v>
      </c>
      <c r="E31" s="194">
        <v>43.42</v>
      </c>
      <c r="F31" s="194">
        <v>16.96</v>
      </c>
      <c r="G31">
        <f>+E31*93.49%</f>
        <v>40.593358000000002</v>
      </c>
      <c r="H31">
        <f t="shared" si="0"/>
        <v>2.8266419999999997</v>
      </c>
      <c r="I31" s="186">
        <f t="shared" si="7"/>
        <v>0.93490000000000006</v>
      </c>
      <c r="J31" s="186">
        <f t="shared" si="8"/>
        <v>6.5099999999999991E-2</v>
      </c>
      <c r="M31" s="228">
        <v>0.76190000000000002</v>
      </c>
      <c r="N31" s="194">
        <v>2042</v>
      </c>
      <c r="O31" s="242">
        <f t="shared" si="10"/>
        <v>30543.691030703827</v>
      </c>
      <c r="P31" s="242">
        <v>30059.642849315071</v>
      </c>
      <c r="Q31" s="242">
        <v>2.8074794520547948</v>
      </c>
      <c r="R31" s="242">
        <f t="shared" si="11"/>
        <v>484.04818138875771</v>
      </c>
      <c r="S31" s="243">
        <f t="shared" si="12"/>
        <v>0.98415226958319579</v>
      </c>
      <c r="T31" s="245">
        <f t="shared" si="9"/>
        <v>42.731891545302361</v>
      </c>
      <c r="U31" s="243">
        <f t="shared" si="13"/>
        <v>0.93490000000000006</v>
      </c>
      <c r="V31" s="205">
        <v>25000</v>
      </c>
      <c r="W31" s="205">
        <v>12500</v>
      </c>
      <c r="X31" s="194">
        <v>4500</v>
      </c>
      <c r="Y31">
        <v>2500</v>
      </c>
      <c r="Z31">
        <v>1000</v>
      </c>
      <c r="AC31" s="232">
        <f t="shared" si="1"/>
        <v>-1160</v>
      </c>
      <c r="AD31" s="233">
        <f t="shared" si="2"/>
        <v>2363900</v>
      </c>
      <c r="AE31" s="234">
        <f t="shared" si="3"/>
        <v>-4820</v>
      </c>
      <c r="AF31" s="224">
        <f t="shared" si="4"/>
        <v>81.0227</v>
      </c>
      <c r="AG31" s="225">
        <f t="shared" si="5"/>
        <v>63.758200000000002</v>
      </c>
      <c r="AH31" s="186">
        <f t="shared" si="6"/>
        <v>0.46840626439428834</v>
      </c>
    </row>
    <row r="32" spans="3:34" x14ac:dyDescent="0.25">
      <c r="C32" t="s">
        <v>449</v>
      </c>
      <c r="E32" s="194">
        <v>7.3</v>
      </c>
      <c r="F32" s="194">
        <v>4.54</v>
      </c>
      <c r="G32">
        <f>+E32*89.64%</f>
        <v>6.5437199999999995</v>
      </c>
      <c r="H32">
        <f t="shared" si="0"/>
        <v>0.75628000000000029</v>
      </c>
      <c r="I32" s="186">
        <f t="shared" si="7"/>
        <v>0.89639999999999997</v>
      </c>
      <c r="J32" s="186">
        <f t="shared" si="8"/>
        <v>0.10360000000000004</v>
      </c>
      <c r="M32" s="228">
        <v>0.77580000000000005</v>
      </c>
      <c r="N32" s="194">
        <v>2044</v>
      </c>
      <c r="O32" s="242">
        <f t="shared" si="10"/>
        <v>1962.0646849315069</v>
      </c>
      <c r="P32" s="242">
        <v>1962.0646849315069</v>
      </c>
      <c r="Q32" s="242">
        <v>0</v>
      </c>
      <c r="R32" s="242">
        <f t="shared" si="11"/>
        <v>0</v>
      </c>
      <c r="S32" s="243">
        <f t="shared" si="12"/>
        <v>1</v>
      </c>
      <c r="T32" s="245">
        <f t="shared" si="9"/>
        <v>7.3</v>
      </c>
      <c r="U32" s="243">
        <f t="shared" si="13"/>
        <v>0.89639999999999997</v>
      </c>
      <c r="V32" s="205">
        <v>2000</v>
      </c>
      <c r="W32" s="205">
        <v>1250</v>
      </c>
      <c r="X32" s="194">
        <v>900</v>
      </c>
      <c r="Y32">
        <v>600</v>
      </c>
      <c r="Z32">
        <v>400</v>
      </c>
      <c r="AC32" s="232">
        <f t="shared" si="1"/>
        <v>-77</v>
      </c>
      <c r="AD32" s="233">
        <f t="shared" si="2"/>
        <v>157340</v>
      </c>
      <c r="AE32" s="234">
        <f t="shared" si="3"/>
        <v>-48</v>
      </c>
      <c r="AF32" s="224">
        <f t="shared" si="4"/>
        <v>8.5497599999999991</v>
      </c>
      <c r="AG32" s="225">
        <f t="shared" si="5"/>
        <v>7.6737599999999997</v>
      </c>
      <c r="AH32" s="186">
        <f t="shared" si="6"/>
        <v>5.1199999999999982E-2</v>
      </c>
    </row>
    <row r="33" spans="3:34" x14ac:dyDescent="0.25">
      <c r="C33" t="s">
        <v>509</v>
      </c>
      <c r="E33" s="194">
        <v>0.57999999999999996</v>
      </c>
      <c r="F33" s="194">
        <v>0</v>
      </c>
      <c r="G33">
        <f>+E33</f>
        <v>0.57999999999999996</v>
      </c>
      <c r="H33">
        <f t="shared" si="0"/>
        <v>0</v>
      </c>
      <c r="I33" s="186">
        <f t="shared" si="7"/>
        <v>1</v>
      </c>
      <c r="J33" s="186">
        <f t="shared" si="8"/>
        <v>0</v>
      </c>
      <c r="M33" s="228">
        <v>0.91830000000000001</v>
      </c>
      <c r="N33" s="194">
        <v>2031</v>
      </c>
      <c r="O33" s="242">
        <f t="shared" si="10"/>
        <v>60862.479471894199</v>
      </c>
      <c r="P33" s="242">
        <v>26403.53284931507</v>
      </c>
      <c r="Q33" s="242">
        <v>199.86189041095895</v>
      </c>
      <c r="R33" s="242">
        <f t="shared" si="11"/>
        <v>34458.946622579126</v>
      </c>
      <c r="S33" s="243">
        <f t="shared" si="12"/>
        <v>0.43382282612242257</v>
      </c>
      <c r="T33" s="245">
        <f t="shared" si="9"/>
        <v>0.25161723915100509</v>
      </c>
      <c r="U33" s="243">
        <f t="shared" si="13"/>
        <v>1</v>
      </c>
      <c r="V33" s="205">
        <v>500</v>
      </c>
      <c r="W33" s="205">
        <v>200</v>
      </c>
      <c r="X33" s="194">
        <v>80</v>
      </c>
      <c r="AC33" s="232">
        <f t="shared" si="1"/>
        <v>-42</v>
      </c>
      <c r="AD33" s="233">
        <f t="shared" si="2"/>
        <v>85310</v>
      </c>
      <c r="AE33" s="234">
        <f t="shared" si="3"/>
        <v>8</v>
      </c>
      <c r="AF33" s="224">
        <f t="shared" si="4"/>
        <v>1.0198100000000001</v>
      </c>
      <c r="AG33" s="225">
        <f t="shared" si="5"/>
        <v>0.95958500000000002</v>
      </c>
      <c r="AH33" s="186">
        <f t="shared" si="6"/>
        <v>0.65445689655172434</v>
      </c>
    </row>
    <row r="34" spans="3:34" x14ac:dyDescent="0.25">
      <c r="C34" t="s">
        <v>510</v>
      </c>
      <c r="E34" s="194">
        <v>130.22</v>
      </c>
      <c r="F34" s="194">
        <v>284</v>
      </c>
      <c r="G34">
        <f>+E34*63.65%</f>
        <v>82.88503</v>
      </c>
      <c r="H34">
        <f t="shared" si="0"/>
        <v>47.334969999999998</v>
      </c>
      <c r="I34" s="186">
        <f t="shared" si="7"/>
        <v>0.63649999999999995</v>
      </c>
      <c r="J34" s="186">
        <f t="shared" si="8"/>
        <v>0.36349999999999999</v>
      </c>
      <c r="M34" s="228">
        <v>0.63759999999999994</v>
      </c>
      <c r="N34" s="194">
        <v>2018</v>
      </c>
      <c r="O34" s="242">
        <f t="shared" si="10"/>
        <v>604.87506849315071</v>
      </c>
      <c r="P34" s="242">
        <v>604.87506849315071</v>
      </c>
      <c r="Q34" s="242">
        <v>0</v>
      </c>
      <c r="R34" s="242">
        <f t="shared" si="11"/>
        <v>0</v>
      </c>
      <c r="S34" s="243">
        <f t="shared" si="12"/>
        <v>1</v>
      </c>
      <c r="T34" s="245">
        <f t="shared" si="9"/>
        <v>130.22</v>
      </c>
      <c r="U34" s="243">
        <f t="shared" si="13"/>
        <v>0.63649999999999995</v>
      </c>
      <c r="V34" s="205">
        <v>55000</v>
      </c>
      <c r="W34" s="205">
        <v>31000</v>
      </c>
      <c r="X34" s="194">
        <v>15000</v>
      </c>
      <c r="Y34">
        <v>8000</v>
      </c>
      <c r="AC34" s="232">
        <f t="shared" si="1"/>
        <v>-3140</v>
      </c>
      <c r="AD34" s="233">
        <f t="shared" si="2"/>
        <v>6393600</v>
      </c>
      <c r="AE34" s="234">
        <f t="shared" si="3"/>
        <v>57080</v>
      </c>
      <c r="AF34" s="224">
        <f t="shared" si="4"/>
        <v>-40.909199999999998</v>
      </c>
      <c r="AG34" s="225">
        <f t="shared" si="5"/>
        <v>-39.376199999999997</v>
      </c>
      <c r="AH34" s="186">
        <f t="shared" si="6"/>
        <v>-1.3023821225618186</v>
      </c>
    </row>
    <row r="35" spans="3:34" x14ac:dyDescent="0.25">
      <c r="C35" t="s">
        <v>344</v>
      </c>
      <c r="E35" s="194">
        <v>24.09</v>
      </c>
      <c r="F35" s="194">
        <v>0</v>
      </c>
      <c r="G35">
        <f>+E35</f>
        <v>24.09</v>
      </c>
      <c r="H35">
        <f t="shared" si="0"/>
        <v>0</v>
      </c>
      <c r="I35" s="186">
        <f t="shared" si="7"/>
        <v>1</v>
      </c>
      <c r="J35" s="186">
        <f t="shared" si="8"/>
        <v>0</v>
      </c>
      <c r="M35" s="228">
        <v>0.73740000000000006</v>
      </c>
      <c r="N35" s="194">
        <v>2064</v>
      </c>
      <c r="O35" s="242">
        <f t="shared" si="10"/>
        <v>4233.3403013698626</v>
      </c>
      <c r="P35" s="242">
        <v>4233.3403013698626</v>
      </c>
      <c r="Q35" s="242">
        <v>0</v>
      </c>
      <c r="R35" s="242">
        <f t="shared" si="11"/>
        <v>0</v>
      </c>
      <c r="S35" s="243">
        <f t="shared" si="12"/>
        <v>1</v>
      </c>
      <c r="T35" s="245">
        <f t="shared" si="9"/>
        <v>24.09</v>
      </c>
      <c r="U35" s="243">
        <f t="shared" si="13"/>
        <v>1</v>
      </c>
      <c r="V35" s="205">
        <v>4000</v>
      </c>
      <c r="W35" s="205">
        <v>3500</v>
      </c>
      <c r="X35" s="194">
        <v>2500</v>
      </c>
      <c r="Y35">
        <v>2000</v>
      </c>
      <c r="Z35">
        <v>1500</v>
      </c>
      <c r="AA35">
        <v>1250</v>
      </c>
      <c r="AB35">
        <v>1000</v>
      </c>
      <c r="AC35" s="232">
        <f t="shared" si="1"/>
        <v>-103.57142857142857</v>
      </c>
      <c r="AD35" s="233">
        <f t="shared" si="2"/>
        <v>213017.85714285713</v>
      </c>
      <c r="AE35" s="234">
        <f t="shared" si="3"/>
        <v>-753.57142857144936</v>
      </c>
      <c r="AF35" s="224">
        <f t="shared" si="4"/>
        <v>26.068821428571262</v>
      </c>
      <c r="AG35" s="225">
        <f t="shared" si="5"/>
        <v>24.491499999999998</v>
      </c>
      <c r="AH35" s="186">
        <f t="shared" si="6"/>
        <v>1.6666666666666611E-2</v>
      </c>
    </row>
    <row r="36" spans="3:34" x14ac:dyDescent="0.25">
      <c r="C36" t="s">
        <v>511</v>
      </c>
      <c r="E36" s="194">
        <v>5.59</v>
      </c>
      <c r="F36" s="194">
        <v>0</v>
      </c>
      <c r="G36">
        <f>+E36</f>
        <v>5.59</v>
      </c>
      <c r="H36">
        <f t="shared" si="0"/>
        <v>0</v>
      </c>
      <c r="I36" s="186">
        <f t="shared" si="7"/>
        <v>1</v>
      </c>
      <c r="J36" s="186">
        <f t="shared" si="8"/>
        <v>0</v>
      </c>
      <c r="M36" s="228">
        <v>0.69210000000000005</v>
      </c>
      <c r="N36" s="194">
        <v>2047</v>
      </c>
      <c r="O36" s="242">
        <f t="shared" si="10"/>
        <v>1476.5236986301368</v>
      </c>
      <c r="P36" s="242">
        <v>1476.5236986301368</v>
      </c>
      <c r="Q36" s="242">
        <v>0</v>
      </c>
      <c r="R36" s="242">
        <f t="shared" si="11"/>
        <v>0</v>
      </c>
      <c r="S36" s="243">
        <f t="shared" si="12"/>
        <v>1</v>
      </c>
      <c r="T36" s="245">
        <f t="shared" si="9"/>
        <v>5.59</v>
      </c>
      <c r="U36" s="243">
        <f t="shared" si="13"/>
        <v>1</v>
      </c>
      <c r="V36" s="205">
        <v>1400</v>
      </c>
      <c r="W36" s="205">
        <v>1250</v>
      </c>
      <c r="X36" s="194">
        <v>750</v>
      </c>
      <c r="Y36">
        <v>450</v>
      </c>
      <c r="Z36">
        <v>250</v>
      </c>
      <c r="AC36" s="232">
        <f t="shared" si="1"/>
        <v>-62</v>
      </c>
      <c r="AD36" s="233">
        <f t="shared" si="2"/>
        <v>126680</v>
      </c>
      <c r="AE36" s="234">
        <f t="shared" si="3"/>
        <v>-234</v>
      </c>
      <c r="AF36" s="224">
        <f t="shared" si="4"/>
        <v>5.7454650000000003</v>
      </c>
      <c r="AG36" s="225">
        <f t="shared" si="5"/>
        <v>5.9425650000000001</v>
      </c>
      <c r="AH36" s="186">
        <f t="shared" si="6"/>
        <v>6.307066189624333E-2</v>
      </c>
    </row>
    <row r="37" spans="3:34" x14ac:dyDescent="0.25">
      <c r="C37" t="s">
        <v>345</v>
      </c>
      <c r="E37" s="194">
        <v>16.52</v>
      </c>
      <c r="F37" s="194">
        <v>1.91</v>
      </c>
      <c r="G37">
        <f>+E37*98.07%</f>
        <v>16.201163999999999</v>
      </c>
      <c r="H37">
        <f t="shared" si="0"/>
        <v>0.31883600000000101</v>
      </c>
      <c r="I37" s="186">
        <f t="shared" si="7"/>
        <v>0.98069999999999991</v>
      </c>
      <c r="J37" s="186">
        <f t="shared" si="8"/>
        <v>1.930000000000006E-2</v>
      </c>
      <c r="M37" s="228">
        <v>0.73629999999999995</v>
      </c>
      <c r="N37" s="194">
        <v>2060</v>
      </c>
      <c r="O37" s="242">
        <f t="shared" si="10"/>
        <v>4154.1152328767121</v>
      </c>
      <c r="P37" s="242">
        <v>4154.1152328767121</v>
      </c>
      <c r="Q37" s="242">
        <v>0</v>
      </c>
      <c r="R37" s="242">
        <f t="shared" si="11"/>
        <v>0</v>
      </c>
      <c r="S37" s="243">
        <f t="shared" si="12"/>
        <v>1</v>
      </c>
      <c r="T37" s="245">
        <f t="shared" si="9"/>
        <v>16.52</v>
      </c>
      <c r="U37" s="243">
        <f t="shared" si="13"/>
        <v>0.98069999999999991</v>
      </c>
      <c r="V37" s="205">
        <v>4000</v>
      </c>
      <c r="W37" s="205">
        <v>3000</v>
      </c>
      <c r="X37" s="194">
        <v>1800</v>
      </c>
      <c r="Y37">
        <v>1250</v>
      </c>
      <c r="Z37">
        <v>1000</v>
      </c>
      <c r="AA37">
        <v>750</v>
      </c>
      <c r="AC37" s="232">
        <f t="shared" si="1"/>
        <v>-130.28571428571428</v>
      </c>
      <c r="AD37" s="233">
        <f t="shared" si="2"/>
        <v>266772.38095238095</v>
      </c>
      <c r="AE37" s="234">
        <f t="shared" si="3"/>
        <v>-1616.1904761904734</v>
      </c>
      <c r="AF37" s="224">
        <f t="shared" si="4"/>
        <v>17.401809523809543</v>
      </c>
      <c r="AG37" s="225">
        <f t="shared" si="5"/>
        <v>14.447047619026899</v>
      </c>
      <c r="AH37" s="186">
        <f t="shared" si="6"/>
        <v>-0.12548137899352912</v>
      </c>
    </row>
    <row r="38" spans="3:34" x14ac:dyDescent="0.25">
      <c r="C38" t="s">
        <v>512</v>
      </c>
      <c r="E38" s="194">
        <v>90.73</v>
      </c>
      <c r="F38" s="194">
        <v>10.09</v>
      </c>
      <c r="G38">
        <f>+E38*98.15%</f>
        <v>89.051495000000003</v>
      </c>
      <c r="H38">
        <f t="shared" si="0"/>
        <v>1.6785050000000012</v>
      </c>
      <c r="I38" s="186">
        <f t="shared" si="7"/>
        <v>0.98150000000000004</v>
      </c>
      <c r="J38" s="186">
        <f t="shared" si="8"/>
        <v>1.8500000000000013E-2</v>
      </c>
      <c r="M38" s="228">
        <v>0.50829999999999997</v>
      </c>
      <c r="N38" s="194">
        <v>2061</v>
      </c>
      <c r="O38" s="242">
        <f t="shared" si="10"/>
        <v>18271.22222390175</v>
      </c>
      <c r="P38" s="242">
        <v>17849.99879452055</v>
      </c>
      <c r="Q38" s="242">
        <v>2.4430958904109596</v>
      </c>
      <c r="R38" s="242">
        <f t="shared" si="11"/>
        <v>421.22342938119994</v>
      </c>
      <c r="S38" s="243">
        <f t="shared" si="12"/>
        <v>0.97694607266994049</v>
      </c>
      <c r="T38" s="245">
        <f t="shared" si="9"/>
        <v>88.638317173343708</v>
      </c>
      <c r="U38" s="243">
        <f t="shared" si="13"/>
        <v>0.98150000000000004</v>
      </c>
      <c r="V38" s="205">
        <v>19000</v>
      </c>
      <c r="W38" s="205">
        <v>16000</v>
      </c>
      <c r="X38" s="194">
        <v>10000</v>
      </c>
      <c r="Y38">
        <v>7000</v>
      </c>
      <c r="Z38">
        <v>4500</v>
      </c>
      <c r="AA38">
        <v>3000</v>
      </c>
      <c r="AB38">
        <v>2000</v>
      </c>
    </row>
    <row r="39" spans="3:34" x14ac:dyDescent="0.25">
      <c r="H39">
        <f t="shared" si="0"/>
        <v>0</v>
      </c>
      <c r="I39" s="186"/>
      <c r="J39" s="186"/>
    </row>
    <row r="40" spans="3:34" x14ac:dyDescent="0.25">
      <c r="C40" t="s">
        <v>519</v>
      </c>
      <c r="E40" s="194" t="s">
        <v>527</v>
      </c>
      <c r="F40" s="194">
        <v>23.75</v>
      </c>
      <c r="G40" t="e">
        <f>+E40*0.74%</f>
        <v>#VALUE!</v>
      </c>
      <c r="H40" t="e">
        <f t="shared" si="0"/>
        <v>#VALUE!</v>
      </c>
      <c r="I40" s="186" t="e">
        <f t="shared" si="7"/>
        <v>#VALUE!</v>
      </c>
      <c r="J40" s="186" t="e">
        <f t="shared" si="8"/>
        <v>#VALUE!</v>
      </c>
      <c r="M40" s="228">
        <v>0.30909999999999999</v>
      </c>
      <c r="N40" s="194">
        <v>2049</v>
      </c>
      <c r="O40" s="194"/>
      <c r="P40" s="194"/>
      <c r="Q40" s="194"/>
      <c r="R40" s="194"/>
      <c r="S40" s="194"/>
      <c r="T40" s="194"/>
      <c r="U40" s="194"/>
    </row>
    <row r="41" spans="3:34" x14ac:dyDescent="0.25">
      <c r="C41" t="s">
        <v>520</v>
      </c>
      <c r="E41" s="194">
        <v>6.24</v>
      </c>
      <c r="F41" s="194">
        <v>11.14</v>
      </c>
      <c r="G41">
        <f>+E41*70.26%</f>
        <v>4.3842240000000006</v>
      </c>
      <c r="H41">
        <f t="shared" si="0"/>
        <v>1.8557759999999996</v>
      </c>
      <c r="I41" s="186">
        <f t="shared" si="7"/>
        <v>0.70260000000000011</v>
      </c>
      <c r="J41" s="186">
        <f t="shared" si="8"/>
        <v>0.29739999999999994</v>
      </c>
      <c r="M41" s="228">
        <v>0.77259999999999995</v>
      </c>
      <c r="N41" s="194">
        <v>2041</v>
      </c>
      <c r="O41" s="194"/>
      <c r="P41" s="194"/>
      <c r="Q41" s="194"/>
      <c r="R41" s="194"/>
      <c r="S41" s="194"/>
      <c r="T41" s="194"/>
      <c r="U41" s="194"/>
      <c r="V41" s="205">
        <v>3700</v>
      </c>
    </row>
    <row r="42" spans="3:34" x14ac:dyDescent="0.25">
      <c r="C42" t="s">
        <v>521</v>
      </c>
      <c r="E42" s="194">
        <v>18.809999999999999</v>
      </c>
      <c r="F42" s="194">
        <v>112.29</v>
      </c>
      <c r="G42">
        <f>+E42*0.49%</f>
        <v>9.2168999999999987E-2</v>
      </c>
      <c r="H42">
        <f t="shared" si="0"/>
        <v>18.717831</v>
      </c>
      <c r="I42" s="186">
        <f t="shared" si="7"/>
        <v>4.8999999999999998E-3</v>
      </c>
      <c r="J42" s="186">
        <f t="shared" si="8"/>
        <v>0.9951000000000001</v>
      </c>
      <c r="M42" s="228">
        <v>0.29599999999999999</v>
      </c>
      <c r="N42" s="194">
        <v>2042</v>
      </c>
      <c r="O42" s="194"/>
      <c r="P42" s="194"/>
      <c r="Q42" s="194"/>
      <c r="R42" s="194"/>
      <c r="S42" s="194"/>
      <c r="T42" s="194"/>
      <c r="U42" s="194"/>
      <c r="V42" s="205">
        <v>4500</v>
      </c>
    </row>
    <row r="43" spans="3:34" x14ac:dyDescent="0.25">
      <c r="C43" t="s">
        <v>522</v>
      </c>
      <c r="E43" s="194">
        <v>9.35</v>
      </c>
      <c r="F43" s="194">
        <v>4.1900000000000004</v>
      </c>
      <c r="G43">
        <f>+E43*92.53%</f>
        <v>8.6515550000000001</v>
      </c>
      <c r="H43">
        <f t="shared" si="0"/>
        <v>0.69844499999999954</v>
      </c>
      <c r="I43" s="186">
        <f t="shared" si="7"/>
        <v>0.92530000000000001</v>
      </c>
      <c r="J43" s="186">
        <f t="shared" si="8"/>
        <v>7.4699999999999947E-2</v>
      </c>
      <c r="M43" s="228">
        <v>0.51980000000000004</v>
      </c>
      <c r="N43" s="194">
        <v>2068</v>
      </c>
      <c r="O43" s="194"/>
      <c r="P43" s="194"/>
      <c r="Q43" s="194"/>
      <c r="R43" s="194"/>
      <c r="S43" s="194"/>
      <c r="T43" s="194"/>
      <c r="U43" s="194"/>
      <c r="V43" s="194">
        <v>1800</v>
      </c>
    </row>
    <row r="45" spans="3:34" x14ac:dyDescent="0.25">
      <c r="V45">
        <f>+SUM(V6:V43)</f>
        <v>529280</v>
      </c>
      <c r="W45" t="s">
        <v>528</v>
      </c>
    </row>
    <row r="46" spans="3:34" x14ac:dyDescent="0.25">
      <c r="V46">
        <f>+V45*365</f>
        <v>193187200</v>
      </c>
      <c r="W46" t="s">
        <v>528</v>
      </c>
    </row>
    <row r="47" spans="3:34" x14ac:dyDescent="0.25">
      <c r="C47" t="s">
        <v>513</v>
      </c>
      <c r="E47" s="212">
        <f>+SUM(E5:E38)+E42</f>
        <v>1984.8899999999996</v>
      </c>
      <c r="F47" t="s">
        <v>488</v>
      </c>
      <c r="V47" s="229">
        <f>+V46/1000000</f>
        <v>193.18719999999999</v>
      </c>
      <c r="W47" t="s">
        <v>529</v>
      </c>
    </row>
    <row r="48" spans="3:34" x14ac:dyDescent="0.25">
      <c r="C48" t="s">
        <v>514</v>
      </c>
      <c r="E48">
        <f>+SUM(G5:G38)+G42</f>
        <v>1725.2950059999996</v>
      </c>
      <c r="F48" t="s">
        <v>488</v>
      </c>
      <c r="G48" s="186">
        <f>+E48/E47</f>
        <v>0.86921441792744181</v>
      </c>
      <c r="H48" s="186"/>
      <c r="I48" s="186"/>
      <c r="J48" s="186"/>
      <c r="K48" s="186"/>
      <c r="L48" s="186"/>
      <c r="M48" s="212"/>
      <c r="V48" s="219" t="s">
        <v>530</v>
      </c>
      <c r="W48" s="219" t="s">
        <v>531</v>
      </c>
    </row>
    <row r="49" spans="3:23" x14ac:dyDescent="0.25">
      <c r="C49" t="s">
        <v>517</v>
      </c>
      <c r="E49" s="212">
        <f>+E47-E48</f>
        <v>259.59499400000004</v>
      </c>
      <c r="F49" t="s">
        <v>488</v>
      </c>
      <c r="G49" s="186">
        <f>+E49/E47</f>
        <v>0.13078558207255822</v>
      </c>
      <c r="H49" s="186"/>
      <c r="I49" s="186"/>
      <c r="J49" s="186"/>
      <c r="K49" s="186"/>
      <c r="L49" s="186"/>
      <c r="V49" s="236">
        <f>+V47*V54</f>
        <v>25.114335999999998</v>
      </c>
      <c r="W49" s="237">
        <f>+V47*(100%-V54)</f>
        <v>168.07286399999998</v>
      </c>
    </row>
    <row r="50" spans="3:23" x14ac:dyDescent="0.25">
      <c r="C50" t="s">
        <v>515</v>
      </c>
      <c r="E50" s="212">
        <f>+SUM(F5:F38)</f>
        <v>1635.0453439999999</v>
      </c>
      <c r="F50" t="s">
        <v>516</v>
      </c>
      <c r="V50" s="246">
        <f>+E49/V49</f>
        <v>10.33652627726252</v>
      </c>
    </row>
    <row r="51" spans="3:23" x14ac:dyDescent="0.25">
      <c r="E51" s="212">
        <f>+E50*(1000000000)</f>
        <v>1635045344000</v>
      </c>
      <c r="F51" t="s">
        <v>526</v>
      </c>
    </row>
    <row r="52" spans="3:23" x14ac:dyDescent="0.25">
      <c r="E52" s="212">
        <f>+(E51/G1)/1000000</f>
        <v>272.62588454016498</v>
      </c>
      <c r="N52" t="s">
        <v>518</v>
      </c>
      <c r="V52" t="s">
        <v>532</v>
      </c>
    </row>
    <row r="53" spans="3:23" x14ac:dyDescent="0.25">
      <c r="N53">
        <v>71</v>
      </c>
      <c r="V53" s="235">
        <v>0.87</v>
      </c>
    </row>
    <row r="54" spans="3:23" x14ac:dyDescent="0.25">
      <c r="E54">
        <f>+E50*1000</f>
        <v>1635045.3439999998</v>
      </c>
      <c r="F54" t="s">
        <v>523</v>
      </c>
      <c r="N54">
        <v>29</v>
      </c>
      <c r="V54" s="235">
        <v>0.13</v>
      </c>
    </row>
    <row r="55" spans="3:23" x14ac:dyDescent="0.25">
      <c r="E55">
        <f>+E54/11</f>
        <v>148640.4858181818</v>
      </c>
      <c r="F55" t="s">
        <v>523</v>
      </c>
      <c r="Q55" t="s">
        <v>540</v>
      </c>
      <c r="R55" s="212">
        <f>+E47</f>
        <v>1984.8899999999996</v>
      </c>
      <c r="S55" t="s">
        <v>488</v>
      </c>
    </row>
    <row r="56" spans="3:23" x14ac:dyDescent="0.25">
      <c r="E56">
        <f>+E55/365</f>
        <v>407.234207721046</v>
      </c>
      <c r="F56" t="s">
        <v>523</v>
      </c>
      <c r="Q56" t="s">
        <v>541</v>
      </c>
      <c r="R56" s="245">
        <f>+SUM(T6:T38)</f>
        <v>1737.7836457184026</v>
      </c>
    </row>
    <row r="58" spans="3:23" x14ac:dyDescent="0.25">
      <c r="E58">
        <v>1000</v>
      </c>
      <c r="F58" t="s">
        <v>523</v>
      </c>
    </row>
    <row r="59" spans="3:23" x14ac:dyDescent="0.25">
      <c r="E59">
        <f>+E58*365</f>
        <v>365000</v>
      </c>
    </row>
    <row r="60" spans="3:23" x14ac:dyDescent="0.25">
      <c r="E60" s="229">
        <f>+E54/E59</f>
        <v>4.4795762849315066</v>
      </c>
      <c r="F60" t="s">
        <v>524</v>
      </c>
    </row>
    <row r="61" spans="3:23" x14ac:dyDescent="0.25">
      <c r="E61" s="223"/>
    </row>
  </sheetData>
  <mergeCells count="1">
    <mergeCell ref="AF3:AG3"/>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825AB-0F37-47F2-B729-BE4992C6F666}">
  <dimension ref="C1:Y61"/>
  <sheetViews>
    <sheetView showGridLines="0" topLeftCell="B14" zoomScale="115" zoomScaleNormal="115" workbookViewId="0">
      <selection activeCell="F4" sqref="F4:F43"/>
    </sheetView>
  </sheetViews>
  <sheetFormatPr baseColWidth="10" defaultRowHeight="15" x14ac:dyDescent="0.25"/>
  <cols>
    <col min="3" max="4" width="17.5703125" customWidth="1"/>
    <col min="5" max="5" width="21.42578125" customWidth="1"/>
    <col min="6" max="6" width="13.42578125" bestFit="1" customWidth="1"/>
    <col min="14" max="14" width="14.140625" customWidth="1"/>
    <col min="21" max="21" width="14.140625" customWidth="1"/>
    <col min="22" max="22" width="21.28515625" customWidth="1"/>
    <col min="23" max="23" width="18.85546875" customWidth="1"/>
    <col min="24" max="24" width="20.28515625" customWidth="1"/>
  </cols>
  <sheetData>
    <row r="1" spans="3:25" x14ac:dyDescent="0.25">
      <c r="F1" t="s">
        <v>507</v>
      </c>
      <c r="G1" s="229">
        <f>+F29*1000/E29</f>
        <v>5997.3958333333339</v>
      </c>
      <c r="H1" s="229" t="s">
        <v>525</v>
      </c>
      <c r="I1" s="229"/>
      <c r="J1" s="229"/>
      <c r="N1">
        <v>1</v>
      </c>
      <c r="O1" t="s">
        <v>484</v>
      </c>
      <c r="P1">
        <v>5800</v>
      </c>
      <c r="Q1" t="s">
        <v>485</v>
      </c>
    </row>
    <row r="3" spans="3:25" x14ac:dyDescent="0.25">
      <c r="M3" s="207" t="s">
        <v>479</v>
      </c>
      <c r="N3" s="208"/>
      <c r="O3" s="208"/>
      <c r="P3" s="208"/>
      <c r="Q3" s="208"/>
      <c r="R3" s="208"/>
      <c r="S3" s="209"/>
      <c r="W3" s="272" t="s">
        <v>488</v>
      </c>
      <c r="X3" s="272"/>
    </row>
    <row r="4" spans="3:25" x14ac:dyDescent="0.25">
      <c r="E4" s="216" t="s">
        <v>475</v>
      </c>
      <c r="F4" s="217" t="s">
        <v>478</v>
      </c>
      <c r="G4" s="218" t="s">
        <v>477</v>
      </c>
      <c r="H4" s="218" t="s">
        <v>476</v>
      </c>
      <c r="I4" s="218"/>
      <c r="J4" s="218"/>
      <c r="K4" s="219" t="s">
        <v>480</v>
      </c>
      <c r="L4" s="216" t="s">
        <v>481</v>
      </c>
      <c r="M4" s="216">
        <v>2020</v>
      </c>
      <c r="N4" s="217">
        <v>2025</v>
      </c>
      <c r="O4" s="217">
        <v>2030</v>
      </c>
      <c r="P4" s="217">
        <v>2035</v>
      </c>
      <c r="Q4" s="217">
        <v>2040</v>
      </c>
      <c r="R4" s="217">
        <v>2045</v>
      </c>
      <c r="S4" s="218">
        <v>2050</v>
      </c>
      <c r="T4" s="220" t="s">
        <v>483</v>
      </c>
      <c r="U4" s="221" t="s">
        <v>482</v>
      </c>
      <c r="V4" s="222" t="s">
        <v>486</v>
      </c>
      <c r="W4" s="220" t="s">
        <v>487</v>
      </c>
      <c r="X4" s="221" t="s">
        <v>489</v>
      </c>
      <c r="Y4" s="183" t="s">
        <v>490</v>
      </c>
    </row>
    <row r="5" spans="3:25" x14ac:dyDescent="0.25">
      <c r="C5" t="s">
        <v>301</v>
      </c>
      <c r="E5" s="197">
        <v>28.68</v>
      </c>
      <c r="F5" s="198">
        <v>172.07</v>
      </c>
      <c r="G5" s="199">
        <v>0</v>
      </c>
      <c r="H5">
        <f t="shared" ref="H5:H43" si="0">+E5-G5</f>
        <v>28.68</v>
      </c>
      <c r="I5" s="186">
        <f>+G5/E5</f>
        <v>0</v>
      </c>
      <c r="J5" s="186">
        <f>+H5/E5</f>
        <v>1</v>
      </c>
      <c r="K5" s="200">
        <v>0.96079999999999999</v>
      </c>
      <c r="L5" s="201">
        <v>2027</v>
      </c>
      <c r="M5" s="202">
        <v>20000</v>
      </c>
      <c r="N5" s="203">
        <v>12500</v>
      </c>
      <c r="O5" s="206"/>
      <c r="P5" s="206"/>
      <c r="Q5" s="206"/>
      <c r="R5" s="206"/>
      <c r="S5" s="199"/>
      <c r="T5" s="210">
        <f t="shared" ref="T5:T20" si="1">+SLOPE(M5:S5,$M$4:$S$4)</f>
        <v>-1500</v>
      </c>
      <c r="U5" s="204">
        <f t="shared" ref="U5:U20" si="2">+INTERCEPT(M5:S5,$M$4:$S$4)</f>
        <v>3050000</v>
      </c>
      <c r="V5" s="211">
        <f t="shared" ref="V5:V20" si="3">+T5*L5+U5</f>
        <v>9500</v>
      </c>
      <c r="W5" s="224">
        <f t="shared" ref="W5:W20" si="4">+((L5-$M$4)*V5+((L5-$M$4)*(M5-V5))/2)*365/1000000</f>
        <v>37.686250000000001</v>
      </c>
      <c r="X5" s="225">
        <f t="shared" ref="X5:X20" si="5">+((T5*L5*L5/2)+(U5*L5)-(T5*$M$4*$M$4/2)-(U5*$M$4))*365/1000000</f>
        <v>37.686250000000001</v>
      </c>
      <c r="Y5" s="186">
        <f t="shared" ref="Y5:Y37" si="6">+(X5-E5)/E5</f>
        <v>0.31402545327754539</v>
      </c>
    </row>
    <row r="6" spans="3:25" x14ac:dyDescent="0.25">
      <c r="C6" t="s">
        <v>342</v>
      </c>
      <c r="E6" s="194">
        <v>89.87</v>
      </c>
      <c r="F6" s="194">
        <v>0</v>
      </c>
      <c r="G6" s="194">
        <f>+E6</f>
        <v>89.87</v>
      </c>
      <c r="H6">
        <f t="shared" si="0"/>
        <v>0</v>
      </c>
      <c r="I6" s="186">
        <f t="shared" ref="I6:I43" si="7">+G6/E6</f>
        <v>1</v>
      </c>
      <c r="J6" s="186">
        <f t="shared" ref="J6:J43" si="8">+H6/E6</f>
        <v>0</v>
      </c>
      <c r="K6" s="196">
        <v>0.24629999999999999</v>
      </c>
      <c r="L6" s="194">
        <v>2048</v>
      </c>
      <c r="M6" s="194">
        <v>10000</v>
      </c>
      <c r="N6" s="194">
        <v>16000</v>
      </c>
      <c r="O6" s="194">
        <v>11000</v>
      </c>
      <c r="P6" s="194">
        <v>7500</v>
      </c>
      <c r="Q6" s="194">
        <v>5500</v>
      </c>
      <c r="R6" s="194">
        <v>4000</v>
      </c>
      <c r="S6" s="194"/>
      <c r="T6" s="210">
        <f t="shared" si="1"/>
        <v>-371.42857142857144</v>
      </c>
      <c r="U6" s="204">
        <f t="shared" si="2"/>
        <v>763928.57142857148</v>
      </c>
      <c r="V6" s="211">
        <f t="shared" si="3"/>
        <v>3242.8571428571595</v>
      </c>
      <c r="W6" s="226">
        <f t="shared" si="4"/>
        <v>67.671000000000092</v>
      </c>
      <c r="X6" s="227">
        <f t="shared" si="5"/>
        <v>86.286000000000001</v>
      </c>
      <c r="Y6" s="186">
        <f t="shared" si="6"/>
        <v>-3.9879826415934162E-2</v>
      </c>
    </row>
    <row r="7" spans="3:25" x14ac:dyDescent="0.25">
      <c r="C7" t="s">
        <v>491</v>
      </c>
      <c r="E7" s="194">
        <v>1.37</v>
      </c>
      <c r="F7" s="230">
        <f>+E7*1.12%</f>
        <v>1.5344000000000003E-2</v>
      </c>
      <c r="G7" s="195">
        <f>+E7*98.88%</f>
        <v>1.3546559999999999</v>
      </c>
      <c r="H7">
        <f t="shared" si="0"/>
        <v>1.5344000000000246E-2</v>
      </c>
      <c r="I7" s="186">
        <f t="shared" si="7"/>
        <v>0.98879999999999979</v>
      </c>
      <c r="J7" s="186">
        <f t="shared" si="8"/>
        <v>1.1200000000000179E-2</v>
      </c>
      <c r="K7" s="196">
        <v>0.62780000000000002</v>
      </c>
      <c r="L7" s="194">
        <v>2041</v>
      </c>
      <c r="M7" s="194">
        <v>400</v>
      </c>
      <c r="N7" s="194">
        <v>280</v>
      </c>
      <c r="O7" s="194">
        <v>200</v>
      </c>
      <c r="P7" s="194">
        <v>120</v>
      </c>
      <c r="Q7" s="194">
        <v>80</v>
      </c>
      <c r="R7" s="194"/>
      <c r="S7" s="194"/>
      <c r="T7" s="210">
        <f t="shared" si="1"/>
        <v>-16</v>
      </c>
      <c r="U7" s="204">
        <f t="shared" si="2"/>
        <v>32696</v>
      </c>
      <c r="V7" s="211">
        <f t="shared" si="3"/>
        <v>40</v>
      </c>
      <c r="W7" s="226">
        <f t="shared" si="4"/>
        <v>1.6862999999999999</v>
      </c>
      <c r="X7" s="227">
        <f t="shared" si="5"/>
        <v>1.59432</v>
      </c>
      <c r="Y7" s="186">
        <f t="shared" si="6"/>
        <v>0.16373722627737214</v>
      </c>
    </row>
    <row r="8" spans="3:25" x14ac:dyDescent="0.25">
      <c r="C8" t="s">
        <v>346</v>
      </c>
      <c r="E8" s="194">
        <v>2.5</v>
      </c>
      <c r="F8" s="194">
        <v>7.0000000000000007E-2</v>
      </c>
      <c r="G8" s="194">
        <f>+E8*99.53%</f>
        <v>2.4882499999999999</v>
      </c>
      <c r="H8">
        <f t="shared" si="0"/>
        <v>1.1750000000000149E-2</v>
      </c>
      <c r="I8" s="186">
        <f t="shared" si="7"/>
        <v>0.99529999999999996</v>
      </c>
      <c r="J8" s="186">
        <f t="shared" si="8"/>
        <v>4.70000000000006E-3</v>
      </c>
      <c r="K8" s="196">
        <v>0.93179999999999996</v>
      </c>
      <c r="L8" s="194">
        <v>2029</v>
      </c>
      <c r="M8" s="194">
        <v>2950</v>
      </c>
      <c r="N8" s="194">
        <v>750</v>
      </c>
      <c r="O8" s="194"/>
      <c r="P8" s="194"/>
      <c r="Q8" s="194"/>
      <c r="R8" s="194"/>
      <c r="S8" s="194"/>
      <c r="T8" s="210">
        <f t="shared" si="1"/>
        <v>-440</v>
      </c>
      <c r="U8" s="204">
        <f t="shared" si="2"/>
        <v>891750</v>
      </c>
      <c r="V8" s="211">
        <f t="shared" si="3"/>
        <v>-1010</v>
      </c>
      <c r="W8" s="226">
        <f t="shared" si="4"/>
        <v>3.1864499999999998</v>
      </c>
      <c r="X8" s="227">
        <f t="shared" si="5"/>
        <v>3.1864499999999998</v>
      </c>
      <c r="Y8" s="186">
        <f t="shared" si="6"/>
        <v>0.27457999999999994</v>
      </c>
    </row>
    <row r="9" spans="3:25" x14ac:dyDescent="0.25">
      <c r="C9" t="s">
        <v>311</v>
      </c>
      <c r="E9" s="194">
        <v>14.92</v>
      </c>
      <c r="F9" s="194">
        <v>89.54</v>
      </c>
      <c r="G9" s="194">
        <v>0</v>
      </c>
      <c r="H9">
        <f t="shared" si="0"/>
        <v>14.92</v>
      </c>
      <c r="I9" s="186">
        <f t="shared" si="7"/>
        <v>0</v>
      </c>
      <c r="J9" s="186">
        <f t="shared" si="8"/>
        <v>1</v>
      </c>
      <c r="K9" s="196">
        <v>0.69059999999999999</v>
      </c>
      <c r="L9" s="194">
        <v>2039</v>
      </c>
      <c r="M9" s="194">
        <v>2500</v>
      </c>
      <c r="N9" s="213">
        <v>3000</v>
      </c>
      <c r="O9" s="194">
        <v>2100</v>
      </c>
      <c r="P9" s="194">
        <v>1800</v>
      </c>
      <c r="Q9" s="194"/>
      <c r="R9" s="194"/>
      <c r="S9" s="194"/>
      <c r="T9" s="210">
        <f t="shared" si="1"/>
        <v>-60</v>
      </c>
      <c r="U9" s="204">
        <f t="shared" si="2"/>
        <v>124000</v>
      </c>
      <c r="V9" s="211">
        <f t="shared" si="3"/>
        <v>1660</v>
      </c>
      <c r="W9" s="226">
        <f t="shared" si="4"/>
        <v>14.424799999999999</v>
      </c>
      <c r="X9" s="227">
        <f t="shared" si="5"/>
        <v>15.46505</v>
      </c>
      <c r="Y9" s="186">
        <f t="shared" si="6"/>
        <v>3.653150134048256E-2</v>
      </c>
    </row>
    <row r="10" spans="3:25" x14ac:dyDescent="0.25">
      <c r="C10" t="s">
        <v>492</v>
      </c>
      <c r="E10" s="194">
        <v>153.29</v>
      </c>
      <c r="F10" s="194">
        <v>0</v>
      </c>
      <c r="G10" s="194">
        <v>153.29</v>
      </c>
      <c r="H10">
        <f t="shared" si="0"/>
        <v>0</v>
      </c>
      <c r="I10" s="186">
        <f t="shared" si="7"/>
        <v>1</v>
      </c>
      <c r="J10" s="186">
        <f t="shared" si="8"/>
        <v>0</v>
      </c>
      <c r="K10" s="196">
        <v>0.70950000000000002</v>
      </c>
      <c r="L10" s="194">
        <v>2036</v>
      </c>
      <c r="M10" s="194">
        <v>65000</v>
      </c>
      <c r="N10" s="213">
        <v>37500</v>
      </c>
      <c r="O10" s="194">
        <v>22500</v>
      </c>
      <c r="P10" s="194">
        <v>12500</v>
      </c>
      <c r="Q10" s="194"/>
      <c r="R10" s="194"/>
      <c r="S10" s="194"/>
      <c r="T10" s="232">
        <f t="shared" si="1"/>
        <v>-3450</v>
      </c>
      <c r="U10" s="233">
        <f t="shared" si="2"/>
        <v>7029250</v>
      </c>
      <c r="V10" s="234">
        <f t="shared" si="3"/>
        <v>5050</v>
      </c>
      <c r="W10" s="224">
        <f t="shared" si="4"/>
        <v>204.54599999999999</v>
      </c>
      <c r="X10" s="225">
        <f t="shared" si="5"/>
        <v>190.67599999999999</v>
      </c>
      <c r="Y10" s="186">
        <f t="shared" si="6"/>
        <v>0.24389066475308238</v>
      </c>
    </row>
    <row r="11" spans="3:25" x14ac:dyDescent="0.25">
      <c r="C11" t="s">
        <v>493</v>
      </c>
      <c r="E11" s="194">
        <v>0.88</v>
      </c>
      <c r="F11" s="194">
        <v>0</v>
      </c>
      <c r="G11" s="194">
        <v>0.88</v>
      </c>
      <c r="H11">
        <f t="shared" si="0"/>
        <v>0</v>
      </c>
      <c r="I11" s="186">
        <f t="shared" si="7"/>
        <v>1</v>
      </c>
      <c r="J11" s="186">
        <f t="shared" si="8"/>
        <v>0</v>
      </c>
      <c r="K11" s="196">
        <v>0.69830000000000003</v>
      </c>
      <c r="L11" s="194">
        <v>2042</v>
      </c>
      <c r="M11" s="194">
        <v>150</v>
      </c>
      <c r="N11" s="231">
        <v>180</v>
      </c>
      <c r="O11" s="194">
        <v>105</v>
      </c>
      <c r="P11" s="194">
        <v>90</v>
      </c>
      <c r="Q11" s="194">
        <v>60</v>
      </c>
      <c r="R11" s="194"/>
      <c r="S11" s="194"/>
      <c r="T11" s="232">
        <f t="shared" si="1"/>
        <v>-5.4</v>
      </c>
      <c r="U11" s="233">
        <f t="shared" si="2"/>
        <v>11079</v>
      </c>
      <c r="V11" s="234">
        <f t="shared" si="3"/>
        <v>52.199999999998909</v>
      </c>
      <c r="W11" s="224">
        <f t="shared" si="4"/>
        <v>0.81183299999999559</v>
      </c>
      <c r="X11" s="225">
        <f t="shared" si="5"/>
        <v>0.89614799999972805</v>
      </c>
      <c r="Y11" s="186">
        <f t="shared" si="6"/>
        <v>1.8349999999690961E-2</v>
      </c>
    </row>
    <row r="12" spans="3:25" x14ac:dyDescent="0.25">
      <c r="C12" t="s">
        <v>494</v>
      </c>
      <c r="E12" s="194">
        <v>543.79</v>
      </c>
      <c r="F12" s="194">
        <v>0</v>
      </c>
      <c r="G12" s="194">
        <f>+E12</f>
        <v>543.79</v>
      </c>
      <c r="H12">
        <f t="shared" si="0"/>
        <v>0</v>
      </c>
      <c r="I12" s="186">
        <f t="shared" si="7"/>
        <v>1</v>
      </c>
      <c r="J12" s="186">
        <f t="shared" si="8"/>
        <v>0</v>
      </c>
      <c r="K12" s="196">
        <v>0.31709999999999999</v>
      </c>
      <c r="L12" s="194">
        <v>2099</v>
      </c>
      <c r="M12" s="194">
        <v>40000</v>
      </c>
      <c r="N12" s="194"/>
      <c r="O12" s="194">
        <v>32500</v>
      </c>
      <c r="Q12" s="194">
        <v>27500</v>
      </c>
      <c r="R12" s="194"/>
      <c r="S12" s="194">
        <v>22500</v>
      </c>
      <c r="T12" s="232">
        <f t="shared" si="1"/>
        <v>-575</v>
      </c>
      <c r="U12" s="233">
        <f t="shared" si="2"/>
        <v>1200750</v>
      </c>
      <c r="V12" s="234">
        <f t="shared" si="3"/>
        <v>-6175</v>
      </c>
      <c r="W12" s="224">
        <f t="shared" si="4"/>
        <v>487.67193750000001</v>
      </c>
      <c r="X12" s="225">
        <f t="shared" si="5"/>
        <v>476.8588125</v>
      </c>
      <c r="Y12" s="186">
        <f t="shared" si="6"/>
        <v>-0.1230827847146876</v>
      </c>
    </row>
    <row r="13" spans="3:25" x14ac:dyDescent="0.25">
      <c r="C13" t="s">
        <v>29</v>
      </c>
      <c r="E13" s="194">
        <v>272.89999999999998</v>
      </c>
      <c r="F13" s="194">
        <v>0</v>
      </c>
      <c r="G13" s="194">
        <v>272.29000000000002</v>
      </c>
      <c r="H13">
        <f t="shared" si="0"/>
        <v>0.6099999999999568</v>
      </c>
      <c r="I13" s="186">
        <f t="shared" si="7"/>
        <v>0.99776474899230505</v>
      </c>
      <c r="J13" s="186">
        <f t="shared" si="8"/>
        <v>2.2352510076949681E-3</v>
      </c>
      <c r="K13" s="228">
        <v>0.71530000000000005</v>
      </c>
      <c r="L13" s="194">
        <v>2036</v>
      </c>
      <c r="M13" s="205">
        <v>105000</v>
      </c>
      <c r="N13" s="214">
        <v>75000</v>
      </c>
      <c r="O13" s="194">
        <v>40000</v>
      </c>
      <c r="P13" s="194">
        <v>25000</v>
      </c>
      <c r="T13" s="232">
        <f t="shared" si="1"/>
        <v>-5500</v>
      </c>
      <c r="U13" s="233">
        <f t="shared" si="2"/>
        <v>11212500</v>
      </c>
      <c r="V13" s="234">
        <f t="shared" si="3"/>
        <v>14500</v>
      </c>
      <c r="W13" s="224">
        <f t="shared" si="4"/>
        <v>348.94</v>
      </c>
      <c r="X13" s="225">
        <f t="shared" si="5"/>
        <v>341.64</v>
      </c>
      <c r="Y13" s="186">
        <f t="shared" si="6"/>
        <v>0.25188713814584102</v>
      </c>
    </row>
    <row r="14" spans="3:25" x14ac:dyDescent="0.25">
      <c r="C14" t="s">
        <v>345</v>
      </c>
      <c r="E14" s="194">
        <v>16.52</v>
      </c>
      <c r="F14" s="194">
        <v>1.61</v>
      </c>
      <c r="G14">
        <f>+E14*98.07%</f>
        <v>16.201163999999999</v>
      </c>
      <c r="H14">
        <f t="shared" si="0"/>
        <v>0.31883600000000101</v>
      </c>
      <c r="I14" s="186">
        <f t="shared" si="7"/>
        <v>0.98069999999999991</v>
      </c>
      <c r="J14" s="186">
        <f t="shared" si="8"/>
        <v>1.930000000000006E-2</v>
      </c>
      <c r="K14" s="228">
        <v>0.73629999999999995</v>
      </c>
      <c r="L14" s="194">
        <v>2060</v>
      </c>
      <c r="M14" s="194">
        <v>4000</v>
      </c>
      <c r="N14" s="194">
        <v>3000</v>
      </c>
      <c r="O14" s="194">
        <v>1800</v>
      </c>
      <c r="P14" s="194">
        <v>1000</v>
      </c>
      <c r="Q14" s="194">
        <v>900</v>
      </c>
      <c r="R14" s="194">
        <v>700</v>
      </c>
      <c r="S14" s="194">
        <v>500</v>
      </c>
      <c r="T14" s="232">
        <f t="shared" si="1"/>
        <v>-114.28571428571429</v>
      </c>
      <c r="U14" s="233">
        <f t="shared" si="2"/>
        <v>234271.42857142858</v>
      </c>
      <c r="V14" s="234">
        <f t="shared" si="3"/>
        <v>-1157.1428571428696</v>
      </c>
      <c r="W14" s="224">
        <f t="shared" si="4"/>
        <v>20.752857142857053</v>
      </c>
      <c r="X14" s="225">
        <f t="shared" si="5"/>
        <v>16.47714285712421</v>
      </c>
      <c r="Y14" s="186">
        <f t="shared" si="6"/>
        <v>-2.5942580433286396E-3</v>
      </c>
    </row>
    <row r="15" spans="3:25" x14ac:dyDescent="0.25">
      <c r="C15" t="s">
        <v>140</v>
      </c>
      <c r="E15" s="194">
        <v>21.91</v>
      </c>
      <c r="F15" s="194">
        <v>0</v>
      </c>
      <c r="G15">
        <f>+E15</f>
        <v>21.91</v>
      </c>
      <c r="H15">
        <f t="shared" si="0"/>
        <v>0</v>
      </c>
      <c r="I15" s="186">
        <f t="shared" si="7"/>
        <v>1</v>
      </c>
      <c r="J15" s="186">
        <f t="shared" si="8"/>
        <v>0</v>
      </c>
      <c r="K15" s="228">
        <v>0.78649999999999998</v>
      </c>
      <c r="L15" s="194">
        <v>2035</v>
      </c>
      <c r="M15" s="205">
        <v>10500</v>
      </c>
      <c r="N15" s="215">
        <v>6000</v>
      </c>
      <c r="O15" s="194">
        <v>2300</v>
      </c>
      <c r="P15" s="194">
        <v>1800</v>
      </c>
      <c r="T15" s="232">
        <f t="shared" si="1"/>
        <v>-596</v>
      </c>
      <c r="U15" s="233">
        <f t="shared" si="2"/>
        <v>1213540</v>
      </c>
      <c r="V15" s="234">
        <f t="shared" si="3"/>
        <v>680</v>
      </c>
      <c r="W15" s="224">
        <f t="shared" si="4"/>
        <v>30.605250000000002</v>
      </c>
      <c r="X15" s="225">
        <f t="shared" si="5"/>
        <v>28.196249999999999</v>
      </c>
      <c r="Y15" s="186">
        <f t="shared" si="6"/>
        <v>0.28691236878137832</v>
      </c>
    </row>
    <row r="16" spans="3:25" x14ac:dyDescent="0.25">
      <c r="C16" t="s">
        <v>495</v>
      </c>
      <c r="E16" s="194">
        <v>8.85</v>
      </c>
      <c r="F16" s="194">
        <v>0</v>
      </c>
      <c r="G16">
        <f>+E16</f>
        <v>8.85</v>
      </c>
      <c r="H16">
        <f t="shared" si="0"/>
        <v>0</v>
      </c>
      <c r="I16" s="186">
        <f t="shared" si="7"/>
        <v>1</v>
      </c>
      <c r="J16" s="186">
        <f t="shared" si="8"/>
        <v>0</v>
      </c>
      <c r="K16" s="228">
        <v>0.55530000000000002</v>
      </c>
      <c r="L16" s="194">
        <v>2052</v>
      </c>
      <c r="M16" s="205">
        <v>1600</v>
      </c>
      <c r="N16" s="205">
        <v>1500</v>
      </c>
      <c r="O16" s="194">
        <v>1100</v>
      </c>
      <c r="P16" s="194">
        <v>750</v>
      </c>
      <c r="Q16" s="194">
        <v>500</v>
      </c>
      <c r="R16" s="194">
        <v>250</v>
      </c>
      <c r="S16" s="194">
        <v>200</v>
      </c>
      <c r="T16" s="232">
        <f t="shared" si="1"/>
        <v>-52.142857142857146</v>
      </c>
      <c r="U16" s="233">
        <f t="shared" si="2"/>
        <v>106953.57142857143</v>
      </c>
      <c r="V16" s="234">
        <f t="shared" si="3"/>
        <v>-43.571428571434808</v>
      </c>
      <c r="W16" s="224">
        <f t="shared" si="4"/>
        <v>9.0895428571428205</v>
      </c>
      <c r="X16" s="225">
        <f t="shared" si="5"/>
        <v>9.2355428571459655</v>
      </c>
      <c r="Y16" s="186">
        <f t="shared" si="6"/>
        <v>4.3564164649261675E-2</v>
      </c>
    </row>
    <row r="17" spans="3:25" x14ac:dyDescent="0.25">
      <c r="C17" t="s">
        <v>61</v>
      </c>
      <c r="E17" s="194">
        <v>146.25</v>
      </c>
      <c r="F17" s="194">
        <v>0</v>
      </c>
      <c r="G17">
        <v>146.25</v>
      </c>
      <c r="H17">
        <f t="shared" si="0"/>
        <v>0</v>
      </c>
      <c r="I17" s="186">
        <f t="shared" si="7"/>
        <v>1</v>
      </c>
      <c r="J17" s="186">
        <f t="shared" si="8"/>
        <v>0</v>
      </c>
      <c r="K17" s="228">
        <v>0.58260000000000001</v>
      </c>
      <c r="L17" s="194">
        <v>2039</v>
      </c>
      <c r="M17" s="205">
        <v>50000</v>
      </c>
      <c r="N17" s="205">
        <v>35000</v>
      </c>
      <c r="O17" s="194">
        <v>20000</v>
      </c>
      <c r="P17" s="194">
        <v>12500</v>
      </c>
      <c r="T17" s="232">
        <f t="shared" si="1"/>
        <v>-2550</v>
      </c>
      <c r="U17" s="233">
        <f t="shared" si="2"/>
        <v>5199500</v>
      </c>
      <c r="V17" s="234">
        <f t="shared" si="3"/>
        <v>50</v>
      </c>
      <c r="W17" s="224">
        <f t="shared" si="4"/>
        <v>173.54837499999999</v>
      </c>
      <c r="X17" s="225">
        <f t="shared" si="5"/>
        <v>168.34712500000001</v>
      </c>
      <c r="Y17" s="186">
        <f t="shared" si="6"/>
        <v>0.15109145299145302</v>
      </c>
    </row>
    <row r="18" spans="3:25" x14ac:dyDescent="0.25">
      <c r="C18" t="s">
        <v>496</v>
      </c>
      <c r="E18" s="194">
        <v>89.99</v>
      </c>
      <c r="F18" s="194">
        <v>0</v>
      </c>
      <c r="G18">
        <f>+E18</f>
        <v>89.99</v>
      </c>
      <c r="H18">
        <f t="shared" si="0"/>
        <v>0</v>
      </c>
      <c r="I18" s="186">
        <f t="shared" si="7"/>
        <v>1</v>
      </c>
      <c r="J18" s="186">
        <f t="shared" si="8"/>
        <v>0</v>
      </c>
      <c r="K18" s="228">
        <v>0.42830000000000001</v>
      </c>
      <c r="L18" s="194">
        <v>2044</v>
      </c>
      <c r="M18" s="205">
        <v>20000</v>
      </c>
      <c r="N18" s="205">
        <v>17500</v>
      </c>
      <c r="O18" s="194">
        <v>12500</v>
      </c>
      <c r="P18" s="194">
        <v>7600</v>
      </c>
      <c r="Q18" s="194">
        <v>6000</v>
      </c>
      <c r="T18" s="232">
        <f t="shared" si="1"/>
        <v>-758</v>
      </c>
      <c r="U18" s="233">
        <f t="shared" si="2"/>
        <v>1551460</v>
      </c>
      <c r="V18" s="234">
        <f t="shared" si="3"/>
        <v>2108</v>
      </c>
      <c r="W18" s="224">
        <f t="shared" si="4"/>
        <v>96.833039999999997</v>
      </c>
      <c r="X18" s="225">
        <f t="shared" si="5"/>
        <v>98.147040000000004</v>
      </c>
      <c r="Y18" s="186">
        <f t="shared" si="6"/>
        <v>9.0643849316590835E-2</v>
      </c>
    </row>
    <row r="19" spans="3:25" x14ac:dyDescent="0.25">
      <c r="C19" t="s">
        <v>497</v>
      </c>
      <c r="E19" s="194">
        <v>86.96</v>
      </c>
      <c r="F19" s="194">
        <v>357.74</v>
      </c>
      <c r="G19">
        <f>+E19*68.57%</f>
        <v>59.628471999999995</v>
      </c>
      <c r="H19">
        <f t="shared" si="0"/>
        <v>27.331527999999999</v>
      </c>
      <c r="I19" s="186">
        <f t="shared" si="7"/>
        <v>0.68569999999999998</v>
      </c>
      <c r="J19" s="186">
        <f t="shared" si="8"/>
        <v>0.31430000000000002</v>
      </c>
      <c r="K19" s="228">
        <v>0.87790000000000001</v>
      </c>
      <c r="L19" s="194">
        <v>2035</v>
      </c>
      <c r="M19" s="205">
        <v>42000</v>
      </c>
      <c r="N19" s="205">
        <v>22000</v>
      </c>
      <c r="O19" s="194">
        <v>16000</v>
      </c>
      <c r="P19" s="194">
        <v>8000</v>
      </c>
      <c r="T19" s="232">
        <f t="shared" si="1"/>
        <v>-2160</v>
      </c>
      <c r="U19" s="233">
        <f t="shared" si="2"/>
        <v>4401400</v>
      </c>
      <c r="V19" s="234">
        <f t="shared" si="3"/>
        <v>5800</v>
      </c>
      <c r="W19" s="224">
        <f t="shared" si="4"/>
        <v>130.85249999999999</v>
      </c>
      <c r="X19" s="225">
        <f t="shared" si="5"/>
        <v>120.45</v>
      </c>
      <c r="Y19" s="186">
        <f t="shared" si="6"/>
        <v>0.38511959521619149</v>
      </c>
    </row>
    <row r="20" spans="3:25" x14ac:dyDescent="0.25">
      <c r="C20" t="s">
        <v>498</v>
      </c>
      <c r="E20" s="194">
        <v>5.73</v>
      </c>
      <c r="F20" s="194">
        <v>0</v>
      </c>
      <c r="G20">
        <f>+E20</f>
        <v>5.73</v>
      </c>
      <c r="H20">
        <f t="shared" si="0"/>
        <v>0</v>
      </c>
      <c r="I20" s="186">
        <f t="shared" si="7"/>
        <v>1</v>
      </c>
      <c r="J20" s="186">
        <f t="shared" si="8"/>
        <v>0</v>
      </c>
      <c r="K20" s="228">
        <v>0.61819999999999997</v>
      </c>
      <c r="L20" s="194">
        <v>2050</v>
      </c>
      <c r="M20" s="205">
        <v>2250</v>
      </c>
      <c r="N20" s="205">
        <v>1250</v>
      </c>
      <c r="O20" s="194">
        <v>600</v>
      </c>
      <c r="P20" s="194">
        <v>400</v>
      </c>
      <c r="Q20" s="194">
        <v>200</v>
      </c>
      <c r="R20" s="194">
        <v>150</v>
      </c>
      <c r="S20" s="194">
        <v>100</v>
      </c>
      <c r="T20" s="232">
        <f t="shared" si="1"/>
        <v>-64.642857142857139</v>
      </c>
      <c r="U20" s="233">
        <f t="shared" si="2"/>
        <v>132255.35714285716</v>
      </c>
      <c r="V20" s="234">
        <f t="shared" si="3"/>
        <v>-262.4999999999709</v>
      </c>
      <c r="W20" s="224">
        <f t="shared" si="4"/>
        <v>10.881562500000161</v>
      </c>
      <c r="X20" s="225">
        <f t="shared" si="5"/>
        <v>7.7432142857189472</v>
      </c>
      <c r="Y20" s="186">
        <f t="shared" si="6"/>
        <v>0.35134629768218961</v>
      </c>
    </row>
    <row r="21" spans="3:25" x14ac:dyDescent="0.25">
      <c r="C21" t="s">
        <v>499</v>
      </c>
      <c r="E21" s="194">
        <v>89.27</v>
      </c>
      <c r="F21" s="194">
        <v>504.38</v>
      </c>
      <c r="G21">
        <f>+E21*5.84%</f>
        <v>5.213368</v>
      </c>
      <c r="H21">
        <f t="shared" si="0"/>
        <v>84.056631999999993</v>
      </c>
      <c r="I21" s="186">
        <f t="shared" si="7"/>
        <v>5.8400000000000001E-2</v>
      </c>
      <c r="J21" s="186">
        <f t="shared" si="8"/>
        <v>0.94159999999999999</v>
      </c>
      <c r="K21" s="228">
        <v>0.24510000000000001</v>
      </c>
      <c r="L21" s="194">
        <v>2059</v>
      </c>
      <c r="M21" s="205">
        <v>10000</v>
      </c>
      <c r="N21" s="205">
        <v>18500</v>
      </c>
      <c r="O21" s="194">
        <v>10000</v>
      </c>
      <c r="P21" s="194">
        <v>7000</v>
      </c>
      <c r="Q21" s="194">
        <v>5000</v>
      </c>
      <c r="R21" s="194">
        <v>3500</v>
      </c>
      <c r="S21" s="194">
        <v>2100</v>
      </c>
      <c r="T21" s="232">
        <f t="shared" ref="T21:T24" si="9">+SLOPE(M21:S21,$M$4:$S$4)</f>
        <v>-419.28571428571439</v>
      </c>
      <c r="U21" s="233">
        <f t="shared" ref="U21:U24" si="10">+INTERCEPT(M21:S21,$M$4:$S$4)</f>
        <v>861260.71428571444</v>
      </c>
      <c r="V21" s="234">
        <f t="shared" ref="V21:V24" si="11">+T21*L21+U21</f>
        <v>-2048.5714285714785</v>
      </c>
      <c r="W21" s="224">
        <f t="shared" ref="W21:W24" si="12">+((L21-$M$4)*V21+((L21-$M$4)*(M21-V21))/2)*365/1000000</f>
        <v>56.594292857142499</v>
      </c>
      <c r="X21" s="225">
        <f t="shared" ref="X21:X24" si="13">+((T21*L21*L21/2)+(U21*L21)-(T21*$M$4*$M$4/2)-(U21*$M$4))*365/1000000</f>
        <v>87.224962500087017</v>
      </c>
      <c r="Y21" s="186">
        <f t="shared" si="6"/>
        <v>-2.2908451886557404E-2</v>
      </c>
    </row>
    <row r="22" spans="3:25" x14ac:dyDescent="0.25">
      <c r="C22" t="s">
        <v>500</v>
      </c>
      <c r="E22" s="194">
        <v>10.25</v>
      </c>
      <c r="F22" s="194">
        <v>60.26</v>
      </c>
      <c r="G22">
        <f>+E22*2%</f>
        <v>0.20500000000000002</v>
      </c>
      <c r="H22">
        <f t="shared" si="0"/>
        <v>10.045</v>
      </c>
      <c r="I22" s="186">
        <f t="shared" si="7"/>
        <v>0.02</v>
      </c>
      <c r="J22" s="186">
        <f t="shared" si="8"/>
        <v>0.98</v>
      </c>
      <c r="K22" s="228">
        <v>0.98270000000000002</v>
      </c>
      <c r="L22" s="194">
        <v>2025</v>
      </c>
      <c r="M22" s="205">
        <v>8000</v>
      </c>
      <c r="N22" s="205">
        <v>5000</v>
      </c>
      <c r="T22" s="232">
        <f t="shared" si="9"/>
        <v>-600</v>
      </c>
      <c r="U22" s="233">
        <f t="shared" si="10"/>
        <v>1220000</v>
      </c>
      <c r="V22" s="234">
        <f t="shared" si="11"/>
        <v>5000</v>
      </c>
      <c r="W22" s="224">
        <f t="shared" si="12"/>
        <v>11.862500000000001</v>
      </c>
      <c r="X22" s="225">
        <f t="shared" si="13"/>
        <v>11.862500000000001</v>
      </c>
      <c r="Y22" s="186">
        <f t="shared" si="6"/>
        <v>0.15731707317073176</v>
      </c>
    </row>
    <row r="23" spans="3:25" x14ac:dyDescent="0.25">
      <c r="C23" t="s">
        <v>501</v>
      </c>
      <c r="E23" s="194">
        <v>17.7</v>
      </c>
      <c r="F23" s="194">
        <v>97.48</v>
      </c>
      <c r="G23">
        <f>+E23*8.23%</f>
        <v>1.4567099999999999</v>
      </c>
      <c r="H23">
        <f t="shared" si="0"/>
        <v>16.243289999999998</v>
      </c>
      <c r="I23" s="186">
        <f t="shared" si="7"/>
        <v>8.2299999999999998E-2</v>
      </c>
      <c r="J23" s="186">
        <f t="shared" si="8"/>
        <v>0.91769999999999996</v>
      </c>
      <c r="K23" s="228">
        <v>0.97750000000000004</v>
      </c>
      <c r="L23" s="194">
        <v>2025</v>
      </c>
      <c r="M23" s="194">
        <v>8000</v>
      </c>
      <c r="N23" s="213">
        <v>5000</v>
      </c>
      <c r="T23" s="232">
        <f t="shared" si="9"/>
        <v>-600</v>
      </c>
      <c r="U23" s="233">
        <f t="shared" si="10"/>
        <v>1220000</v>
      </c>
      <c r="V23" s="234">
        <f t="shared" si="11"/>
        <v>5000</v>
      </c>
      <c r="W23" s="224">
        <f t="shared" si="12"/>
        <v>11.862500000000001</v>
      </c>
      <c r="X23" s="225">
        <f t="shared" si="13"/>
        <v>11.862500000000001</v>
      </c>
      <c r="Y23" s="186">
        <f t="shared" si="6"/>
        <v>-0.32980225988700557</v>
      </c>
    </row>
    <row r="24" spans="3:25" x14ac:dyDescent="0.25">
      <c r="C24" t="s">
        <v>502</v>
      </c>
      <c r="E24" s="194">
        <v>8.8000000000000007</v>
      </c>
      <c r="F24" s="194">
        <v>2.82</v>
      </c>
      <c r="G24">
        <f>+E24*94.66%</f>
        <v>8.3300800000000006</v>
      </c>
      <c r="H24">
        <f t="shared" si="0"/>
        <v>0.46992000000000012</v>
      </c>
      <c r="I24" s="186">
        <f t="shared" si="7"/>
        <v>0.9466</v>
      </c>
      <c r="J24" s="186">
        <f t="shared" si="8"/>
        <v>5.340000000000001E-2</v>
      </c>
      <c r="K24" s="228">
        <v>0.7712</v>
      </c>
      <c r="L24" s="194">
        <v>2039</v>
      </c>
      <c r="M24" s="194">
        <v>3000</v>
      </c>
      <c r="N24" s="213">
        <v>2000</v>
      </c>
      <c r="O24" s="194">
        <v>1100</v>
      </c>
      <c r="P24" s="194">
        <v>800</v>
      </c>
      <c r="T24" s="232">
        <f t="shared" si="9"/>
        <v>-150</v>
      </c>
      <c r="U24" s="233">
        <f t="shared" si="10"/>
        <v>305850</v>
      </c>
      <c r="V24" s="234">
        <f t="shared" si="11"/>
        <v>0</v>
      </c>
      <c r="W24" s="224">
        <f t="shared" si="12"/>
        <v>10.4025</v>
      </c>
      <c r="X24" s="225">
        <f t="shared" si="13"/>
        <v>9.8823749999999997</v>
      </c>
      <c r="Y24" s="186">
        <f t="shared" si="6"/>
        <v>0.12299715909090897</v>
      </c>
    </row>
    <row r="25" spans="3:25" x14ac:dyDescent="0.25">
      <c r="C25" t="s">
        <v>503</v>
      </c>
      <c r="E25" s="194">
        <v>1.1399999999999999</v>
      </c>
      <c r="F25" s="194">
        <v>0.47</v>
      </c>
      <c r="G25">
        <f>+E25*93.12%</f>
        <v>1.0615679999999998</v>
      </c>
      <c r="H25">
        <f t="shared" si="0"/>
        <v>7.8432000000000057E-2</v>
      </c>
      <c r="I25" s="186">
        <f t="shared" si="7"/>
        <v>0.93119999999999992</v>
      </c>
      <c r="J25" s="186">
        <f t="shared" si="8"/>
        <v>6.8800000000000056E-2</v>
      </c>
      <c r="K25" s="228">
        <v>0.73509999999999998</v>
      </c>
      <c r="L25" s="194">
        <v>2033</v>
      </c>
      <c r="M25" s="205">
        <v>1000</v>
      </c>
      <c r="N25" s="213">
        <v>300</v>
      </c>
      <c r="O25" s="194">
        <v>100</v>
      </c>
      <c r="T25" s="232">
        <f t="shared" ref="T25:T26" si="14">+SLOPE(M25:S25,$M$4:$S$4)</f>
        <v>-90</v>
      </c>
      <c r="U25" s="233">
        <f t="shared" ref="U25:U26" si="15">+INTERCEPT(M25:S25,$M$4:$S$4)</f>
        <v>182716.66666666666</v>
      </c>
      <c r="V25" s="234">
        <f t="shared" ref="V25:V26" si="16">+T25*L25+U25</f>
        <v>-253.33333333334303</v>
      </c>
      <c r="W25" s="224">
        <f t="shared" ref="W25:W26" si="17">+((L25-$M$4)*V25+((L25-$M$4)*(M25-V25))/2)*365/1000000</f>
        <v>1.7714666666666437</v>
      </c>
      <c r="X25" s="225">
        <f t="shared" ref="X25:X26" si="18">+((T25*L25*L25/2)+(U25*L25)-(T25*$M$4*$M$4/2)-(U25*$M$4))*365/1000000</f>
        <v>1.5737583333405851</v>
      </c>
      <c r="Y25" s="186">
        <f t="shared" si="6"/>
        <v>0.38048976608823271</v>
      </c>
    </row>
    <row r="26" spans="3:25" x14ac:dyDescent="0.25">
      <c r="C26" t="s">
        <v>504</v>
      </c>
      <c r="E26" s="194">
        <v>1.31</v>
      </c>
      <c r="F26" s="194">
        <v>0.37</v>
      </c>
      <c r="G26">
        <f>+E26*95.34%</f>
        <v>1.2489540000000001</v>
      </c>
      <c r="H26">
        <f t="shared" si="0"/>
        <v>6.1045999999999934E-2</v>
      </c>
      <c r="I26" s="186">
        <f t="shared" si="7"/>
        <v>0.95340000000000003</v>
      </c>
      <c r="J26" s="186">
        <f t="shared" si="8"/>
        <v>4.6599999999999947E-2</v>
      </c>
      <c r="K26" s="228">
        <v>0.34710000000000002</v>
      </c>
      <c r="L26" s="194">
        <v>2053</v>
      </c>
      <c r="M26" s="205">
        <v>480</v>
      </c>
      <c r="N26" s="205">
        <v>280</v>
      </c>
      <c r="O26" s="194">
        <v>125</v>
      </c>
      <c r="P26">
        <v>90</v>
      </c>
      <c r="Q26">
        <v>50</v>
      </c>
      <c r="R26">
        <v>30</v>
      </c>
      <c r="S26">
        <v>25</v>
      </c>
      <c r="T26" s="232">
        <f t="shared" si="14"/>
        <v>-13.857142857142858</v>
      </c>
      <c r="U26" s="233">
        <f t="shared" si="15"/>
        <v>28353.571428571428</v>
      </c>
      <c r="V26" s="234">
        <f t="shared" si="16"/>
        <v>-95.142857142858702</v>
      </c>
      <c r="W26" s="224">
        <f t="shared" si="17"/>
        <v>2.3178021428571336</v>
      </c>
      <c r="X26" s="225">
        <f t="shared" si="18"/>
        <v>1.6080075</v>
      </c>
      <c r="Y26" s="186">
        <f t="shared" si="6"/>
        <v>0.22748664122137402</v>
      </c>
    </row>
    <row r="27" spans="3:25" x14ac:dyDescent="0.25">
      <c r="C27" t="s">
        <v>505</v>
      </c>
      <c r="E27" s="194">
        <v>4.72</v>
      </c>
      <c r="F27" s="194">
        <v>7.45</v>
      </c>
      <c r="G27">
        <f>+E27*73.7%</f>
        <v>3.47864</v>
      </c>
      <c r="H27">
        <f t="shared" si="0"/>
        <v>1.2413599999999998</v>
      </c>
      <c r="I27" s="186">
        <f t="shared" si="7"/>
        <v>0.73699999999999999</v>
      </c>
      <c r="J27" s="186">
        <f t="shared" si="8"/>
        <v>0.26299999999999996</v>
      </c>
      <c r="K27" s="228">
        <v>0.91449999999999998</v>
      </c>
      <c r="L27" s="194">
        <v>2030</v>
      </c>
      <c r="M27" s="205">
        <v>3750</v>
      </c>
      <c r="N27" s="205">
        <v>1750</v>
      </c>
      <c r="O27" s="194">
        <v>750</v>
      </c>
      <c r="T27" s="232">
        <f t="shared" ref="T27:T28" si="19">+SLOPE(M27:S27,$M$4:$S$4)</f>
        <v>-300</v>
      </c>
      <c r="U27" s="233">
        <f t="shared" ref="U27:U28" si="20">+INTERCEPT(M27:S27,$M$4:$S$4)</f>
        <v>609583.33333333337</v>
      </c>
      <c r="V27" s="234">
        <f t="shared" ref="V27:V28" si="21">+T27*L27+U27</f>
        <v>583.33333333337214</v>
      </c>
      <c r="W27" s="224">
        <f t="shared" ref="W27:W28" si="22">+((L27-$M$4)*V27+((L27-$M$4)*(M27-V27))/2)*365/1000000</f>
        <v>7.9083333333334034</v>
      </c>
      <c r="X27" s="225">
        <f t="shared" ref="X27:X28" si="23">+((T27*L27*L27/2)+(U27*L27)-(T27*$M$4*$M$4/2)-(U27*$M$4))*365/1000000</f>
        <v>7.6041666666376591</v>
      </c>
      <c r="Y27" s="186">
        <f t="shared" si="6"/>
        <v>0.61105225988086009</v>
      </c>
    </row>
    <row r="28" spans="3:25" x14ac:dyDescent="0.25">
      <c r="C28" t="s">
        <v>506</v>
      </c>
      <c r="E28" s="194">
        <v>11.27</v>
      </c>
      <c r="F28" s="194">
        <v>0</v>
      </c>
      <c r="G28">
        <v>11.27</v>
      </c>
      <c r="H28">
        <f t="shared" si="0"/>
        <v>0</v>
      </c>
      <c r="I28" s="186">
        <f t="shared" si="7"/>
        <v>1</v>
      </c>
      <c r="J28" s="186">
        <f t="shared" si="8"/>
        <v>0</v>
      </c>
      <c r="K28" s="228">
        <v>0.4148</v>
      </c>
      <c r="L28" s="194">
        <v>2067</v>
      </c>
      <c r="M28" s="205">
        <v>2500</v>
      </c>
      <c r="N28" s="214">
        <v>1750</v>
      </c>
      <c r="O28" s="194">
        <v>1250</v>
      </c>
      <c r="P28">
        <v>800</v>
      </c>
      <c r="Q28">
        <v>600</v>
      </c>
      <c r="R28">
        <v>400</v>
      </c>
      <c r="S28">
        <v>300</v>
      </c>
      <c r="T28" s="232">
        <f t="shared" si="19"/>
        <v>-71.071428571428569</v>
      </c>
      <c r="U28" s="233">
        <f t="shared" si="20"/>
        <v>145716.07142857142</v>
      </c>
      <c r="V28" s="234">
        <f t="shared" si="21"/>
        <v>-1188.5714285714203</v>
      </c>
      <c r="W28" s="224">
        <f t="shared" si="22"/>
        <v>11.248778571428643</v>
      </c>
      <c r="X28" s="225">
        <f t="shared" si="23"/>
        <v>8.2619705357080697</v>
      </c>
      <c r="Y28" s="186">
        <f t="shared" si="6"/>
        <v>-0.2669058974527001</v>
      </c>
    </row>
    <row r="29" spans="3:25" x14ac:dyDescent="0.25">
      <c r="C29" t="s">
        <v>318</v>
      </c>
      <c r="E29" s="194">
        <v>3.84</v>
      </c>
      <c r="F29" s="194">
        <v>23.03</v>
      </c>
      <c r="H29">
        <f t="shared" si="0"/>
        <v>3.84</v>
      </c>
      <c r="I29" s="186">
        <f t="shared" si="7"/>
        <v>0</v>
      </c>
      <c r="J29" s="186">
        <f t="shared" si="8"/>
        <v>1</v>
      </c>
      <c r="K29" s="228">
        <v>0.84079999999999999</v>
      </c>
      <c r="L29" s="194">
        <v>2028</v>
      </c>
      <c r="M29" s="205">
        <v>5300</v>
      </c>
      <c r="N29" s="205">
        <v>1250</v>
      </c>
      <c r="T29" s="232">
        <f t="shared" ref="T29:T32" si="24">+SLOPE(M29:S29,$M$4:$S$4)</f>
        <v>-810</v>
      </c>
      <c r="U29" s="233">
        <f t="shared" ref="U29:U32" si="25">+INTERCEPT(M29:S29,$M$4:$S$4)</f>
        <v>1641500</v>
      </c>
      <c r="V29" s="234">
        <f t="shared" ref="V29:V32" si="26">+T29*L29+U29</f>
        <v>-1180</v>
      </c>
      <c r="W29" s="224">
        <f t="shared" ref="W29:W32" si="27">+((L29-$M$4)*V29+((L29-$M$4)*(M29-V29))/2)*365/1000000</f>
        <v>6.0152000000000001</v>
      </c>
      <c r="X29" s="225">
        <f t="shared" ref="X29:X32" si="28">+((T29*L29*L29/2)+(U29*L29)-(T29*$M$4*$M$4/2)-(U29*$M$4))*365/1000000</f>
        <v>6.0152000000000001</v>
      </c>
      <c r="Y29" s="186">
        <f t="shared" si="6"/>
        <v>0.5664583333333334</v>
      </c>
    </row>
    <row r="30" spans="3:25" x14ac:dyDescent="0.25">
      <c r="C30" t="s">
        <v>508</v>
      </c>
      <c r="E30" s="194">
        <v>14.92</v>
      </c>
      <c r="F30">
        <v>0.24</v>
      </c>
      <c r="G30">
        <f>+E30*99.74%</f>
        <v>14.881207999999999</v>
      </c>
      <c r="H30">
        <f t="shared" si="0"/>
        <v>3.8792000000000826E-2</v>
      </c>
      <c r="I30" s="186">
        <f t="shared" si="7"/>
        <v>0.99739999999999995</v>
      </c>
      <c r="J30" s="186">
        <f t="shared" si="8"/>
        <v>2.6000000000000554E-3</v>
      </c>
      <c r="K30" s="228">
        <v>0.75690000000000002</v>
      </c>
      <c r="L30" s="194">
        <v>2043</v>
      </c>
      <c r="M30" s="205">
        <v>10000</v>
      </c>
      <c r="N30" s="205">
        <v>4000</v>
      </c>
      <c r="O30" s="194">
        <v>1000</v>
      </c>
      <c r="P30">
        <v>500</v>
      </c>
      <c r="Q30">
        <v>400</v>
      </c>
      <c r="T30" s="232">
        <f t="shared" si="24"/>
        <v>-454</v>
      </c>
      <c r="U30" s="233">
        <f t="shared" si="25"/>
        <v>924800</v>
      </c>
      <c r="V30" s="234">
        <f t="shared" si="26"/>
        <v>-2722</v>
      </c>
      <c r="W30" s="224">
        <f t="shared" si="27"/>
        <v>30.549405</v>
      </c>
      <c r="X30" s="225">
        <f t="shared" si="28"/>
        <v>20.979105000000001</v>
      </c>
      <c r="Y30" s="186">
        <f t="shared" si="6"/>
        <v>0.40610623324396788</v>
      </c>
    </row>
    <row r="31" spans="3:25" x14ac:dyDescent="0.25">
      <c r="C31" t="s">
        <v>80</v>
      </c>
      <c r="E31" s="194">
        <v>43.42</v>
      </c>
      <c r="F31" s="194">
        <v>16.96</v>
      </c>
      <c r="G31">
        <f>+E31*93.49%</f>
        <v>40.593358000000002</v>
      </c>
      <c r="H31">
        <f t="shared" si="0"/>
        <v>2.8266419999999997</v>
      </c>
      <c r="I31" s="186">
        <f t="shared" si="7"/>
        <v>0.93490000000000006</v>
      </c>
      <c r="J31" s="186">
        <f t="shared" si="8"/>
        <v>6.5099999999999991E-2</v>
      </c>
      <c r="K31" s="228">
        <v>0.76190000000000002</v>
      </c>
      <c r="L31" s="194">
        <v>2042</v>
      </c>
      <c r="M31" s="205">
        <v>25000</v>
      </c>
      <c r="N31" s="205">
        <v>12500</v>
      </c>
      <c r="O31" s="194">
        <v>4500</v>
      </c>
      <c r="P31">
        <v>2500</v>
      </c>
      <c r="Q31">
        <v>1000</v>
      </c>
      <c r="T31" s="232">
        <f t="shared" si="24"/>
        <v>-1160</v>
      </c>
      <c r="U31" s="233">
        <f t="shared" si="25"/>
        <v>2363900</v>
      </c>
      <c r="V31" s="234">
        <f t="shared" si="26"/>
        <v>-4820</v>
      </c>
      <c r="W31" s="224">
        <f t="shared" si="27"/>
        <v>81.0227</v>
      </c>
      <c r="X31" s="225">
        <f t="shared" si="28"/>
        <v>63.758200000000002</v>
      </c>
      <c r="Y31" s="186">
        <f t="shared" si="6"/>
        <v>0.46840626439428834</v>
      </c>
    </row>
    <row r="32" spans="3:25" x14ac:dyDescent="0.25">
      <c r="C32" t="s">
        <v>449</v>
      </c>
      <c r="E32" s="194">
        <v>7.3</v>
      </c>
      <c r="F32" s="194">
        <v>4.54</v>
      </c>
      <c r="G32">
        <f>+E32*89.64%</f>
        <v>6.5437199999999995</v>
      </c>
      <c r="H32">
        <f t="shared" si="0"/>
        <v>0.75628000000000029</v>
      </c>
      <c r="I32" s="186">
        <f t="shared" si="7"/>
        <v>0.89639999999999997</v>
      </c>
      <c r="J32" s="186">
        <f t="shared" si="8"/>
        <v>0.10360000000000004</v>
      </c>
      <c r="K32" s="228">
        <v>0.77580000000000005</v>
      </c>
      <c r="L32" s="194">
        <v>2044</v>
      </c>
      <c r="M32" s="205">
        <v>2000</v>
      </c>
      <c r="N32" s="205">
        <v>1250</v>
      </c>
      <c r="O32" s="194">
        <v>900</v>
      </c>
      <c r="P32">
        <v>600</v>
      </c>
      <c r="Q32">
        <v>400</v>
      </c>
      <c r="T32" s="232">
        <f t="shared" si="24"/>
        <v>-77</v>
      </c>
      <c r="U32" s="233">
        <f t="shared" si="25"/>
        <v>157340</v>
      </c>
      <c r="V32" s="234">
        <f t="shared" si="26"/>
        <v>-48</v>
      </c>
      <c r="W32" s="224">
        <f t="shared" si="27"/>
        <v>8.5497599999999991</v>
      </c>
      <c r="X32" s="225">
        <f t="shared" si="28"/>
        <v>7.6737599999999997</v>
      </c>
      <c r="Y32" s="186">
        <f t="shared" si="6"/>
        <v>5.1199999999999982E-2</v>
      </c>
    </row>
    <row r="33" spans="3:25" x14ac:dyDescent="0.25">
      <c r="C33" t="s">
        <v>509</v>
      </c>
      <c r="E33" s="194">
        <v>0.57999999999999996</v>
      </c>
      <c r="F33" s="194">
        <v>0</v>
      </c>
      <c r="G33">
        <f>+E33</f>
        <v>0.57999999999999996</v>
      </c>
      <c r="H33">
        <f t="shared" si="0"/>
        <v>0</v>
      </c>
      <c r="I33" s="186">
        <f t="shared" si="7"/>
        <v>1</v>
      </c>
      <c r="J33" s="186">
        <f t="shared" si="8"/>
        <v>0</v>
      </c>
      <c r="K33" s="228">
        <v>0.91830000000000001</v>
      </c>
      <c r="L33" s="194">
        <v>2031</v>
      </c>
      <c r="M33" s="205">
        <v>500</v>
      </c>
      <c r="N33" s="205">
        <v>200</v>
      </c>
      <c r="O33" s="194">
        <v>80</v>
      </c>
      <c r="T33" s="232">
        <f t="shared" ref="T33:T37" si="29">+SLOPE(M33:S33,$M$4:$S$4)</f>
        <v>-42</v>
      </c>
      <c r="U33" s="233">
        <f t="shared" ref="U33:U37" si="30">+INTERCEPT(M33:S33,$M$4:$S$4)</f>
        <v>85310</v>
      </c>
      <c r="V33" s="234">
        <f t="shared" ref="V33:V37" si="31">+T33*L33+U33</f>
        <v>8</v>
      </c>
      <c r="W33" s="224">
        <f t="shared" ref="W33:W37" si="32">+((L33-$M$4)*V33+((L33-$M$4)*(M33-V33))/2)*365/1000000</f>
        <v>1.0198100000000001</v>
      </c>
      <c r="X33" s="225">
        <f t="shared" ref="X33:X37" si="33">+((T33*L33*L33/2)+(U33*L33)-(T33*$M$4*$M$4/2)-(U33*$M$4))*365/1000000</f>
        <v>0.95958500000000002</v>
      </c>
      <c r="Y33" s="186">
        <f t="shared" si="6"/>
        <v>0.65445689655172434</v>
      </c>
    </row>
    <row r="34" spans="3:25" x14ac:dyDescent="0.25">
      <c r="C34" t="s">
        <v>510</v>
      </c>
      <c r="E34" s="194">
        <v>130.22</v>
      </c>
      <c r="F34" s="194">
        <v>284</v>
      </c>
      <c r="G34">
        <f>+E34*63.65%</f>
        <v>82.88503</v>
      </c>
      <c r="H34">
        <f t="shared" si="0"/>
        <v>47.334969999999998</v>
      </c>
      <c r="I34" s="186">
        <f t="shared" si="7"/>
        <v>0.63649999999999995</v>
      </c>
      <c r="J34" s="186">
        <f t="shared" si="8"/>
        <v>0.36349999999999999</v>
      </c>
      <c r="K34" s="228">
        <v>0.63759999999999994</v>
      </c>
      <c r="L34" s="194">
        <v>2018</v>
      </c>
      <c r="M34" s="205">
        <v>55000</v>
      </c>
      <c r="N34" s="205">
        <v>31000</v>
      </c>
      <c r="O34" s="194">
        <v>15000</v>
      </c>
      <c r="P34">
        <v>8000</v>
      </c>
      <c r="T34" s="232">
        <f t="shared" si="29"/>
        <v>-3140</v>
      </c>
      <c r="U34" s="233">
        <f t="shared" si="30"/>
        <v>6393600</v>
      </c>
      <c r="V34" s="234">
        <f t="shared" si="31"/>
        <v>57080</v>
      </c>
      <c r="W34" s="224">
        <f t="shared" si="32"/>
        <v>-40.909199999999998</v>
      </c>
      <c r="X34" s="225">
        <f t="shared" si="33"/>
        <v>-39.376199999999997</v>
      </c>
      <c r="Y34" s="186">
        <f t="shared" si="6"/>
        <v>-1.3023821225618186</v>
      </c>
    </row>
    <row r="35" spans="3:25" x14ac:dyDescent="0.25">
      <c r="C35" t="s">
        <v>344</v>
      </c>
      <c r="E35" s="194">
        <v>24.09</v>
      </c>
      <c r="F35" s="194">
        <v>0</v>
      </c>
      <c r="G35">
        <f>+E35</f>
        <v>24.09</v>
      </c>
      <c r="H35">
        <f t="shared" si="0"/>
        <v>0</v>
      </c>
      <c r="I35" s="186">
        <f t="shared" si="7"/>
        <v>1</v>
      </c>
      <c r="J35" s="186">
        <f t="shared" si="8"/>
        <v>0</v>
      </c>
      <c r="K35" s="228">
        <v>0.73740000000000006</v>
      </c>
      <c r="L35" s="194">
        <v>2064</v>
      </c>
      <c r="M35" s="205">
        <v>4000</v>
      </c>
      <c r="N35" s="205">
        <v>3500</v>
      </c>
      <c r="O35" s="194">
        <v>2500</v>
      </c>
      <c r="P35">
        <v>2000</v>
      </c>
      <c r="Q35">
        <v>1500</v>
      </c>
      <c r="R35">
        <v>1250</v>
      </c>
      <c r="S35">
        <v>1000</v>
      </c>
      <c r="T35" s="232">
        <f t="shared" si="29"/>
        <v>-103.57142857142857</v>
      </c>
      <c r="U35" s="233">
        <f t="shared" si="30"/>
        <v>213017.85714285713</v>
      </c>
      <c r="V35" s="234">
        <f t="shared" si="31"/>
        <v>-753.57142857144936</v>
      </c>
      <c r="W35" s="224">
        <f t="shared" si="32"/>
        <v>26.068821428571262</v>
      </c>
      <c r="X35" s="225">
        <f t="shared" si="33"/>
        <v>24.491499999999998</v>
      </c>
      <c r="Y35" s="186">
        <f t="shared" si="6"/>
        <v>1.6666666666666611E-2</v>
      </c>
    </row>
    <row r="36" spans="3:25" x14ac:dyDescent="0.25">
      <c r="C36" t="s">
        <v>511</v>
      </c>
      <c r="E36" s="194">
        <v>5.59</v>
      </c>
      <c r="F36" s="194">
        <v>0</v>
      </c>
      <c r="G36">
        <f>+E36</f>
        <v>5.59</v>
      </c>
      <c r="H36">
        <f t="shared" si="0"/>
        <v>0</v>
      </c>
      <c r="I36" s="186">
        <f t="shared" si="7"/>
        <v>1</v>
      </c>
      <c r="J36" s="186">
        <f t="shared" si="8"/>
        <v>0</v>
      </c>
      <c r="K36" s="228">
        <v>0.69210000000000005</v>
      </c>
      <c r="L36" s="194">
        <v>2047</v>
      </c>
      <c r="M36" s="205">
        <v>1400</v>
      </c>
      <c r="N36" s="205">
        <v>1250</v>
      </c>
      <c r="O36" s="194">
        <v>750</v>
      </c>
      <c r="P36">
        <v>450</v>
      </c>
      <c r="Q36">
        <v>250</v>
      </c>
      <c r="T36" s="232">
        <f t="shared" si="29"/>
        <v>-62</v>
      </c>
      <c r="U36" s="233">
        <f t="shared" si="30"/>
        <v>126680</v>
      </c>
      <c r="V36" s="234">
        <f t="shared" si="31"/>
        <v>-234</v>
      </c>
      <c r="W36" s="224">
        <f t="shared" si="32"/>
        <v>5.7454650000000003</v>
      </c>
      <c r="X36" s="225">
        <f t="shared" si="33"/>
        <v>5.9425650000000001</v>
      </c>
      <c r="Y36" s="186">
        <f t="shared" si="6"/>
        <v>6.307066189624333E-2</v>
      </c>
    </row>
    <row r="37" spans="3:25" x14ac:dyDescent="0.25">
      <c r="C37" t="s">
        <v>345</v>
      </c>
      <c r="E37" s="194">
        <v>16.52</v>
      </c>
      <c r="F37" s="194">
        <v>1.91</v>
      </c>
      <c r="G37">
        <f>+E37*98.07%</f>
        <v>16.201163999999999</v>
      </c>
      <c r="H37">
        <f t="shared" si="0"/>
        <v>0.31883600000000101</v>
      </c>
      <c r="I37" s="186">
        <f t="shared" si="7"/>
        <v>0.98069999999999991</v>
      </c>
      <c r="J37" s="186">
        <f t="shared" si="8"/>
        <v>1.930000000000006E-2</v>
      </c>
      <c r="K37" s="228">
        <v>0.73629999999999995</v>
      </c>
      <c r="L37" s="194">
        <v>2060</v>
      </c>
      <c r="M37" s="205">
        <v>4000</v>
      </c>
      <c r="N37" s="205">
        <v>3000</v>
      </c>
      <c r="O37" s="194">
        <v>1800</v>
      </c>
      <c r="P37">
        <v>1250</v>
      </c>
      <c r="Q37">
        <v>1000</v>
      </c>
      <c r="R37">
        <v>750</v>
      </c>
      <c r="T37" s="232">
        <f t="shared" si="29"/>
        <v>-130.28571428571428</v>
      </c>
      <c r="U37" s="233">
        <f t="shared" si="30"/>
        <v>266772.38095238095</v>
      </c>
      <c r="V37" s="234">
        <f t="shared" si="31"/>
        <v>-1616.1904761904734</v>
      </c>
      <c r="W37" s="224">
        <f t="shared" si="32"/>
        <v>17.401809523809543</v>
      </c>
      <c r="X37" s="225">
        <f t="shared" si="33"/>
        <v>14.447047619026899</v>
      </c>
      <c r="Y37" s="186">
        <f t="shared" si="6"/>
        <v>-0.12548137899352912</v>
      </c>
    </row>
    <row r="38" spans="3:25" x14ac:dyDescent="0.25">
      <c r="C38" t="s">
        <v>512</v>
      </c>
      <c r="E38" s="194">
        <v>90.73</v>
      </c>
      <c r="F38" s="194">
        <v>10.09</v>
      </c>
      <c r="G38">
        <f>+E38*98.15%</f>
        <v>89.051495000000003</v>
      </c>
      <c r="H38">
        <f t="shared" si="0"/>
        <v>1.6785050000000012</v>
      </c>
      <c r="I38" s="186">
        <f t="shared" si="7"/>
        <v>0.98150000000000004</v>
      </c>
      <c r="J38" s="186">
        <f t="shared" si="8"/>
        <v>1.8500000000000013E-2</v>
      </c>
      <c r="K38" s="228">
        <v>0.50829999999999997</v>
      </c>
      <c r="L38" s="194">
        <v>2061</v>
      </c>
      <c r="M38" s="205">
        <v>19000</v>
      </c>
      <c r="N38" s="205">
        <v>16000</v>
      </c>
      <c r="O38" s="194">
        <v>10000</v>
      </c>
      <c r="P38">
        <v>7000</v>
      </c>
      <c r="Q38">
        <v>4500</v>
      </c>
      <c r="R38">
        <v>3000</v>
      </c>
      <c r="S38">
        <v>2000</v>
      </c>
    </row>
    <row r="39" spans="3:25" x14ac:dyDescent="0.25">
      <c r="H39">
        <f t="shared" si="0"/>
        <v>0</v>
      </c>
      <c r="I39" s="186"/>
      <c r="J39" s="186"/>
    </row>
    <row r="40" spans="3:25" x14ac:dyDescent="0.25">
      <c r="C40" t="s">
        <v>519</v>
      </c>
      <c r="E40" s="194" t="s">
        <v>527</v>
      </c>
      <c r="F40" s="194">
        <v>23.75</v>
      </c>
      <c r="G40" t="e">
        <f>+E40*0.74%</f>
        <v>#VALUE!</v>
      </c>
      <c r="H40" t="e">
        <f t="shared" si="0"/>
        <v>#VALUE!</v>
      </c>
      <c r="I40" s="186" t="e">
        <f t="shared" si="7"/>
        <v>#VALUE!</v>
      </c>
      <c r="J40" s="186" t="e">
        <f t="shared" si="8"/>
        <v>#VALUE!</v>
      </c>
      <c r="K40" s="228">
        <v>0.30909999999999999</v>
      </c>
      <c r="L40" s="194">
        <v>2049</v>
      </c>
    </row>
    <row r="41" spans="3:25" x14ac:dyDescent="0.25">
      <c r="C41" t="s">
        <v>520</v>
      </c>
      <c r="E41" s="194">
        <v>6.24</v>
      </c>
      <c r="F41" s="194">
        <v>11.14</v>
      </c>
      <c r="G41">
        <f>+E41*70.26%</f>
        <v>4.3842240000000006</v>
      </c>
      <c r="H41">
        <f t="shared" si="0"/>
        <v>1.8557759999999996</v>
      </c>
      <c r="I41" s="186">
        <f t="shared" si="7"/>
        <v>0.70260000000000011</v>
      </c>
      <c r="J41" s="186">
        <f t="shared" si="8"/>
        <v>0.29739999999999994</v>
      </c>
      <c r="K41" s="228">
        <v>0.77259999999999995</v>
      </c>
      <c r="L41" s="194">
        <v>2041</v>
      </c>
      <c r="M41" s="205">
        <v>3700</v>
      </c>
    </row>
    <row r="42" spans="3:25" x14ac:dyDescent="0.25">
      <c r="C42" t="s">
        <v>521</v>
      </c>
      <c r="E42" s="194">
        <v>18.809999999999999</v>
      </c>
      <c r="F42" s="194">
        <v>112.29</v>
      </c>
      <c r="G42">
        <f>+E42*0.49%</f>
        <v>9.2168999999999987E-2</v>
      </c>
      <c r="H42">
        <f t="shared" si="0"/>
        <v>18.717831</v>
      </c>
      <c r="I42" s="186">
        <f t="shared" si="7"/>
        <v>4.8999999999999998E-3</v>
      </c>
      <c r="J42" s="186">
        <f t="shared" si="8"/>
        <v>0.9951000000000001</v>
      </c>
      <c r="K42" s="228">
        <v>0.29599999999999999</v>
      </c>
      <c r="L42" s="194">
        <v>2042</v>
      </c>
      <c r="M42" s="205">
        <v>4500</v>
      </c>
    </row>
    <row r="43" spans="3:25" x14ac:dyDescent="0.25">
      <c r="C43" t="s">
        <v>522</v>
      </c>
      <c r="E43" s="194">
        <v>9.35</v>
      </c>
      <c r="F43" s="194">
        <v>4.1900000000000004</v>
      </c>
      <c r="G43">
        <f>+E43*92.53%</f>
        <v>8.6515550000000001</v>
      </c>
      <c r="H43">
        <f t="shared" si="0"/>
        <v>0.69844499999999954</v>
      </c>
      <c r="I43" s="186">
        <f t="shared" si="7"/>
        <v>0.92530000000000001</v>
      </c>
      <c r="J43" s="186">
        <f t="shared" si="8"/>
        <v>7.4699999999999947E-2</v>
      </c>
      <c r="K43" s="228">
        <v>0.51980000000000004</v>
      </c>
      <c r="L43" s="194">
        <v>2068</v>
      </c>
      <c r="M43" s="194">
        <v>1800</v>
      </c>
    </row>
    <row r="45" spans="3:25" x14ac:dyDescent="0.25">
      <c r="M45">
        <f>+SUM(M6:M43)</f>
        <v>529280</v>
      </c>
      <c r="N45" t="s">
        <v>528</v>
      </c>
    </row>
    <row r="46" spans="3:25" x14ac:dyDescent="0.25">
      <c r="M46">
        <f>+M45*365</f>
        <v>193187200</v>
      </c>
      <c r="N46" t="s">
        <v>528</v>
      </c>
    </row>
    <row r="47" spans="3:25" x14ac:dyDescent="0.25">
      <c r="C47" t="s">
        <v>513</v>
      </c>
      <c r="E47" s="212">
        <f>+SUM(E5:E38)+E42</f>
        <v>1984.8899999999996</v>
      </c>
      <c r="F47" t="s">
        <v>488</v>
      </c>
      <c r="M47" s="229">
        <f>+M46/1000000</f>
        <v>193.18719999999999</v>
      </c>
      <c r="N47" t="s">
        <v>529</v>
      </c>
    </row>
    <row r="48" spans="3:25" x14ac:dyDescent="0.25">
      <c r="C48" t="s">
        <v>514</v>
      </c>
      <c r="E48">
        <f>+SUM(G5:G38)+G42</f>
        <v>1725.2950059999996</v>
      </c>
      <c r="F48" t="s">
        <v>488</v>
      </c>
      <c r="G48" s="186">
        <f>+E48/E47</f>
        <v>0.86921441792744181</v>
      </c>
      <c r="H48" s="186"/>
      <c r="I48" s="186"/>
      <c r="J48" s="186"/>
      <c r="K48" s="212"/>
      <c r="M48" s="219" t="s">
        <v>530</v>
      </c>
      <c r="N48" s="219" t="s">
        <v>531</v>
      </c>
    </row>
    <row r="49" spans="3:14" x14ac:dyDescent="0.25">
      <c r="C49" t="s">
        <v>517</v>
      </c>
      <c r="E49" s="212">
        <f>+E47-E48</f>
        <v>259.59499400000004</v>
      </c>
      <c r="F49" t="s">
        <v>488</v>
      </c>
      <c r="G49" s="186">
        <f>+E49/E47</f>
        <v>0.13078558207255822</v>
      </c>
      <c r="H49" s="186"/>
      <c r="I49" s="186"/>
      <c r="J49" s="186"/>
      <c r="M49" s="236">
        <f>+M47*M54</f>
        <v>25.114335999999998</v>
      </c>
      <c r="N49" s="237">
        <f>+M47*(100%-M54)</f>
        <v>168.07286399999998</v>
      </c>
    </row>
    <row r="50" spans="3:14" x14ac:dyDescent="0.25">
      <c r="C50" t="s">
        <v>515</v>
      </c>
      <c r="E50" s="212">
        <f>+SUM(F5:F38)</f>
        <v>1635.0453439999999</v>
      </c>
      <c r="F50" t="s">
        <v>516</v>
      </c>
    </row>
    <row r="51" spans="3:14" x14ac:dyDescent="0.25">
      <c r="E51" s="212">
        <f>+E50*(1000000000)</f>
        <v>1635045344000</v>
      </c>
      <c r="F51" t="s">
        <v>526</v>
      </c>
    </row>
    <row r="52" spans="3:14" x14ac:dyDescent="0.25">
      <c r="E52" s="212">
        <f>+(E51/G1)/1000000</f>
        <v>272.62588454016498</v>
      </c>
      <c r="L52" t="s">
        <v>518</v>
      </c>
      <c r="M52" t="s">
        <v>532</v>
      </c>
    </row>
    <row r="53" spans="3:14" x14ac:dyDescent="0.25">
      <c r="L53">
        <v>71</v>
      </c>
      <c r="M53" s="235">
        <v>0.87</v>
      </c>
    </row>
    <row r="54" spans="3:14" x14ac:dyDescent="0.25">
      <c r="E54">
        <f>+E50*1000</f>
        <v>1635045.3439999998</v>
      </c>
      <c r="F54" t="s">
        <v>523</v>
      </c>
      <c r="L54">
        <v>29</v>
      </c>
      <c r="M54" s="235">
        <v>0.13</v>
      </c>
    </row>
    <row r="55" spans="3:14" x14ac:dyDescent="0.25">
      <c r="E55">
        <f>+E54/11</f>
        <v>148640.4858181818</v>
      </c>
      <c r="F55" t="s">
        <v>523</v>
      </c>
    </row>
    <row r="56" spans="3:14" x14ac:dyDescent="0.25">
      <c r="E56">
        <f>+E55/365</f>
        <v>407.234207721046</v>
      </c>
      <c r="F56" t="s">
        <v>523</v>
      </c>
    </row>
    <row r="58" spans="3:14" x14ac:dyDescent="0.25">
      <c r="E58">
        <v>1000</v>
      </c>
      <c r="F58" t="s">
        <v>523</v>
      </c>
    </row>
    <row r="59" spans="3:14" x14ac:dyDescent="0.25">
      <c r="E59">
        <f>+E58*365</f>
        <v>365000</v>
      </c>
    </row>
    <row r="60" spans="3:14" x14ac:dyDescent="0.25">
      <c r="E60" s="229">
        <f>+E54/E59</f>
        <v>4.4795762849315066</v>
      </c>
      <c r="F60" t="s">
        <v>524</v>
      </c>
    </row>
    <row r="61" spans="3:14" x14ac:dyDescent="0.25">
      <c r="E61" s="223"/>
    </row>
  </sheetData>
  <mergeCells count="1">
    <mergeCell ref="W3:X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2A72-AF19-4504-9414-6F61CF25CDA8}">
  <dimension ref="B1:U47"/>
  <sheetViews>
    <sheetView showGridLines="0" topLeftCell="A3" workbookViewId="0">
      <selection activeCell="G3" sqref="G3:G37"/>
    </sheetView>
  </sheetViews>
  <sheetFormatPr baseColWidth="10" defaultRowHeight="15" x14ac:dyDescent="0.25"/>
  <cols>
    <col min="2" max="2" width="30.28515625" customWidth="1"/>
    <col min="4" max="5" width="11.42578125" style="194"/>
    <col min="20" max="20" width="12" bestFit="1" customWidth="1"/>
  </cols>
  <sheetData>
    <row r="1" spans="2:21" x14ac:dyDescent="0.25">
      <c r="D1" s="250">
        <v>6.0871741676095334</v>
      </c>
      <c r="E1" s="194" t="s">
        <v>545</v>
      </c>
      <c r="L1">
        <v>1.01</v>
      </c>
      <c r="M1" t="s">
        <v>548</v>
      </c>
      <c r="N1">
        <f>+L1/1000</f>
        <v>1.01E-3</v>
      </c>
      <c r="O1" t="s">
        <v>549</v>
      </c>
      <c r="T1">
        <f>6.1178632*1000000000</f>
        <v>6117863200</v>
      </c>
      <c r="U1" t="s">
        <v>550</v>
      </c>
    </row>
    <row r="2" spans="2:21" x14ac:dyDescent="0.25">
      <c r="C2" s="194"/>
      <c r="T2">
        <f>+T1/(1000000000000000)</f>
        <v>6.1178631999999998E-6</v>
      </c>
      <c r="U2" t="s">
        <v>551</v>
      </c>
    </row>
    <row r="3" spans="2:21" x14ac:dyDescent="0.25">
      <c r="C3" s="247" t="s">
        <v>475</v>
      </c>
      <c r="E3" s="247" t="s">
        <v>542</v>
      </c>
      <c r="F3" s="194" t="s">
        <v>543</v>
      </c>
      <c r="G3" s="247" t="s">
        <v>478</v>
      </c>
      <c r="L3" s="251" t="s">
        <v>544</v>
      </c>
      <c r="M3" s="205" t="s">
        <v>547</v>
      </c>
      <c r="N3" t="s">
        <v>554</v>
      </c>
      <c r="P3" s="205" t="s">
        <v>552</v>
      </c>
      <c r="Q3" t="s">
        <v>552</v>
      </c>
      <c r="R3" t="s">
        <v>553</v>
      </c>
    </row>
    <row r="4" spans="2:21" x14ac:dyDescent="0.25">
      <c r="B4" t="s">
        <v>301</v>
      </c>
      <c r="C4" s="254">
        <v>28.68</v>
      </c>
      <c r="E4" s="255">
        <v>0</v>
      </c>
      <c r="F4" s="249">
        <f>+C4-E4</f>
        <v>28.68</v>
      </c>
      <c r="G4" s="183">
        <v>172.07</v>
      </c>
      <c r="I4">
        <f>+F4/G4</f>
        <v>0.16667635264717848</v>
      </c>
      <c r="L4" s="252">
        <f>+E4*1000*$D$1/1000</f>
        <v>0</v>
      </c>
      <c r="M4" s="248">
        <f>+G4*1000*$N$1</f>
        <v>173.79070000000002</v>
      </c>
      <c r="N4" s="253">
        <f>+IF(L4=0,0,M4/L4)</f>
        <v>0</v>
      </c>
      <c r="P4" s="248">
        <f>+M4+L4</f>
        <v>173.79070000000002</v>
      </c>
      <c r="Q4" s="229">
        <f>+C4*1000000*$T$2</f>
        <v>175.460316576</v>
      </c>
      <c r="R4" s="186">
        <f>+(P4-Q4)/P4</f>
        <v>-9.6070536340551096E-3</v>
      </c>
    </row>
    <row r="5" spans="2:21" x14ac:dyDescent="0.25">
      <c r="B5" t="s">
        <v>342</v>
      </c>
      <c r="C5" s="247">
        <v>89.87</v>
      </c>
      <c r="E5" s="255">
        <f>+C5</f>
        <v>89.87</v>
      </c>
      <c r="F5" s="249">
        <f t="shared" ref="F5:F37" si="0">+C5-E5</f>
        <v>0</v>
      </c>
      <c r="G5" s="183">
        <v>0</v>
      </c>
      <c r="I5" t="e">
        <f t="shared" ref="I5:I37" si="1">+F5/G5</f>
        <v>#DIV/0!</v>
      </c>
      <c r="L5" s="252">
        <f t="shared" ref="L5:L37" si="2">+E5*1000*$D$1/1000</f>
        <v>547.05434244306878</v>
      </c>
      <c r="M5" s="248">
        <f t="shared" ref="M5:M37" si="3">+G5*1000*$N$1</f>
        <v>0</v>
      </c>
      <c r="N5" s="253">
        <f t="shared" ref="N5:N37" si="4">+IF(L5=0,0,M5/L5)</f>
        <v>0</v>
      </c>
      <c r="P5" s="248">
        <f t="shared" ref="P5:P36" si="5">+M5+L5</f>
        <v>547.05434244306878</v>
      </c>
      <c r="Q5" s="229">
        <f t="shared" ref="Q5:Q37" si="6">+C5*1000000*$T$2</f>
        <v>549.81236578400001</v>
      </c>
      <c r="R5" s="186">
        <f t="shared" ref="R5:R37" si="7">+(P5-Q5)/P5</f>
        <v>-5.0415893393959401E-3</v>
      </c>
    </row>
    <row r="6" spans="2:21" x14ac:dyDescent="0.25">
      <c r="B6" t="s">
        <v>491</v>
      </c>
      <c r="C6" s="247">
        <v>1.37</v>
      </c>
      <c r="E6" s="256">
        <f>+C6*98.88%</f>
        <v>1.3546559999999999</v>
      </c>
      <c r="F6" s="249">
        <f t="shared" si="0"/>
        <v>1.5344000000000246E-2</v>
      </c>
      <c r="G6" s="183">
        <v>1.5344000000000003E-2</v>
      </c>
      <c r="I6">
        <f t="shared" si="1"/>
        <v>1.0000000000000158</v>
      </c>
      <c r="L6" s="252">
        <f t="shared" si="2"/>
        <v>8.2460270091972596</v>
      </c>
      <c r="M6" s="248">
        <f t="shared" si="3"/>
        <v>1.5497440000000003E-2</v>
      </c>
      <c r="N6" s="253">
        <f t="shared" si="4"/>
        <v>1.8793826387804495E-3</v>
      </c>
      <c r="P6" s="248">
        <f t="shared" si="5"/>
        <v>8.2615244491972604</v>
      </c>
      <c r="Q6" s="229">
        <f t="shared" si="6"/>
        <v>8.3814725839999991</v>
      </c>
      <c r="R6" s="186">
        <f t="shared" si="7"/>
        <v>-1.4518886379909409E-2</v>
      </c>
    </row>
    <row r="7" spans="2:21" x14ac:dyDescent="0.25">
      <c r="B7" t="s">
        <v>346</v>
      </c>
      <c r="C7" s="247">
        <v>2.5</v>
      </c>
      <c r="E7" s="255">
        <f>+C7*99.53%</f>
        <v>2.4882499999999999</v>
      </c>
      <c r="F7" s="249">
        <f t="shared" si="0"/>
        <v>1.1750000000000149E-2</v>
      </c>
      <c r="G7" s="183">
        <v>7.0000000000000007E-2</v>
      </c>
      <c r="I7">
        <f t="shared" si="1"/>
        <v>0.16785714285714498</v>
      </c>
      <c r="L7" s="252">
        <f t="shared" si="2"/>
        <v>15.146411122554422</v>
      </c>
      <c r="M7" s="248">
        <f t="shared" si="3"/>
        <v>7.0699999999999999E-2</v>
      </c>
      <c r="N7" s="253">
        <f t="shared" si="4"/>
        <v>4.6677724134082882E-3</v>
      </c>
      <c r="P7" s="248">
        <f t="shared" si="5"/>
        <v>15.217111122554423</v>
      </c>
      <c r="Q7" s="229">
        <f t="shared" si="6"/>
        <v>15.294658</v>
      </c>
      <c r="R7" s="186">
        <f t="shared" si="7"/>
        <v>-5.0960314885681139E-3</v>
      </c>
    </row>
    <row r="8" spans="2:21" x14ac:dyDescent="0.25">
      <c r="B8" t="s">
        <v>311</v>
      </c>
      <c r="C8" s="247">
        <v>14.92</v>
      </c>
      <c r="E8" s="255">
        <v>0</v>
      </c>
      <c r="F8" s="249">
        <f t="shared" si="0"/>
        <v>14.92</v>
      </c>
      <c r="G8" s="183">
        <v>89.54</v>
      </c>
      <c r="I8">
        <f t="shared" si="1"/>
        <v>0.16662943935671207</v>
      </c>
      <c r="L8" s="252">
        <f t="shared" si="2"/>
        <v>0</v>
      </c>
      <c r="M8" s="248">
        <f t="shared" si="3"/>
        <v>90.435400000000001</v>
      </c>
      <c r="N8" s="253">
        <f t="shared" si="4"/>
        <v>0</v>
      </c>
      <c r="P8" s="248">
        <f t="shared" si="5"/>
        <v>90.435400000000001</v>
      </c>
      <c r="Q8" s="229">
        <f t="shared" si="6"/>
        <v>91.278518943999998</v>
      </c>
      <c r="R8" s="186">
        <f t="shared" si="7"/>
        <v>-9.3228862149113828E-3</v>
      </c>
    </row>
    <row r="9" spans="2:21" x14ac:dyDescent="0.25">
      <c r="B9" t="s">
        <v>492</v>
      </c>
      <c r="C9" s="247">
        <v>153.29</v>
      </c>
      <c r="E9" s="255">
        <v>153.29</v>
      </c>
      <c r="F9" s="249">
        <f t="shared" si="0"/>
        <v>0</v>
      </c>
      <c r="G9" s="183">
        <v>0</v>
      </c>
      <c r="I9" t="e">
        <f t="shared" si="1"/>
        <v>#DIV/0!</v>
      </c>
      <c r="L9" s="252">
        <f t="shared" si="2"/>
        <v>933.10292815286539</v>
      </c>
      <c r="M9" s="248">
        <f t="shared" si="3"/>
        <v>0</v>
      </c>
      <c r="N9" s="253">
        <f t="shared" si="4"/>
        <v>0</v>
      </c>
      <c r="P9" s="248">
        <f t="shared" si="5"/>
        <v>933.10292815286539</v>
      </c>
      <c r="Q9" s="229">
        <f t="shared" si="6"/>
        <v>937.80724992799992</v>
      </c>
      <c r="R9" s="186">
        <f t="shared" si="7"/>
        <v>-5.041589339395843E-3</v>
      </c>
    </row>
    <row r="10" spans="2:21" x14ac:dyDescent="0.25">
      <c r="B10" t="s">
        <v>493</v>
      </c>
      <c r="C10" s="247">
        <v>0.88</v>
      </c>
      <c r="E10" s="255">
        <v>0.88</v>
      </c>
      <c r="F10" s="249">
        <f t="shared" si="0"/>
        <v>0</v>
      </c>
      <c r="G10" s="183">
        <v>0</v>
      </c>
      <c r="I10" t="e">
        <f t="shared" si="1"/>
        <v>#DIV/0!</v>
      </c>
      <c r="L10" s="252">
        <f t="shared" si="2"/>
        <v>5.3567132674963895</v>
      </c>
      <c r="M10" s="248">
        <f t="shared" si="3"/>
        <v>0</v>
      </c>
      <c r="N10" s="253">
        <f t="shared" si="4"/>
        <v>0</v>
      </c>
      <c r="P10" s="248">
        <f t="shared" si="5"/>
        <v>5.3567132674963895</v>
      </c>
      <c r="Q10" s="229">
        <f t="shared" si="6"/>
        <v>5.3837196159999996</v>
      </c>
      <c r="R10" s="186">
        <f t="shared" si="7"/>
        <v>-5.0415893393958404E-3</v>
      </c>
    </row>
    <row r="11" spans="2:21" x14ac:dyDescent="0.25">
      <c r="B11" t="s">
        <v>494</v>
      </c>
      <c r="C11" s="247">
        <v>543.79</v>
      </c>
      <c r="E11" s="255">
        <f>+C11</f>
        <v>543.79</v>
      </c>
      <c r="F11" s="249">
        <f t="shared" si="0"/>
        <v>0</v>
      </c>
      <c r="G11" s="183">
        <v>0</v>
      </c>
      <c r="I11" t="e">
        <f t="shared" si="1"/>
        <v>#DIV/0!</v>
      </c>
      <c r="L11" s="252">
        <f t="shared" si="2"/>
        <v>3310.1444406043884</v>
      </c>
      <c r="M11" s="248">
        <f t="shared" si="3"/>
        <v>0</v>
      </c>
      <c r="N11" s="253">
        <f t="shared" si="4"/>
        <v>0</v>
      </c>
      <c r="P11" s="248">
        <f t="shared" si="5"/>
        <v>3310.1444406043884</v>
      </c>
      <c r="Q11" s="229">
        <f t="shared" si="6"/>
        <v>3326.8328295279998</v>
      </c>
      <c r="R11" s="186">
        <f t="shared" si="7"/>
        <v>-5.0415893393958291E-3</v>
      </c>
    </row>
    <row r="12" spans="2:21" x14ac:dyDescent="0.25">
      <c r="B12" t="s">
        <v>29</v>
      </c>
      <c r="C12" s="247">
        <v>272.89999999999998</v>
      </c>
      <c r="E12" s="255">
        <v>272.29000000000002</v>
      </c>
      <c r="F12" s="249">
        <f t="shared" si="0"/>
        <v>0.6099999999999568</v>
      </c>
      <c r="G12" s="183">
        <v>0</v>
      </c>
      <c r="I12" t="e">
        <f t="shared" si="1"/>
        <v>#DIV/0!</v>
      </c>
      <c r="L12" s="252">
        <f t="shared" si="2"/>
        <v>1657.4766540983999</v>
      </c>
      <c r="M12" s="248">
        <f t="shared" si="3"/>
        <v>0</v>
      </c>
      <c r="N12" s="253">
        <f t="shared" si="4"/>
        <v>0</v>
      </c>
      <c r="P12" s="248">
        <f t="shared" si="5"/>
        <v>1657.4766540983999</v>
      </c>
      <c r="Q12" s="229">
        <f t="shared" si="6"/>
        <v>1669.56486728</v>
      </c>
      <c r="R12" s="186">
        <f t="shared" si="7"/>
        <v>-7.2931423508801486E-3</v>
      </c>
    </row>
    <row r="13" spans="2:21" x14ac:dyDescent="0.25">
      <c r="B13" t="s">
        <v>345</v>
      </c>
      <c r="C13" s="247">
        <v>16.52</v>
      </c>
      <c r="E13" s="255">
        <f>+C13*98.07%</f>
        <v>16.201163999999999</v>
      </c>
      <c r="F13" s="249">
        <f t="shared" si="0"/>
        <v>0.31883600000000101</v>
      </c>
      <c r="G13" s="183">
        <v>1.61</v>
      </c>
      <c r="I13">
        <f t="shared" si="1"/>
        <v>0.19803478260869625</v>
      </c>
      <c r="L13" s="252">
        <f t="shared" si="2"/>
        <v>98.619306986005526</v>
      </c>
      <c r="M13" s="248">
        <f t="shared" si="3"/>
        <v>1.6261000000000001</v>
      </c>
      <c r="N13" s="253">
        <f t="shared" si="4"/>
        <v>1.6488657745594888E-2</v>
      </c>
      <c r="P13" s="248">
        <f t="shared" si="5"/>
        <v>100.24540698600552</v>
      </c>
      <c r="Q13" s="229">
        <f t="shared" si="6"/>
        <v>101.067100064</v>
      </c>
      <c r="R13" s="186">
        <f t="shared" si="7"/>
        <v>-8.1968152227582056E-3</v>
      </c>
    </row>
    <row r="14" spans="2:21" x14ac:dyDescent="0.25">
      <c r="B14" t="s">
        <v>140</v>
      </c>
      <c r="C14" s="247">
        <v>21.91</v>
      </c>
      <c r="E14" s="255">
        <f>+C14</f>
        <v>21.91</v>
      </c>
      <c r="F14" s="249">
        <f t="shared" si="0"/>
        <v>0</v>
      </c>
      <c r="G14" s="183">
        <v>0</v>
      </c>
      <c r="I14" t="e">
        <f t="shared" si="1"/>
        <v>#DIV/0!</v>
      </c>
      <c r="L14" s="252">
        <f t="shared" si="2"/>
        <v>133.36998601232486</v>
      </c>
      <c r="M14" s="248">
        <f t="shared" si="3"/>
        <v>0</v>
      </c>
      <c r="N14" s="253">
        <f t="shared" si="4"/>
        <v>0</v>
      </c>
      <c r="P14" s="248">
        <f t="shared" si="5"/>
        <v>133.36998601232486</v>
      </c>
      <c r="Q14" s="229">
        <f t="shared" si="6"/>
        <v>134.04238271200001</v>
      </c>
      <c r="R14" s="186">
        <f t="shared" si="7"/>
        <v>-5.041589339396124E-3</v>
      </c>
    </row>
    <row r="15" spans="2:21" x14ac:dyDescent="0.25">
      <c r="B15" t="s">
        <v>495</v>
      </c>
      <c r="C15" s="247">
        <v>8.85</v>
      </c>
      <c r="E15" s="255">
        <f>+C15</f>
        <v>8.85</v>
      </c>
      <c r="F15" s="249">
        <f t="shared" si="0"/>
        <v>0</v>
      </c>
      <c r="G15" s="183">
        <v>0</v>
      </c>
      <c r="I15" t="e">
        <f t="shared" si="1"/>
        <v>#DIV/0!</v>
      </c>
      <c r="L15" s="252">
        <f t="shared" si="2"/>
        <v>53.87149138334437</v>
      </c>
      <c r="M15" s="248">
        <f t="shared" si="3"/>
        <v>0</v>
      </c>
      <c r="N15" s="253">
        <f t="shared" si="4"/>
        <v>0</v>
      </c>
      <c r="P15" s="248">
        <f t="shared" si="5"/>
        <v>53.87149138334437</v>
      </c>
      <c r="Q15" s="229">
        <f t="shared" si="6"/>
        <v>54.143089320000001</v>
      </c>
      <c r="R15" s="186">
        <f t="shared" si="7"/>
        <v>-5.0415893393959757E-3</v>
      </c>
    </row>
    <row r="16" spans="2:21" x14ac:dyDescent="0.25">
      <c r="B16" t="s">
        <v>61</v>
      </c>
      <c r="C16" s="247">
        <v>146.25</v>
      </c>
      <c r="E16" s="255">
        <v>146.25</v>
      </c>
      <c r="F16" s="249">
        <f t="shared" si="0"/>
        <v>0</v>
      </c>
      <c r="G16" s="183">
        <v>0</v>
      </c>
      <c r="I16" t="e">
        <f t="shared" si="1"/>
        <v>#DIV/0!</v>
      </c>
      <c r="L16" s="252">
        <f t="shared" si="2"/>
        <v>890.24922201289428</v>
      </c>
      <c r="M16" s="248">
        <f t="shared" si="3"/>
        <v>0</v>
      </c>
      <c r="N16" s="253">
        <f t="shared" si="4"/>
        <v>0</v>
      </c>
      <c r="P16" s="248">
        <f t="shared" si="5"/>
        <v>890.24922201289428</v>
      </c>
      <c r="Q16" s="229">
        <f t="shared" si="6"/>
        <v>894.73749299999997</v>
      </c>
      <c r="R16" s="186">
        <f t="shared" si="7"/>
        <v>-5.0415893393958907E-3</v>
      </c>
    </row>
    <row r="17" spans="2:18" x14ac:dyDescent="0.25">
      <c r="B17" t="s">
        <v>496</v>
      </c>
      <c r="C17" s="247">
        <v>89.99</v>
      </c>
      <c r="E17" s="255">
        <f>+C17</f>
        <v>89.99</v>
      </c>
      <c r="F17" s="249">
        <f t="shared" si="0"/>
        <v>0</v>
      </c>
      <c r="G17" s="183">
        <v>0</v>
      </c>
      <c r="I17" t="e">
        <f t="shared" si="1"/>
        <v>#DIV/0!</v>
      </c>
      <c r="L17" s="252">
        <f t="shared" si="2"/>
        <v>547.78480334318192</v>
      </c>
      <c r="M17" s="248">
        <f t="shared" si="3"/>
        <v>0</v>
      </c>
      <c r="N17" s="253">
        <f t="shared" si="4"/>
        <v>0</v>
      </c>
      <c r="P17" s="248">
        <f t="shared" si="5"/>
        <v>547.78480334318192</v>
      </c>
      <c r="Q17" s="229">
        <f t="shared" si="6"/>
        <v>550.54650936799999</v>
      </c>
      <c r="R17" s="186">
        <f t="shared" si="7"/>
        <v>-5.0415893393959046E-3</v>
      </c>
    </row>
    <row r="18" spans="2:18" x14ac:dyDescent="0.25">
      <c r="B18" t="s">
        <v>497</v>
      </c>
      <c r="C18" s="247">
        <v>86.96</v>
      </c>
      <c r="E18" s="255">
        <f>+C18*68.57%</f>
        <v>59.628471999999995</v>
      </c>
      <c r="F18" s="249">
        <f t="shared" si="0"/>
        <v>27.331527999999999</v>
      </c>
      <c r="G18" s="183">
        <v>357.74</v>
      </c>
      <c r="I18">
        <f t="shared" si="1"/>
        <v>7.6400536702633193E-2</v>
      </c>
      <c r="L18" s="252">
        <f t="shared" si="2"/>
        <v>362.96889441242831</v>
      </c>
      <c r="M18" s="248">
        <f t="shared" si="3"/>
        <v>361.31740000000002</v>
      </c>
      <c r="N18" s="253">
        <f t="shared" si="4"/>
        <v>0.995450038728245</v>
      </c>
      <c r="P18" s="248">
        <f t="shared" si="5"/>
        <v>724.28629441242833</v>
      </c>
      <c r="Q18" s="229">
        <f t="shared" si="6"/>
        <v>532.00938387199994</v>
      </c>
      <c r="R18" s="186">
        <f t="shared" si="7"/>
        <v>0.26547086700903483</v>
      </c>
    </row>
    <row r="19" spans="2:18" x14ac:dyDescent="0.25">
      <c r="B19" t="s">
        <v>498</v>
      </c>
      <c r="C19" s="247">
        <v>5.73</v>
      </c>
      <c r="E19" s="255">
        <f>+C19</f>
        <v>5.73</v>
      </c>
      <c r="F19" s="249">
        <f t="shared" si="0"/>
        <v>0</v>
      </c>
      <c r="G19" s="183">
        <v>0</v>
      </c>
      <c r="I19" t="e">
        <f t="shared" si="1"/>
        <v>#DIV/0!</v>
      </c>
      <c r="L19" s="252">
        <f t="shared" si="2"/>
        <v>34.879507980402622</v>
      </c>
      <c r="M19" s="248">
        <f t="shared" si="3"/>
        <v>0</v>
      </c>
      <c r="N19" s="253">
        <f t="shared" si="4"/>
        <v>0</v>
      </c>
      <c r="P19" s="248">
        <f t="shared" si="5"/>
        <v>34.879507980402622</v>
      </c>
      <c r="Q19" s="229">
        <f t="shared" si="6"/>
        <v>35.055356136</v>
      </c>
      <c r="R19" s="186">
        <f t="shared" si="7"/>
        <v>-5.0415893393960919E-3</v>
      </c>
    </row>
    <row r="20" spans="2:18" x14ac:dyDescent="0.25">
      <c r="B20" t="s">
        <v>499</v>
      </c>
      <c r="C20" s="247">
        <v>89.27</v>
      </c>
      <c r="E20" s="255">
        <f>+C20*5.84%</f>
        <v>5.213368</v>
      </c>
      <c r="F20" s="249">
        <f t="shared" si="0"/>
        <v>84.056631999999993</v>
      </c>
      <c r="G20" s="183">
        <v>504.38</v>
      </c>
      <c r="I20">
        <f t="shared" si="1"/>
        <v>0.16665338038780284</v>
      </c>
      <c r="L20" s="252">
        <f t="shared" si="2"/>
        <v>31.734679015842179</v>
      </c>
      <c r="M20" s="248">
        <f t="shared" si="3"/>
        <v>509.42380000000003</v>
      </c>
      <c r="N20" s="253">
        <f t="shared" si="4"/>
        <v>16.052590282879244</v>
      </c>
      <c r="P20" s="248">
        <f t="shared" si="5"/>
        <v>541.1584790158422</v>
      </c>
      <c r="Q20" s="229">
        <f t="shared" si="6"/>
        <v>546.14164786399999</v>
      </c>
      <c r="R20" s="186">
        <f t="shared" si="7"/>
        <v>-9.2083355271828024E-3</v>
      </c>
    </row>
    <row r="21" spans="2:18" x14ac:dyDescent="0.25">
      <c r="B21" t="s">
        <v>500</v>
      </c>
      <c r="C21" s="247">
        <v>10.25</v>
      </c>
      <c r="E21" s="255">
        <f>+C21*2%</f>
        <v>0.20500000000000002</v>
      </c>
      <c r="F21" s="249">
        <f t="shared" si="0"/>
        <v>10.045</v>
      </c>
      <c r="G21" s="183">
        <v>60.26</v>
      </c>
      <c r="I21">
        <f t="shared" si="1"/>
        <v>0.16669432459342848</v>
      </c>
      <c r="L21" s="252">
        <f t="shared" si="2"/>
        <v>1.2478707043599546</v>
      </c>
      <c r="M21" s="248">
        <f t="shared" si="3"/>
        <v>60.8626</v>
      </c>
      <c r="N21" s="253">
        <f t="shared" si="4"/>
        <v>48.773161984932592</v>
      </c>
      <c r="P21" s="248">
        <f t="shared" si="5"/>
        <v>62.110470704359955</v>
      </c>
      <c r="Q21" s="229">
        <f t="shared" si="6"/>
        <v>62.708097799999997</v>
      </c>
      <c r="R21" s="186">
        <f t="shared" si="7"/>
        <v>-9.6220023590658631E-3</v>
      </c>
    </row>
    <row r="22" spans="2:18" x14ac:dyDescent="0.25">
      <c r="B22" t="s">
        <v>501</v>
      </c>
      <c r="C22" s="247">
        <v>17.7</v>
      </c>
      <c r="E22" s="255">
        <f>+C22*8.23%</f>
        <v>1.4567099999999999</v>
      </c>
      <c r="F22" s="249">
        <f t="shared" si="0"/>
        <v>16.243289999999998</v>
      </c>
      <c r="G22" s="183">
        <v>97.48</v>
      </c>
      <c r="I22">
        <f t="shared" si="1"/>
        <v>0.16663202708247843</v>
      </c>
      <c r="L22" s="252">
        <f t="shared" si="2"/>
        <v>8.8672474816984828</v>
      </c>
      <c r="M22" s="248">
        <f t="shared" si="3"/>
        <v>98.454800000000006</v>
      </c>
      <c r="N22" s="253">
        <f t="shared" si="4"/>
        <v>11.103197492029558</v>
      </c>
      <c r="P22" s="248">
        <f t="shared" si="5"/>
        <v>107.32204748169849</v>
      </c>
      <c r="Q22" s="229">
        <f t="shared" si="6"/>
        <v>108.28617864</v>
      </c>
      <c r="R22" s="186">
        <f t="shared" si="7"/>
        <v>-8.9835330290910127E-3</v>
      </c>
    </row>
    <row r="23" spans="2:18" x14ac:dyDescent="0.25">
      <c r="B23" t="s">
        <v>502</v>
      </c>
      <c r="C23" s="247">
        <v>8.8000000000000007</v>
      </c>
      <c r="E23" s="255">
        <f>+C23*94.66%</f>
        <v>8.3300800000000006</v>
      </c>
      <c r="F23" s="249">
        <f t="shared" si="0"/>
        <v>0.46992000000000012</v>
      </c>
      <c r="G23" s="183">
        <v>2.82</v>
      </c>
      <c r="I23">
        <f t="shared" si="1"/>
        <v>0.16663829787234047</v>
      </c>
      <c r="L23" s="252">
        <f t="shared" si="2"/>
        <v>50.706647790120819</v>
      </c>
      <c r="M23" s="248">
        <f t="shared" si="3"/>
        <v>2.8482000000000003</v>
      </c>
      <c r="N23" s="253">
        <f t="shared" si="4"/>
        <v>5.6170149756082186E-2</v>
      </c>
      <c r="P23" s="248">
        <f t="shared" si="5"/>
        <v>53.554847790120817</v>
      </c>
      <c r="Q23" s="229">
        <f t="shared" si="6"/>
        <v>53.837196159999998</v>
      </c>
      <c r="R23" s="186">
        <f t="shared" si="7"/>
        <v>-5.2721346718357176E-3</v>
      </c>
    </row>
    <row r="24" spans="2:18" x14ac:dyDescent="0.25">
      <c r="B24" t="s">
        <v>503</v>
      </c>
      <c r="C24" s="247">
        <v>1.1399999999999999</v>
      </c>
      <c r="E24" s="255">
        <f>+C24*93.12%</f>
        <v>1.0615679999999998</v>
      </c>
      <c r="F24" s="249">
        <f t="shared" si="0"/>
        <v>7.8432000000000057E-2</v>
      </c>
      <c r="G24" s="183">
        <v>0.47</v>
      </c>
      <c r="I24">
        <f t="shared" si="1"/>
        <v>0.16687659574468097</v>
      </c>
      <c r="L24" s="252">
        <f t="shared" si="2"/>
        <v>6.4619493067609159</v>
      </c>
      <c r="M24" s="248">
        <f t="shared" si="3"/>
        <v>0.47470000000000001</v>
      </c>
      <c r="N24" s="253">
        <f t="shared" si="4"/>
        <v>7.3460805318193642E-2</v>
      </c>
      <c r="P24" s="248">
        <f t="shared" si="5"/>
        <v>6.9366493067609163</v>
      </c>
      <c r="Q24" s="229">
        <f t="shared" si="6"/>
        <v>6.974364048</v>
      </c>
      <c r="R24" s="186">
        <f t="shared" si="7"/>
        <v>-5.4370257989436507E-3</v>
      </c>
    </row>
    <row r="25" spans="2:18" x14ac:dyDescent="0.25">
      <c r="B25" t="s">
        <v>504</v>
      </c>
      <c r="C25" s="247">
        <v>1.31</v>
      </c>
      <c r="E25" s="255">
        <f>+C25*95.34%</f>
        <v>1.2489540000000001</v>
      </c>
      <c r="F25" s="249">
        <f t="shared" si="0"/>
        <v>6.1045999999999934E-2</v>
      </c>
      <c r="G25" s="183">
        <v>0.37</v>
      </c>
      <c r="I25">
        <f t="shared" si="1"/>
        <v>0.16498918918918901</v>
      </c>
      <c r="L25" s="252">
        <f t="shared" si="2"/>
        <v>7.6026005253325986</v>
      </c>
      <c r="M25" s="248">
        <f t="shared" si="3"/>
        <v>0.37370000000000003</v>
      </c>
      <c r="N25" s="253">
        <f t="shared" si="4"/>
        <v>4.9154233311982598E-2</v>
      </c>
      <c r="P25" s="248">
        <f t="shared" si="5"/>
        <v>7.9763005253325989</v>
      </c>
      <c r="Q25" s="229">
        <f t="shared" si="6"/>
        <v>8.014400792</v>
      </c>
      <c r="R25" s="186">
        <f t="shared" si="7"/>
        <v>-4.7766839459465263E-3</v>
      </c>
    </row>
    <row r="26" spans="2:18" x14ac:dyDescent="0.25">
      <c r="B26" t="s">
        <v>505</v>
      </c>
      <c r="C26" s="247">
        <v>4.72</v>
      </c>
      <c r="E26" s="255">
        <f>+C26*73.7%</f>
        <v>3.47864</v>
      </c>
      <c r="F26" s="249">
        <f t="shared" si="0"/>
        <v>1.2413599999999998</v>
      </c>
      <c r="G26" s="183">
        <v>7.45</v>
      </c>
      <c r="I26">
        <f t="shared" si="1"/>
        <v>0.16662550335570467</v>
      </c>
      <c r="L26" s="252">
        <f t="shared" si="2"/>
        <v>21.175087546413227</v>
      </c>
      <c r="M26" s="248">
        <f t="shared" si="3"/>
        <v>7.5245000000000006</v>
      </c>
      <c r="N26" s="253">
        <f t="shared" si="4"/>
        <v>0.35534681892139564</v>
      </c>
      <c r="P26" s="248">
        <f t="shared" si="5"/>
        <v>28.699587546413227</v>
      </c>
      <c r="Q26" s="229">
        <f t="shared" si="6"/>
        <v>28.876314303999997</v>
      </c>
      <c r="R26" s="186">
        <f t="shared" si="7"/>
        <v>-6.1578152404095183E-3</v>
      </c>
    </row>
    <row r="27" spans="2:18" x14ac:dyDescent="0.25">
      <c r="B27" t="s">
        <v>506</v>
      </c>
      <c r="C27" s="247">
        <v>11.27</v>
      </c>
      <c r="E27" s="255">
        <v>11.27</v>
      </c>
      <c r="F27" s="249">
        <f t="shared" si="0"/>
        <v>0</v>
      </c>
      <c r="G27" s="183">
        <v>0</v>
      </c>
      <c r="I27" t="e">
        <f t="shared" si="1"/>
        <v>#DIV/0!</v>
      </c>
      <c r="L27" s="252">
        <f t="shared" si="2"/>
        <v>68.602452868959446</v>
      </c>
      <c r="M27" s="248">
        <f t="shared" si="3"/>
        <v>0</v>
      </c>
      <c r="N27" s="253">
        <f t="shared" si="4"/>
        <v>0</v>
      </c>
      <c r="P27" s="248">
        <f t="shared" si="5"/>
        <v>68.602452868959446</v>
      </c>
      <c r="Q27" s="229">
        <f t="shared" si="6"/>
        <v>68.948318263999994</v>
      </c>
      <c r="R27" s="186">
        <f t="shared" si="7"/>
        <v>-5.0415893393957849E-3</v>
      </c>
    </row>
    <row r="28" spans="2:18" x14ac:dyDescent="0.25">
      <c r="B28" t="s">
        <v>318</v>
      </c>
      <c r="C28" s="247">
        <v>3.84</v>
      </c>
      <c r="E28" s="255"/>
      <c r="F28" s="249">
        <f t="shared" si="0"/>
        <v>3.84</v>
      </c>
      <c r="G28" s="183">
        <v>23.03</v>
      </c>
      <c r="I28">
        <f t="shared" si="1"/>
        <v>0.16673903603994789</v>
      </c>
      <c r="L28" s="252">
        <f t="shared" si="2"/>
        <v>0</v>
      </c>
      <c r="M28" s="248">
        <f t="shared" si="3"/>
        <v>23.260300000000001</v>
      </c>
      <c r="N28" s="253">
        <f t="shared" si="4"/>
        <v>0</v>
      </c>
      <c r="P28" s="248">
        <f t="shared" si="5"/>
        <v>23.260300000000001</v>
      </c>
      <c r="Q28" s="229">
        <f t="shared" si="6"/>
        <v>23.492594688000001</v>
      </c>
      <c r="R28" s="186">
        <f t="shared" si="7"/>
        <v>-9.9867451408623114E-3</v>
      </c>
    </row>
    <row r="29" spans="2:18" x14ac:dyDescent="0.25">
      <c r="B29" t="s">
        <v>508</v>
      </c>
      <c r="C29" s="247">
        <v>14.92</v>
      </c>
      <c r="E29" s="255">
        <f>+C29*99.74%</f>
        <v>14.881207999999999</v>
      </c>
      <c r="F29" s="249">
        <f t="shared" si="0"/>
        <v>3.8792000000000826E-2</v>
      </c>
      <c r="G29" s="183">
        <v>0.24</v>
      </c>
      <c r="I29">
        <f t="shared" si="1"/>
        <v>0.16163333333333679</v>
      </c>
      <c r="L29" s="252">
        <f t="shared" si="2"/>
        <v>90.584504920424322</v>
      </c>
      <c r="M29" s="248">
        <f t="shared" si="3"/>
        <v>0.2424</v>
      </c>
      <c r="N29" s="253">
        <f t="shared" si="4"/>
        <v>2.6759543501721503E-3</v>
      </c>
      <c r="P29" s="248">
        <f t="shared" si="5"/>
        <v>90.826904920424326</v>
      </c>
      <c r="Q29" s="229">
        <f t="shared" si="6"/>
        <v>91.278518943999998</v>
      </c>
      <c r="R29" s="186">
        <f t="shared" si="7"/>
        <v>-4.9722494008943973E-3</v>
      </c>
    </row>
    <row r="30" spans="2:18" x14ac:dyDescent="0.25">
      <c r="B30" t="s">
        <v>80</v>
      </c>
      <c r="C30" s="247">
        <v>43.42</v>
      </c>
      <c r="E30" s="255">
        <f>+C30*93.49%</f>
        <v>40.593358000000002</v>
      </c>
      <c r="F30" s="249">
        <f t="shared" si="0"/>
        <v>2.8266419999999997</v>
      </c>
      <c r="G30" s="183">
        <v>16.96</v>
      </c>
      <c r="I30">
        <f t="shared" si="1"/>
        <v>0.1666652122641509</v>
      </c>
      <c r="L30" s="252">
        <f t="shared" si="2"/>
        <v>247.09884019412581</v>
      </c>
      <c r="M30" s="248">
        <f t="shared" si="3"/>
        <v>17.1296</v>
      </c>
      <c r="N30" s="253">
        <f t="shared" si="4"/>
        <v>6.9322866859847024E-2</v>
      </c>
      <c r="P30" s="248">
        <f t="shared" si="5"/>
        <v>264.22844019412582</v>
      </c>
      <c r="Q30" s="229">
        <f t="shared" si="6"/>
        <v>265.63762014399998</v>
      </c>
      <c r="R30" s="186">
        <f t="shared" si="7"/>
        <v>-5.3331880127621707E-3</v>
      </c>
    </row>
    <row r="31" spans="2:18" x14ac:dyDescent="0.25">
      <c r="B31" t="s">
        <v>449</v>
      </c>
      <c r="C31" s="247">
        <v>7.3</v>
      </c>
      <c r="E31" s="255">
        <f>+C31*89.64%</f>
        <v>6.5437199999999995</v>
      </c>
      <c r="F31" s="249">
        <f t="shared" si="0"/>
        <v>0.75628000000000029</v>
      </c>
      <c r="G31" s="183">
        <v>4.54</v>
      </c>
      <c r="I31">
        <f t="shared" si="1"/>
        <v>0.1665814977973569</v>
      </c>
      <c r="L31" s="252">
        <f t="shared" si="2"/>
        <v>39.832763344069853</v>
      </c>
      <c r="M31" s="248">
        <f t="shared" si="3"/>
        <v>4.5853999999999999</v>
      </c>
      <c r="N31" s="253">
        <f t="shared" si="4"/>
        <v>0.11511629159121987</v>
      </c>
      <c r="P31" s="248">
        <f t="shared" si="5"/>
        <v>44.418163344069853</v>
      </c>
      <c r="Q31" s="229">
        <f t="shared" si="6"/>
        <v>44.660401360000002</v>
      </c>
      <c r="R31" s="186">
        <f t="shared" si="7"/>
        <v>-5.4535801954199619E-3</v>
      </c>
    </row>
    <row r="32" spans="2:18" x14ac:dyDescent="0.25">
      <c r="B32" t="s">
        <v>509</v>
      </c>
      <c r="C32" s="247">
        <v>0.57999999999999996</v>
      </c>
      <c r="E32" s="255">
        <f>+C32</f>
        <v>0.57999999999999996</v>
      </c>
      <c r="F32" s="249">
        <f t="shared" si="0"/>
        <v>0</v>
      </c>
      <c r="G32" s="183">
        <v>0</v>
      </c>
      <c r="I32" t="e">
        <f t="shared" si="1"/>
        <v>#DIV/0!</v>
      </c>
      <c r="L32" s="252">
        <f t="shared" si="2"/>
        <v>3.5305610172135293</v>
      </c>
      <c r="M32" s="248">
        <f t="shared" si="3"/>
        <v>0</v>
      </c>
      <c r="N32" s="253">
        <f t="shared" si="4"/>
        <v>0</v>
      </c>
      <c r="P32" s="248">
        <f t="shared" si="5"/>
        <v>3.5305610172135293</v>
      </c>
      <c r="Q32" s="229">
        <f t="shared" si="6"/>
        <v>3.5483606559999998</v>
      </c>
      <c r="R32" s="186">
        <f t="shared" si="7"/>
        <v>-5.0415893393959089E-3</v>
      </c>
    </row>
    <row r="33" spans="2:18" x14ac:dyDescent="0.25">
      <c r="B33" t="s">
        <v>510</v>
      </c>
      <c r="C33" s="247">
        <v>130.22</v>
      </c>
      <c r="E33" s="255">
        <f>+C33*63.65%</f>
        <v>82.88503</v>
      </c>
      <c r="F33" s="249">
        <f t="shared" si="0"/>
        <v>47.334969999999998</v>
      </c>
      <c r="G33" s="183">
        <v>284</v>
      </c>
      <c r="I33">
        <f t="shared" si="1"/>
        <v>0.16667242957746478</v>
      </c>
      <c r="L33" s="252">
        <f t="shared" si="2"/>
        <v>504.53561349754125</v>
      </c>
      <c r="M33" s="248">
        <f t="shared" si="3"/>
        <v>286.84000000000003</v>
      </c>
      <c r="N33" s="253">
        <f t="shared" si="4"/>
        <v>0.56852280062366278</v>
      </c>
      <c r="P33" s="248">
        <f t="shared" si="5"/>
        <v>791.37561349754128</v>
      </c>
      <c r="Q33" s="229">
        <f t="shared" si="6"/>
        <v>796.66814590399997</v>
      </c>
      <c r="R33" s="186">
        <f t="shared" si="7"/>
        <v>-6.6877628223442013E-3</v>
      </c>
    </row>
    <row r="34" spans="2:18" x14ac:dyDescent="0.25">
      <c r="B34" t="s">
        <v>344</v>
      </c>
      <c r="C34" s="247">
        <v>24.09</v>
      </c>
      <c r="E34" s="255">
        <f>+C34</f>
        <v>24.09</v>
      </c>
      <c r="F34" s="249">
        <f t="shared" si="0"/>
        <v>0</v>
      </c>
      <c r="G34" s="183">
        <v>0</v>
      </c>
      <c r="I34" t="e">
        <f t="shared" si="1"/>
        <v>#DIV/0!</v>
      </c>
      <c r="L34" s="252">
        <f t="shared" si="2"/>
        <v>146.64002569771367</v>
      </c>
      <c r="M34" s="248">
        <f t="shared" si="3"/>
        <v>0</v>
      </c>
      <c r="N34" s="253">
        <f t="shared" si="4"/>
        <v>0</v>
      </c>
      <c r="P34" s="248">
        <f t="shared" si="5"/>
        <v>146.64002569771367</v>
      </c>
      <c r="Q34" s="229">
        <f t="shared" si="6"/>
        <v>147.37932448800001</v>
      </c>
      <c r="R34" s="186">
        <f t="shared" si="7"/>
        <v>-5.0415893393959479E-3</v>
      </c>
    </row>
    <row r="35" spans="2:18" x14ac:dyDescent="0.25">
      <c r="B35" t="s">
        <v>511</v>
      </c>
      <c r="C35" s="247">
        <v>5.59</v>
      </c>
      <c r="E35" s="255">
        <f>+C35</f>
        <v>5.59</v>
      </c>
      <c r="F35" s="249">
        <f t="shared" si="0"/>
        <v>0</v>
      </c>
      <c r="G35" s="183">
        <v>0</v>
      </c>
      <c r="I35" t="e">
        <f t="shared" si="1"/>
        <v>#DIV/0!</v>
      </c>
      <c r="L35" s="252">
        <f t="shared" si="2"/>
        <v>34.027303596937294</v>
      </c>
      <c r="M35" s="248">
        <f t="shared" si="3"/>
        <v>0</v>
      </c>
      <c r="N35" s="253">
        <f t="shared" si="4"/>
        <v>0</v>
      </c>
      <c r="P35" s="248">
        <f t="shared" si="5"/>
        <v>34.027303596937294</v>
      </c>
      <c r="Q35" s="229">
        <f t="shared" si="6"/>
        <v>34.198855287999997</v>
      </c>
      <c r="R35" s="186">
        <f t="shared" si="7"/>
        <v>-5.0415893393957901E-3</v>
      </c>
    </row>
    <row r="36" spans="2:18" x14ac:dyDescent="0.25">
      <c r="B36" t="s">
        <v>345</v>
      </c>
      <c r="C36" s="247">
        <v>16.52</v>
      </c>
      <c r="E36" s="255">
        <f>+C36*98.07%</f>
        <v>16.201163999999999</v>
      </c>
      <c r="F36" s="249">
        <f t="shared" si="0"/>
        <v>0.31883600000000101</v>
      </c>
      <c r="G36" s="183">
        <v>1.91</v>
      </c>
      <c r="I36">
        <f t="shared" si="1"/>
        <v>0.16692984293193772</v>
      </c>
      <c r="L36" s="252">
        <f t="shared" si="2"/>
        <v>98.619306986005526</v>
      </c>
      <c r="M36" s="248">
        <f t="shared" si="3"/>
        <v>1.9291</v>
      </c>
      <c r="N36" s="253">
        <f t="shared" si="4"/>
        <v>1.9561078443531825E-2</v>
      </c>
      <c r="P36" s="248">
        <f t="shared" si="5"/>
        <v>100.54840698600553</v>
      </c>
      <c r="Q36" s="229">
        <f t="shared" si="6"/>
        <v>101.067100064</v>
      </c>
      <c r="R36" s="186">
        <f t="shared" si="7"/>
        <v>-5.158640435413986E-3</v>
      </c>
    </row>
    <row r="37" spans="2:18" x14ac:dyDescent="0.25">
      <c r="B37" t="s">
        <v>512</v>
      </c>
      <c r="C37" s="247">
        <v>90.73</v>
      </c>
      <c r="E37" s="255">
        <f>+C37*98.15%</f>
        <v>89.051495000000003</v>
      </c>
      <c r="F37" s="249">
        <f t="shared" si="0"/>
        <v>1.6785050000000012</v>
      </c>
      <c r="G37" s="183">
        <v>10.09</v>
      </c>
      <c r="I37">
        <f t="shared" si="1"/>
        <v>0.16635332011892975</v>
      </c>
      <c r="L37" s="252">
        <f t="shared" si="2"/>
        <v>542.0719599510096</v>
      </c>
      <c r="M37" s="248">
        <f t="shared" si="3"/>
        <v>10.190900000000001</v>
      </c>
      <c r="N37" s="253">
        <f t="shared" si="4"/>
        <v>1.879990250910786E-2</v>
      </c>
      <c r="P37" s="248">
        <f>+M37+L37</f>
        <v>552.26285995100966</v>
      </c>
      <c r="Q37" s="229">
        <f t="shared" si="6"/>
        <v>555.073728136</v>
      </c>
      <c r="R37" s="186">
        <f t="shared" si="7"/>
        <v>-5.0897288027655675E-3</v>
      </c>
    </row>
    <row r="38" spans="2:18" x14ac:dyDescent="0.25">
      <c r="C38" s="194"/>
    </row>
    <row r="39" spans="2:18" x14ac:dyDescent="0.25">
      <c r="C39" s="194"/>
      <c r="E39" s="194">
        <f>+C39*0.74%</f>
        <v>0</v>
      </c>
      <c r="G39">
        <v>23.75</v>
      </c>
    </row>
    <row r="40" spans="2:18" x14ac:dyDescent="0.25">
      <c r="E40" s="194">
        <f>+C40*70.26%</f>
        <v>0</v>
      </c>
      <c r="G40">
        <v>11.14</v>
      </c>
    </row>
    <row r="41" spans="2:18" x14ac:dyDescent="0.25">
      <c r="E41" s="194">
        <f>+C41*0.49%</f>
        <v>0</v>
      </c>
      <c r="G41">
        <v>112.29</v>
      </c>
    </row>
    <row r="42" spans="2:18" x14ac:dyDescent="0.25">
      <c r="E42" s="194">
        <f>+C42*92.53%</f>
        <v>0</v>
      </c>
      <c r="G42">
        <v>4.1900000000000004</v>
      </c>
    </row>
    <row r="47" spans="2:18" x14ac:dyDescent="0.25">
      <c r="D47" s="230">
        <f>+SUM(L4:L37)</f>
        <v>10501.610143273077</v>
      </c>
      <c r="E47" s="194" t="s">
        <v>546</v>
      </c>
    </row>
  </sheetData>
  <conditionalFormatting sqref="N4:N37">
    <cfRule type="cellIs" dxfId="0" priority="1" operator="equal">
      <formula>0</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9CF0-41E5-42A6-A8D5-CF8C8AC8C48F}">
  <dimension ref="A1:B14"/>
  <sheetViews>
    <sheetView workbookViewId="0"/>
  </sheetViews>
  <sheetFormatPr baseColWidth="10" defaultRowHeight="15" x14ac:dyDescent="0.25"/>
  <cols>
    <col min="1" max="2" width="12" bestFit="1" customWidth="1"/>
  </cols>
  <sheetData>
    <row r="1" spans="1:2" x14ac:dyDescent="0.25">
      <c r="A1" t="s">
        <v>569</v>
      </c>
      <c r="B1" t="s">
        <v>570</v>
      </c>
    </row>
    <row r="2" spans="1:2" x14ac:dyDescent="0.25">
      <c r="A2">
        <v>2018.0231850117098</v>
      </c>
      <c r="B2">
        <v>8114.7540983606559</v>
      </c>
    </row>
    <row r="3" spans="1:2" x14ac:dyDescent="0.25">
      <c r="A3">
        <v>2018.9135831381734</v>
      </c>
      <c r="B3">
        <v>19754.098360655738</v>
      </c>
    </row>
    <row r="4" spans="1:2" x14ac:dyDescent="0.25">
      <c r="A4">
        <v>2020.027400468384</v>
      </c>
      <c r="B4">
        <v>9590.163934426233</v>
      </c>
    </row>
    <row r="5" spans="1:2" x14ac:dyDescent="0.25">
      <c r="A5">
        <v>2021.0482435597191</v>
      </c>
      <c r="B5">
        <v>16885.245901639348</v>
      </c>
    </row>
    <row r="6" spans="1:2" x14ac:dyDescent="0.25">
      <c r="A6">
        <v>2022.0573770491803</v>
      </c>
      <c r="B6">
        <v>20081.967213114756</v>
      </c>
    </row>
    <row r="7" spans="1:2" x14ac:dyDescent="0.25">
      <c r="A7">
        <v>2023.1257611241219</v>
      </c>
      <c r="B7">
        <v>19016.393442622953</v>
      </c>
    </row>
    <row r="8" spans="1:2" x14ac:dyDescent="0.25">
      <c r="A8">
        <v>2023.9777517564403</v>
      </c>
      <c r="B8">
        <v>17213.114754098362</v>
      </c>
    </row>
    <row r="9" spans="1:2" x14ac:dyDescent="0.25">
      <c r="A9">
        <v>2024.9744730679158</v>
      </c>
      <c r="B9">
        <v>16065.573770491805</v>
      </c>
    </row>
    <row r="10" spans="1:2" x14ac:dyDescent="0.25">
      <c r="A10">
        <v>2029.9601873536301</v>
      </c>
      <c r="B10">
        <v>11065.573770491806</v>
      </c>
    </row>
    <row r="11" spans="1:2" x14ac:dyDescent="0.25">
      <c r="A11">
        <v>2035.0222482435597</v>
      </c>
      <c r="B11">
        <v>7786.8852459016416</v>
      </c>
    </row>
    <row r="12" spans="1:2" x14ac:dyDescent="0.25">
      <c r="A12">
        <v>2039.9440281030445</v>
      </c>
      <c r="B12">
        <v>5409.8360655737706</v>
      </c>
    </row>
    <row r="13" spans="1:2" x14ac:dyDescent="0.25">
      <c r="A13">
        <v>2045.0110070257613</v>
      </c>
      <c r="B13">
        <v>3852.4590163934445</v>
      </c>
    </row>
    <row r="14" spans="1:2" x14ac:dyDescent="0.25">
      <c r="A14">
        <v>2047.9374707259954</v>
      </c>
      <c r="B14">
        <v>3114.7540983606559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4BD2A-EC50-4959-85F2-E5E23D1683AA}">
  <dimension ref="B3:B16"/>
  <sheetViews>
    <sheetView showGridLines="0" zoomScale="145" zoomScaleNormal="145" workbookViewId="0">
      <selection activeCell="F4" sqref="F4"/>
    </sheetView>
  </sheetViews>
  <sheetFormatPr baseColWidth="10" defaultRowHeight="15" x14ac:dyDescent="0.25"/>
  <sheetData>
    <row r="3" spans="2:2" x14ac:dyDescent="0.25">
      <c r="B3" t="s">
        <v>555</v>
      </c>
    </row>
    <row r="4" spans="2:2" x14ac:dyDescent="0.25">
      <c r="B4" t="s">
        <v>556</v>
      </c>
    </row>
    <row r="5" spans="2:2" x14ac:dyDescent="0.25">
      <c r="B5" t="s">
        <v>557</v>
      </c>
    </row>
    <row r="6" spans="2:2" x14ac:dyDescent="0.25">
      <c r="B6" t="s">
        <v>558</v>
      </c>
    </row>
    <row r="7" spans="2:2" x14ac:dyDescent="0.25">
      <c r="B7" t="s">
        <v>559</v>
      </c>
    </row>
    <row r="8" spans="2:2" x14ac:dyDescent="0.25">
      <c r="B8" t="s">
        <v>560</v>
      </c>
    </row>
    <row r="9" spans="2:2" x14ac:dyDescent="0.25">
      <c r="B9" t="s">
        <v>561</v>
      </c>
    </row>
    <row r="10" spans="2:2" x14ac:dyDescent="0.25">
      <c r="B10" t="s">
        <v>562</v>
      </c>
    </row>
    <row r="11" spans="2:2" x14ac:dyDescent="0.25">
      <c r="B11" t="s">
        <v>563</v>
      </c>
    </row>
    <row r="12" spans="2:2" x14ac:dyDescent="0.25">
      <c r="B12" t="s">
        <v>564</v>
      </c>
    </row>
    <row r="13" spans="2:2" x14ac:dyDescent="0.25">
      <c r="B13" t="s">
        <v>565</v>
      </c>
    </row>
    <row r="14" spans="2:2" x14ac:dyDescent="0.25">
      <c r="B14" t="s">
        <v>566</v>
      </c>
    </row>
    <row r="15" spans="2:2" x14ac:dyDescent="0.25">
      <c r="B15" t="s">
        <v>567</v>
      </c>
    </row>
    <row r="16" spans="2:2" x14ac:dyDescent="0.25">
      <c r="B16" t="s">
        <v>568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96D657-DB62-4DE6-B95C-0D6EA3A783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Gasfield</vt:lpstr>
      <vt:lpstr>Oilfields</vt:lpstr>
      <vt:lpstr>General Oil_Gas_fields</vt:lpstr>
      <vt:lpstr>BD</vt:lpstr>
      <vt:lpstr>Compracion (2)</vt:lpstr>
      <vt:lpstr>Compracion</vt:lpstr>
      <vt:lpstr>GlobalData</vt:lpstr>
      <vt:lpstr>Datos de Imagenes</vt:lpstr>
      <vt:lpstr>Akacias_</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2022-11-23T15:09:53Z</dcterms:modified>
</cp:coreProperties>
</file>