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"/>
    </mc:Choice>
  </mc:AlternateContent>
  <xr:revisionPtr revIDLastSave="0" documentId="13_ncr:1_{4B93EDBB-608E-4E22-A24E-E2703A75896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m" sheetId="1" r:id="rId1"/>
    <sheet name="Proc" sheetId="4" r:id="rId2"/>
    <sheet name="1. EXP_IMP" sheetId="5" r:id="rId3"/>
    <sheet name="1. DEM" sheetId="3" r:id="rId4"/>
    <sheet name="Hoja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5" l="1"/>
  <c r="N51" i="5"/>
  <c r="O51" i="5"/>
  <c r="P51" i="5"/>
  <c r="Q51" i="5"/>
  <c r="R51" i="5"/>
  <c r="S51" i="5"/>
  <c r="T51" i="5"/>
  <c r="N52" i="5"/>
  <c r="O52" i="5"/>
  <c r="P52" i="5"/>
  <c r="Q52" i="5"/>
  <c r="R52" i="5"/>
  <c r="S52" i="5"/>
  <c r="T52" i="5"/>
  <c r="N53" i="5"/>
  <c r="O53" i="5"/>
  <c r="P53" i="5"/>
  <c r="Q53" i="5"/>
  <c r="R53" i="5"/>
  <c r="S53" i="5"/>
  <c r="T53" i="5"/>
  <c r="N54" i="5"/>
  <c r="O54" i="5"/>
  <c r="P54" i="5"/>
  <c r="Q54" i="5"/>
  <c r="R54" i="5"/>
  <c r="S54" i="5"/>
  <c r="T54" i="5"/>
  <c r="N55" i="5"/>
  <c r="O55" i="5"/>
  <c r="P55" i="5"/>
  <c r="Q55" i="5"/>
  <c r="R55" i="5"/>
  <c r="S55" i="5"/>
  <c r="T55" i="5"/>
  <c r="N56" i="5"/>
  <c r="O56" i="5"/>
  <c r="P56" i="5"/>
  <c r="Q56" i="5"/>
  <c r="R56" i="5"/>
  <c r="S56" i="5"/>
  <c r="T56" i="5"/>
  <c r="N57" i="5"/>
  <c r="O57" i="5"/>
  <c r="P57" i="5"/>
  <c r="Q57" i="5"/>
  <c r="R57" i="5"/>
  <c r="S57" i="5"/>
  <c r="T57" i="5"/>
  <c r="N58" i="5"/>
  <c r="O58" i="5"/>
  <c r="P58" i="5"/>
  <c r="Q58" i="5"/>
  <c r="R58" i="5"/>
  <c r="S58" i="5"/>
  <c r="T58" i="5"/>
  <c r="N59" i="5"/>
  <c r="O59" i="5"/>
  <c r="P59" i="5"/>
  <c r="Q59" i="5"/>
  <c r="R59" i="5"/>
  <c r="S59" i="5"/>
  <c r="T59" i="5"/>
  <c r="N60" i="5"/>
  <c r="O60" i="5"/>
  <c r="P60" i="5"/>
  <c r="Q60" i="5"/>
  <c r="R60" i="5"/>
  <c r="S60" i="5"/>
  <c r="T60" i="5"/>
  <c r="N61" i="5"/>
  <c r="O61" i="5"/>
  <c r="P61" i="5"/>
  <c r="Q61" i="5"/>
  <c r="R61" i="5"/>
  <c r="S61" i="5"/>
  <c r="T61" i="5"/>
  <c r="M51" i="5"/>
  <c r="M49" i="5"/>
  <c r="M48" i="5"/>
  <c r="M47" i="5"/>
  <c r="M39" i="5"/>
  <c r="N126" i="5"/>
  <c r="L116" i="5"/>
  <c r="M116" i="5"/>
  <c r="N116" i="5"/>
  <c r="O116" i="5"/>
  <c r="R40" i="5" s="1"/>
  <c r="P116" i="5"/>
  <c r="Q116" i="5"/>
  <c r="L117" i="5"/>
  <c r="M117" i="5"/>
  <c r="P41" i="5" s="1"/>
  <c r="N117" i="5"/>
  <c r="O117" i="5"/>
  <c r="P117" i="5"/>
  <c r="Q117" i="5"/>
  <c r="T41" i="5" s="1"/>
  <c r="L118" i="5"/>
  <c r="M118" i="5"/>
  <c r="N118" i="5"/>
  <c r="Q42" i="5" s="1"/>
  <c r="O118" i="5"/>
  <c r="R42" i="5" s="1"/>
  <c r="P118" i="5"/>
  <c r="Q118" i="5"/>
  <c r="L119" i="5"/>
  <c r="O43" i="5" s="1"/>
  <c r="M119" i="5"/>
  <c r="P43" i="5" s="1"/>
  <c r="N119" i="5"/>
  <c r="O119" i="5"/>
  <c r="P119" i="5"/>
  <c r="S43" i="5" s="1"/>
  <c r="Q119" i="5"/>
  <c r="T43" i="5" s="1"/>
  <c r="L120" i="5"/>
  <c r="M120" i="5"/>
  <c r="N120" i="5"/>
  <c r="Q44" i="5" s="1"/>
  <c r="O120" i="5"/>
  <c r="R44" i="5" s="1"/>
  <c r="P120" i="5"/>
  <c r="Q120" i="5"/>
  <c r="L121" i="5"/>
  <c r="O45" i="5" s="1"/>
  <c r="M121" i="5"/>
  <c r="P45" i="5" s="1"/>
  <c r="N121" i="5"/>
  <c r="O121" i="5"/>
  <c r="P121" i="5"/>
  <c r="S45" i="5" s="1"/>
  <c r="Q121" i="5"/>
  <c r="T45" i="5" s="1"/>
  <c r="L122" i="5"/>
  <c r="M122" i="5"/>
  <c r="N122" i="5"/>
  <c r="Q46" i="5" s="1"/>
  <c r="O122" i="5"/>
  <c r="P122" i="5"/>
  <c r="Q122" i="5"/>
  <c r="L123" i="5"/>
  <c r="M123" i="5"/>
  <c r="N123" i="5"/>
  <c r="O123" i="5"/>
  <c r="P123" i="5"/>
  <c r="Q123" i="5"/>
  <c r="L124" i="5"/>
  <c r="M124" i="5"/>
  <c r="N124" i="5"/>
  <c r="O124" i="5"/>
  <c r="P124" i="5"/>
  <c r="Q124" i="5"/>
  <c r="L125" i="5"/>
  <c r="M125" i="5"/>
  <c r="N125" i="5"/>
  <c r="O125" i="5"/>
  <c r="P125" i="5"/>
  <c r="Q125" i="5"/>
  <c r="L126" i="5"/>
  <c r="M126" i="5"/>
  <c r="Q47" i="5"/>
  <c r="O126" i="5"/>
  <c r="R47" i="5" s="1"/>
  <c r="P126" i="5"/>
  <c r="Q126" i="5"/>
  <c r="Q115" i="5"/>
  <c r="P115" i="5"/>
  <c r="S39" i="5" s="1"/>
  <c r="O115" i="5"/>
  <c r="N115" i="5"/>
  <c r="M115" i="5"/>
  <c r="L115" i="5"/>
  <c r="K121" i="5"/>
  <c r="K116" i="5"/>
  <c r="K117" i="5"/>
  <c r="N41" i="5" s="1"/>
  <c r="K118" i="5"/>
  <c r="K119" i="5"/>
  <c r="N43" i="5" s="1"/>
  <c r="K120" i="5"/>
  <c r="N45" i="5"/>
  <c r="K122" i="5"/>
  <c r="K123" i="5"/>
  <c r="K124" i="5"/>
  <c r="K125" i="5"/>
  <c r="K126" i="5"/>
  <c r="K115" i="5"/>
  <c r="N39" i="5" s="1"/>
  <c r="J115" i="5"/>
  <c r="J126" i="5"/>
  <c r="J116" i="5"/>
  <c r="M40" i="5" s="1"/>
  <c r="J117" i="5"/>
  <c r="J118" i="5"/>
  <c r="J119" i="5"/>
  <c r="M43" i="5" s="1"/>
  <c r="J120" i="5"/>
  <c r="M44" i="5" s="1"/>
  <c r="J121" i="5"/>
  <c r="J122" i="5"/>
  <c r="J123" i="5"/>
  <c r="J124" i="5"/>
  <c r="J125" i="5"/>
  <c r="P39" i="5"/>
  <c r="O39" i="5"/>
  <c r="T3" i="5"/>
  <c r="R2" i="5"/>
  <c r="R3" i="5" s="1"/>
  <c r="O48" i="5"/>
  <c r="P48" i="5"/>
  <c r="O49" i="5"/>
  <c r="P49" i="5"/>
  <c r="Q39" i="5"/>
  <c r="R39" i="5"/>
  <c r="T39" i="5"/>
  <c r="N40" i="5"/>
  <c r="O40" i="5"/>
  <c r="P40" i="5"/>
  <c r="Q40" i="5"/>
  <c r="S40" i="5"/>
  <c r="T40" i="5"/>
  <c r="O41" i="5"/>
  <c r="Q41" i="5"/>
  <c r="R41" i="5"/>
  <c r="S41" i="5"/>
  <c r="N42" i="5"/>
  <c r="O42" i="5"/>
  <c r="P42" i="5"/>
  <c r="S42" i="5"/>
  <c r="T42" i="5"/>
  <c r="Q43" i="5"/>
  <c r="R43" i="5"/>
  <c r="N44" i="5"/>
  <c r="O44" i="5"/>
  <c r="P44" i="5"/>
  <c r="S44" i="5"/>
  <c r="T44" i="5"/>
  <c r="Q45" i="5"/>
  <c r="R45" i="5"/>
  <c r="N46" i="5"/>
  <c r="O46" i="5"/>
  <c r="P46" i="5"/>
  <c r="R46" i="5"/>
  <c r="S46" i="5"/>
  <c r="T46" i="5"/>
  <c r="N47" i="5"/>
  <c r="O47" i="5"/>
  <c r="P47" i="5"/>
  <c r="S47" i="5"/>
  <c r="T47" i="5"/>
  <c r="M42" i="5"/>
  <c r="M41" i="5"/>
  <c r="M45" i="5"/>
  <c r="M46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AJ104" i="5"/>
  <c r="AK104" i="5"/>
  <c r="AL104" i="5"/>
  <c r="AM104" i="5"/>
  <c r="AN104" i="5"/>
  <c r="AO104" i="5"/>
  <c r="J104" i="5"/>
  <c r="L73" i="5"/>
  <c r="K74" i="5"/>
  <c r="L74" i="5" s="1"/>
  <c r="J82" i="5"/>
  <c r="J81" i="5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8" i="5"/>
  <c r="T18" i="5" s="1"/>
  <c r="Q49" i="5" l="1"/>
  <c r="M74" i="5"/>
  <c r="AA105" i="5" s="1"/>
  <c r="T106" i="5"/>
  <c r="K75" i="5"/>
  <c r="L75" i="5" s="1"/>
  <c r="M75" i="5" s="1"/>
  <c r="AM106" i="5" s="1"/>
  <c r="S8" i="5"/>
  <c r="T8" i="5" s="1"/>
  <c r="R17" i="5"/>
  <c r="S17" i="5" s="1"/>
  <c r="T17" i="5" s="1"/>
  <c r="I34" i="3"/>
  <c r="I33" i="3"/>
  <c r="I32" i="3"/>
  <c r="I31" i="3"/>
  <c r="I30" i="3"/>
  <c r="I67" i="3" a="1"/>
  <c r="I67" i="3" s="1"/>
  <c r="L105" i="5" l="1"/>
  <c r="N106" i="5"/>
  <c r="X105" i="5"/>
  <c r="S105" i="5"/>
  <c r="O105" i="5"/>
  <c r="N105" i="5"/>
  <c r="AB105" i="5"/>
  <c r="L106" i="5"/>
  <c r="N48" i="5"/>
  <c r="AN105" i="5"/>
  <c r="J106" i="5"/>
  <c r="AI105" i="5"/>
  <c r="V105" i="5"/>
  <c r="W106" i="5"/>
  <c r="AB106" i="5"/>
  <c r="R106" i="5"/>
  <c r="P105" i="5"/>
  <c r="AF105" i="5"/>
  <c r="O106" i="5"/>
  <c r="S106" i="5"/>
  <c r="AD105" i="5"/>
  <c r="AC105" i="5"/>
  <c r="AJ106" i="5"/>
  <c r="J105" i="5"/>
  <c r="T105" i="5"/>
  <c r="AJ105" i="5"/>
  <c r="Q48" i="5"/>
  <c r="AL105" i="5"/>
  <c r="S48" i="5"/>
  <c r="T49" i="5"/>
  <c r="V106" i="5"/>
  <c r="AD106" i="5"/>
  <c r="AL106" i="5"/>
  <c r="U106" i="5"/>
  <c r="M106" i="5"/>
  <c r="Y106" i="5"/>
  <c r="AG106" i="5"/>
  <c r="AO106" i="5"/>
  <c r="AK106" i="5"/>
  <c r="Q106" i="5"/>
  <c r="Z106" i="5"/>
  <c r="AH106" i="5"/>
  <c r="S49" i="5"/>
  <c r="AC106" i="5"/>
  <c r="X106" i="5"/>
  <c r="AN106" i="5"/>
  <c r="AA106" i="5"/>
  <c r="M61" i="5"/>
  <c r="Z105" i="5"/>
  <c r="K105" i="5"/>
  <c r="AE106" i="5"/>
  <c r="P106" i="5"/>
  <c r="AF106" i="5"/>
  <c r="M60" i="5"/>
  <c r="Q105" i="5"/>
  <c r="Y105" i="5"/>
  <c r="AG105" i="5"/>
  <c r="AO105" i="5"/>
  <c r="W105" i="5"/>
  <c r="T48" i="5"/>
  <c r="R48" i="5"/>
  <c r="AE105" i="5"/>
  <c r="U105" i="5"/>
  <c r="M105" i="5"/>
  <c r="AM105" i="5"/>
  <c r="N49" i="5"/>
  <c r="AI106" i="5"/>
  <c r="R105" i="5"/>
  <c r="AH105" i="5"/>
  <c r="K106" i="5"/>
  <c r="AK105" i="5"/>
  <c r="R49" i="5"/>
  <c r="Z30" i="1" a="1"/>
  <c r="Z30" i="1" s="1"/>
  <c r="P24" i="3"/>
  <c r="P25" i="3"/>
  <c r="I25" i="3"/>
  <c r="I24" i="3"/>
  <c r="H18" i="3"/>
  <c r="H16" i="3"/>
  <c r="I19" i="3"/>
  <c r="M52" i="5"/>
  <c r="M53" i="5"/>
  <c r="M54" i="5"/>
  <c r="M55" i="5"/>
  <c r="M56" i="5"/>
  <c r="M57" i="5"/>
  <c r="M58" i="5"/>
  <c r="M59" i="5"/>
  <c r="E41" i="5"/>
  <c r="E42" i="5" s="1"/>
  <c r="E43" i="5" s="1"/>
  <c r="I50" i="5"/>
  <c r="I62" i="5"/>
  <c r="K20" i="5" a="1"/>
  <c r="K20" i="5" s="1"/>
  <c r="K8" i="5" a="1"/>
  <c r="K8" i="5" s="1"/>
  <c r="J20" i="5" a="1"/>
  <c r="J20" i="5" s="1"/>
  <c r="I51" i="5" s="1"/>
  <c r="K51" i="5" s="1"/>
  <c r="J8" i="5" a="1"/>
  <c r="J8" i="5" s="1"/>
  <c r="I39" i="5" s="1"/>
  <c r="J39" i="5" s="1"/>
  <c r="C8" i="3" a="1"/>
  <c r="C8" i="3" s="1"/>
  <c r="J24" i="3" s="1"/>
  <c r="O64" i="4" a="1"/>
  <c r="O64" i="4" s="1"/>
  <c r="O54" i="4" a="1"/>
  <c r="O54" i="4" s="1"/>
  <c r="N64" i="4" a="1"/>
  <c r="N64" i="4" s="1"/>
  <c r="N54" i="4" a="1"/>
  <c r="N54" i="4" s="1"/>
  <c r="O44" i="4" a="1"/>
  <c r="O44" i="4" s="1"/>
  <c r="O34" i="4" a="1"/>
  <c r="O34" i="4" s="1"/>
  <c r="N34" i="4" a="1"/>
  <c r="N34" i="4" s="1"/>
  <c r="O24" i="4" a="1"/>
  <c r="O24" i="4" s="1"/>
  <c r="N44" i="4" a="1"/>
  <c r="N44" i="4" s="1"/>
  <c r="N24" i="4" a="1"/>
  <c r="N24" i="4" s="1"/>
  <c r="E24" i="4" a="1"/>
  <c r="E24" i="4" s="1"/>
  <c r="D24" i="4" a="1"/>
  <c r="D24" i="4" s="1"/>
  <c r="M50" i="5" l="1"/>
  <c r="M62" i="5" s="1"/>
  <c r="I44" i="5"/>
  <c r="J44" i="5" s="1"/>
  <c r="I48" i="5"/>
  <c r="J48" i="5" s="1"/>
  <c r="I40" i="5"/>
  <c r="J40" i="5" s="1"/>
  <c r="I55" i="5"/>
  <c r="K55" i="5" s="1"/>
  <c r="I60" i="5"/>
  <c r="K60" i="5" s="1"/>
  <c r="I52" i="5"/>
  <c r="K52" i="5" s="1"/>
  <c r="I59" i="5"/>
  <c r="K59" i="5" s="1"/>
  <c r="I56" i="5"/>
  <c r="K56" i="5" s="1"/>
  <c r="J25" i="3"/>
  <c r="I47" i="5"/>
  <c r="J47" i="5" s="1"/>
  <c r="I58" i="5"/>
  <c r="K58" i="5" s="1"/>
  <c r="I54" i="5"/>
  <c r="K54" i="5" s="1"/>
  <c r="I46" i="5"/>
  <c r="J46" i="5" s="1"/>
  <c r="I42" i="5"/>
  <c r="J42" i="5" s="1"/>
  <c r="I43" i="5"/>
  <c r="J43" i="5" s="1"/>
  <c r="I61" i="5"/>
  <c r="K61" i="5" s="1"/>
  <c r="I57" i="5"/>
  <c r="K57" i="5" s="1"/>
  <c r="I53" i="5"/>
  <c r="K53" i="5" s="1"/>
  <c r="I49" i="5"/>
  <c r="J49" i="5" s="1"/>
  <c r="I45" i="5"/>
  <c r="J45" i="5" s="1"/>
  <c r="I41" i="5"/>
  <c r="J41" i="5" s="1"/>
  <c r="J8" i="3"/>
  <c r="H8" i="3" s="1"/>
  <c r="P8" i="3" s="1"/>
  <c r="J7" i="3"/>
  <c r="H7" i="3" s="1"/>
  <c r="P7" i="3" s="1"/>
  <c r="J6" i="3"/>
  <c r="H6" i="3" s="1"/>
  <c r="P6" i="3" s="1"/>
  <c r="J10" i="3"/>
  <c r="H10" i="3" s="1"/>
  <c r="P10" i="3" s="1"/>
  <c r="J9" i="3"/>
  <c r="H9" i="3" s="1"/>
  <c r="P9" i="3" s="1"/>
  <c r="E70" i="1" l="1" a="1"/>
  <c r="E70" i="1" s="1"/>
  <c r="D70" i="1" a="1"/>
  <c r="D70" i="1" s="1"/>
  <c r="D60" i="1" a="1"/>
  <c r="D60" i="1" s="1"/>
  <c r="D50" i="1" a="1"/>
  <c r="D50" i="1" s="1"/>
  <c r="D40" i="1" a="1"/>
  <c r="D40" i="1" s="1"/>
  <c r="D30" i="1" a="1"/>
  <c r="D30" i="1" s="1"/>
  <c r="D20" i="1" a="1"/>
  <c r="D20" i="1" s="1"/>
  <c r="AL32" i="1" a="1"/>
  <c r="AL32" i="1" s="1"/>
  <c r="AA25" i="1" a="1"/>
  <c r="AA25" i="1" s="1"/>
  <c r="AA20" i="1" a="1"/>
  <c r="AA20" i="1" s="1"/>
  <c r="Z25" i="1" a="1"/>
  <c r="Z25" i="1" s="1"/>
  <c r="Z20" i="1" a="1"/>
  <c r="Z20" i="1" s="1"/>
  <c r="AL20" i="1" a="1"/>
  <c r="AL20" i="1" s="1"/>
  <c r="AK20" i="1" a="1"/>
  <c r="AK20" i="1" s="1"/>
  <c r="O27" i="1" a="1"/>
  <c r="O27" i="1" s="1"/>
  <c r="O20" i="1" a="1"/>
  <c r="O20" i="1" s="1"/>
  <c r="E60" i="1" a="1"/>
  <c r="E60" i="1" s="1"/>
  <c r="E50" i="1" a="1"/>
  <c r="E50" i="1" s="1"/>
  <c r="E40" i="1" a="1"/>
  <c r="E40" i="1" s="1"/>
  <c r="E30" i="1" a="1"/>
  <c r="E30" i="1" s="1"/>
  <c r="E20" i="1" a="1"/>
  <c r="E20" i="1" s="1"/>
  <c r="AK32" i="1" l="1" a="1"/>
  <c r="AK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18" authorId="0" shapeId="0" xr:uid="{B7717D36-0AF0-4966-8274-7CBEA83D1C7E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18" authorId="1" shapeId="0" xr:uid="{56DDD958-119C-4F0D-8B02-EB974B61E1C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18" authorId="2" shapeId="0" xr:uid="{4F71762A-E5C0-4B85-85D7-2AEE664D84F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2" shapeId="0" xr:uid="{2218E4E4-5A22-4CAC-B4FF-11B08DBC780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18" authorId="2" shapeId="0" xr:uid="{86AFA4CE-899A-4FFB-A2A9-59EF4E11270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18" authorId="0" shapeId="0" xr:uid="{E93EC8C9-0A61-4807-ADC2-E0F1403645E7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18" authorId="1" shapeId="0" xr:uid="{EDBB9FC2-F48C-4E85-B7BE-FE70AB9366E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18" authorId="2" shapeId="0" xr:uid="{1F1B658A-BA84-4109-96BF-CD822026793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18" authorId="2" shapeId="0" xr:uid="{0B893C8F-B41F-4FF3-87AD-D3043A47E657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18" authorId="2" shapeId="0" xr:uid="{80002541-6746-4D48-BDBA-0D36FC19DA04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X18" authorId="0" shapeId="0" xr:uid="{00C86676-F7A1-4490-A86B-7B48C827E6B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18" authorId="1" shapeId="0" xr:uid="{8B1A213A-B020-4302-AD53-77C98EC30F3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18" authorId="2" shapeId="0" xr:uid="{027CB008-EA77-498B-910D-DBDD1304D7D7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18" authorId="2" shapeId="0" xr:uid="{C3AEDE09-6905-4516-82AF-98FE4314DD7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18" authorId="2" shapeId="0" xr:uid="{1B9F00CE-82C6-4934-A4BD-D79B34FB317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I18" authorId="0" shapeId="0" xr:uid="{36424764-E427-4D32-90B0-B018C411202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N18" authorId="1" shapeId="0" xr:uid="{1F6C37CC-7917-4E70-A953-4A69F1925A8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O18" authorId="2" shapeId="0" xr:uid="{A22E2220-2B66-4FA8-9B98-23F867B1152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P18" authorId="2" shapeId="0" xr:uid="{576E832E-5F10-4F20-81FA-D6D8B5BBEB14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Q18" authorId="2" shapeId="0" xr:uid="{67EF895B-D7CB-45CB-92E7-88383606173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21" authorId="0" shapeId="0" xr:uid="{2795E348-63AA-4694-AE34-2BDFCC16CBC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1" shapeId="0" xr:uid="{D56762F4-06B5-4791-9EC8-B1D280956B3D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1" authorId="0" shapeId="0" xr:uid="{555209E8-4BD5-48D8-9605-22F9F5C503F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21" authorId="0" shapeId="0" xr:uid="{EA8C9AF6-20E5-4841-809C-0763F5CC8C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21" authorId="1" shapeId="0" xr:uid="{8D39F338-384F-467C-95FA-0B15CF2BEF4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21" authorId="0" shapeId="0" xr:uid="{1CD64530-6EE6-4EAF-80C2-62BA685DCC3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1" authorId="0" shapeId="0" xr:uid="{D2EABEE9-0770-46E9-A41F-CA87EB81D6B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21" authorId="1" shapeId="0" xr:uid="{371533DC-FD4F-4C81-826B-459E46752B7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21" authorId="0" shapeId="0" xr:uid="{3D70BDF9-22BD-41A1-A751-75864007E999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2293CC4-0CB4-4C7D-A172-0F033BEB3EF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L22" authorId="0" shapeId="0" xr:uid="{58CBB892-4DED-4833-B727-12D0EBA2EBF9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V22" authorId="0" shapeId="0" xr:uid="{1B965C61-A466-40D5-8EE9-F745A526FD64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I6" authorId="0" shapeId="0" xr:uid="{2B07950A-6CDB-4C94-B630-B9BF55E8F1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A8B2D-8EF7-4144-BBA3-6DBF5C26C4CB}" keepAlive="1" name="Consulta - Energy_Prices_Average_Price_to_All_Users_Propane_United_States_Reference_AEO2020" description="Conexión a la consulta 'Energy_Prices_Average_Price_to_All_Users_Propane_United_States_Reference_AEO2020' en el libro." type="5" refreshedVersion="0" background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2" xr16:uid="{B80CBE25-FF2C-42E3-9A56-B62B179635BE}" keepAlive="1" name="Consulta - Table_3 _Energy_Prices_by_Sector_and_Source" description="Conexión a la consulta 'Table_3 _Energy_Prices_by_Sector_and_Source' en el libro." type="5" refreshedVersion="0" background="1">
    <dbPr connection="Provider=Microsoft.Mashup.OleDb.1;Data Source=$Workbook$;Location=&quot;Table_3 _Energy_Prices_by_Sector_and_Source&quot;;Extended Properties=&quot;&quot;" command="SELECT * FROM [Table_3 _Energy_Prices_by_Sector_and_Source]"/>
  </connection>
  <connection id="3" xr16:uid="{4D2CA13B-689B-466F-9D63-97D3D0CE480D}" keepAlive="1" name="Consulta - Table_3 _Energy_Prices_by_Sector_and_Source (2)" description="Conexión a la consulta 'Table_3 _Energy_Prices_by_Sector_and_Source (2)' en el libro." type="5" refreshedVersion="0" background="1">
    <dbPr connection="Provider=Microsoft.Mashup.OleDb.1;Data Source=$Workbook$;Location=&quot;Table_3 _Energy_Prices_by_Sector_and_Source (2)&quot;;Extended Properties=&quot;&quot;" command="SELECT * FROM [Table_3 _Energy_Prices_by_Sector_and_Source (2)]"/>
  </connection>
  <connection id="4" xr16:uid="{C54C3D3C-7D2B-43BF-996E-21148D08D98B}" keepAlive="1" name="Consulta - Table_3 _Energy_Prices_by_Sector_and_Source (3)" description="Conexión a la consulta 'Table_3 _Energy_Prices_by_Sector_and_Source (3)' en el libro." type="5" refreshedVersion="0" background="1">
    <dbPr connection="Provider=Microsoft.Mashup.OleDb.1;Data Source=$Workbook$;Location=&quot;Table_3 _Energy_Prices_by_Sector_and_Source (3)&quot;;Extended Properties=&quot;&quot;" command="SELECT * FROM [Table_3 _Energy_Prices_by_Sector_and_Sourc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<sst xmlns="http://schemas.openxmlformats.org/spreadsheetml/2006/main" count="888" uniqueCount="251">
  <si>
    <t>~FI_T</t>
  </si>
  <si>
    <t>Attribute</t>
  </si>
  <si>
    <t>CommName</t>
  </si>
  <si>
    <t>*Unit</t>
  </si>
  <si>
    <t>*</t>
  </si>
  <si>
    <t>Demand Commodity Name</t>
  </si>
  <si>
    <t>Demand Unit</t>
  </si>
  <si>
    <t>Demand Value</t>
  </si>
  <si>
    <t>*Units</t>
  </si>
  <si>
    <t>PJ</t>
  </si>
  <si>
    <t>Demand</t>
  </si>
  <si>
    <t>TechName</t>
  </si>
  <si>
    <t>Comm-IN</t>
  </si>
  <si>
    <t>Comm-OUT</t>
  </si>
  <si>
    <t>Year</t>
  </si>
  <si>
    <t>LimType</t>
  </si>
  <si>
    <t>*Technology Name</t>
  </si>
  <si>
    <t>Input Commodity</t>
  </si>
  <si>
    <t>Output Commodity</t>
  </si>
  <si>
    <t>Cost</t>
  </si>
  <si>
    <t>MUSD19/PJ</t>
  </si>
  <si>
    <t>~FI_Comm</t>
  </si>
  <si>
    <t>Csets</t>
  </si>
  <si>
    <t>Region</t>
  </si>
  <si>
    <t>CommDesc</t>
  </si>
  <si>
    <t>Unit</t>
  </si>
  <si>
    <t>*Commodity Set Membership</t>
  </si>
  <si>
    <t>Region Name</t>
  </si>
  <si>
    <t>Commodity Name</t>
  </si>
  <si>
    <t>Commodity Description</t>
  </si>
  <si>
    <t>DEM</t>
  </si>
  <si>
    <t>~FI_Process</t>
  </si>
  <si>
    <t>EFF</t>
  </si>
  <si>
    <t>Sets</t>
  </si>
  <si>
    <t>TechDesc</t>
  </si>
  <si>
    <t>Tact</t>
  </si>
  <si>
    <t>Tcap</t>
  </si>
  <si>
    <t>*Process Set Membership</t>
  </si>
  <si>
    <t>Technology Name</t>
  </si>
  <si>
    <t>Technology Description</t>
  </si>
  <si>
    <t>Activity Unit</t>
  </si>
  <si>
    <t>Capacity Unit</t>
  </si>
  <si>
    <t>DMD</t>
  </si>
  <si>
    <t>Pja</t>
  </si>
  <si>
    <t>ETH</t>
  </si>
  <si>
    <t>BDSL</t>
  </si>
  <si>
    <t>GSL</t>
  </si>
  <si>
    <t>PRE</t>
  </si>
  <si>
    <t>BLE-GSL</t>
  </si>
  <si>
    <t>BLE-DSL</t>
  </si>
  <si>
    <t>DSL</t>
  </si>
  <si>
    <t>KER</t>
  </si>
  <si>
    <t>LPG</t>
  </si>
  <si>
    <t>HFO</t>
  </si>
  <si>
    <t>GAS</t>
  </si>
  <si>
    <t>LOIL</t>
  </si>
  <si>
    <t>HOIL</t>
  </si>
  <si>
    <t>GSL-E10</t>
  </si>
  <si>
    <t>DSL-B10</t>
  </si>
  <si>
    <t>Campos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</si>
  <si>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</si>
  <si>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</si>
  <si>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</si>
  <si>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</si>
  <si>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</si>
  <si>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</si>
  <si>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</si>
  <si>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</si>
  <si>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</si>
  <si>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</si>
  <si>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MOIL</t>
  </si>
  <si>
    <t>FLU</t>
  </si>
  <si>
    <t>Primary Energy</t>
  </si>
  <si>
    <t>Secondary Energy</t>
  </si>
  <si>
    <t>Electricidad</t>
  </si>
  <si>
    <t>ELC</t>
  </si>
  <si>
    <t>Emisiones eq</t>
  </si>
  <si>
    <t>CO2e</t>
  </si>
  <si>
    <t>CTSLvl</t>
  </si>
  <si>
    <t>PeakTS</t>
  </si>
  <si>
    <t>Ctype</t>
  </si>
  <si>
    <t>Sense of the Balance EQN.</t>
  </si>
  <si>
    <t>Timeslice Level</t>
  </si>
  <si>
    <t>Peak Monitoring</t>
  </si>
  <si>
    <t>Electricity Indicator</t>
  </si>
  <si>
    <t>NRG</t>
  </si>
  <si>
    <t>FLUIDOS EN CAMPOS</t>
  </si>
  <si>
    <t>FLUIDOS EN REFINERIA Y DEMANDA</t>
  </si>
  <si>
    <t>Gasolina</t>
  </si>
  <si>
    <t>Diesel</t>
  </si>
  <si>
    <t>Keroseno-Jet</t>
  </si>
  <si>
    <t>Combustoleo</t>
  </si>
  <si>
    <t>Etanol</t>
  </si>
  <si>
    <t>Biodiesel</t>
  </si>
  <si>
    <t>Gasolina natural</t>
  </si>
  <si>
    <t>Petroleo liviano</t>
  </si>
  <si>
    <t>Petroleo mediano</t>
  </si>
  <si>
    <t>Petroleo pesado</t>
  </si>
  <si>
    <t>Gasolina mezclada con etanol E10</t>
  </si>
  <si>
    <t>Diesel mezclada con biodiesel B10</t>
  </si>
  <si>
    <t>EMISIONES</t>
  </si>
  <si>
    <t>ENV</t>
  </si>
  <si>
    <t>CO2e-REF</t>
  </si>
  <si>
    <t>CO2e-SIN</t>
  </si>
  <si>
    <t>kt</t>
  </si>
  <si>
    <t>DEMANDAS</t>
  </si>
  <si>
    <t>CO2eq de SIN</t>
  </si>
  <si>
    <t>CO2eq en Refineria</t>
  </si>
  <si>
    <t>GAS-plt</t>
  </si>
  <si>
    <t>Procesos</t>
  </si>
  <si>
    <t>Tslvl</t>
  </si>
  <si>
    <t>PrimaryCG</t>
  </si>
  <si>
    <t>Vintage</t>
  </si>
  <si>
    <t>TimeSlice level of Process Activity</t>
  </si>
  <si>
    <t>Primary Commodity Group</t>
  </si>
  <si>
    <t>Vintage Tracking</t>
  </si>
  <si>
    <t>MIN</t>
  </si>
  <si>
    <t>PROF</t>
  </si>
  <si>
    <t>COL</t>
  </si>
  <si>
    <t>REF</t>
  </si>
  <si>
    <t>IMP</t>
  </si>
  <si>
    <t>EXP</t>
  </si>
  <si>
    <t>Fluidos</t>
  </si>
  <si>
    <t>Ventas/Compras</t>
  </si>
  <si>
    <t>MINAS</t>
  </si>
  <si>
    <t>PROSF</t>
  </si>
  <si>
    <t>REFINERIA</t>
  </si>
  <si>
    <t>Refineria</t>
  </si>
  <si>
    <t>AUTO-G</t>
  </si>
  <si>
    <t>AUTO-O</t>
  </si>
  <si>
    <t>PRODUCCION, COLECTORES, Y AUTOGENERACION</t>
  </si>
  <si>
    <t>EXP-SIN</t>
  </si>
  <si>
    <t>IMP-SIN</t>
  </si>
  <si>
    <t>Venta al SIN</t>
  </si>
  <si>
    <t>Compra al SIN</t>
  </si>
  <si>
    <t>ELC-SIN</t>
  </si>
  <si>
    <t>USD/kwh</t>
  </si>
  <si>
    <t>MUSD/PJ</t>
  </si>
  <si>
    <t>USD/Gwh</t>
  </si>
  <si>
    <t>MUSD/Gwh</t>
  </si>
  <si>
    <t>Restricción de Exportación / Importación</t>
  </si>
  <si>
    <t>Tecnologia para que el Keroseno pueda suplir la demana</t>
  </si>
  <si>
    <t>Tecnologia para que el LPG pueda suplir la demana</t>
  </si>
  <si>
    <t>Tecnologia para que el Fuel Oil pueda suplir la demana</t>
  </si>
  <si>
    <t>Tecnologia para que el Gas Natural pueda suplir la demana</t>
  </si>
  <si>
    <t>Tecnologia para que el Petroleo pueda suplir la demana</t>
  </si>
  <si>
    <t>Blending entre Gasolina y etanol</t>
  </si>
  <si>
    <t>Blending entre Gasolina y biodiesel</t>
  </si>
  <si>
    <t>FTE-DGSL</t>
  </si>
  <si>
    <t>FTE-DDSL</t>
  </si>
  <si>
    <t>Tecnologia para que la gasolina pueda suplir la demana</t>
  </si>
  <si>
    <t>Tecnologia para que el diesel pueda suplir la demana</t>
  </si>
  <si>
    <t>DGSL</t>
  </si>
  <si>
    <t>DDSL</t>
  </si>
  <si>
    <t>DKER</t>
  </si>
  <si>
    <t>DLPG</t>
  </si>
  <si>
    <t>DHFO</t>
  </si>
  <si>
    <t>DGAS</t>
  </si>
  <si>
    <t>DLOIL</t>
  </si>
  <si>
    <t>Share-I~UP</t>
  </si>
  <si>
    <t>Sectores</t>
  </si>
  <si>
    <t>AGR</t>
  </si>
  <si>
    <t>TER</t>
  </si>
  <si>
    <t>RSD</t>
  </si>
  <si>
    <t>IND</t>
  </si>
  <si>
    <t>TRA</t>
  </si>
  <si>
    <t>Demanda del sector Agricultura, Construccion y Mineria</t>
  </si>
  <si>
    <t>Demanda de sector Terciario</t>
  </si>
  <si>
    <t>Demanda del sector residencial</t>
  </si>
  <si>
    <t>Demanda del sector Industrial</t>
  </si>
  <si>
    <t>Demanda del sector Transporte</t>
  </si>
  <si>
    <t>FTD-TRA</t>
  </si>
  <si>
    <t>DTRA</t>
  </si>
  <si>
    <t>DAGR</t>
  </si>
  <si>
    <t>FTD-AGR</t>
  </si>
  <si>
    <t>Share-I~2019</t>
  </si>
  <si>
    <t>FTD-TER</t>
  </si>
  <si>
    <t>FTD-RSD</t>
  </si>
  <si>
    <t>FTD-IND</t>
  </si>
  <si>
    <t>DH2</t>
  </si>
  <si>
    <t>Demanda del Hidrogeno</t>
  </si>
  <si>
    <t>FX</t>
  </si>
  <si>
    <t>DTER</t>
  </si>
  <si>
    <t>DRSD</t>
  </si>
  <si>
    <t>DIND</t>
  </si>
  <si>
    <t>Tecnologia de demanda para Agricultura, Construccion y Mineria</t>
  </si>
  <si>
    <t>Tecnologia del sector terciario</t>
  </si>
  <si>
    <t xml:space="preserve">Tecnologia del sector residencial </t>
  </si>
  <si>
    <t>Tecnologia del sector Industrial</t>
  </si>
  <si>
    <t>Tecnologia del sector transporte</t>
  </si>
  <si>
    <t>PJa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</si>
  <si>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</si>
  <si>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</si>
  <si>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</si>
  <si>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</si>
  <si>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</si>
  <si>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</si>
  <si>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</si>
  <si>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EXP-GSL</t>
  </si>
  <si>
    <t>EXP-DSL</t>
  </si>
  <si>
    <t>EXP-KER</t>
  </si>
  <si>
    <t>EXP-LPG</t>
  </si>
  <si>
    <t>EXP-HFO</t>
  </si>
  <si>
    <t>EXP-ETH</t>
  </si>
  <si>
    <t>EXP-BDSL</t>
  </si>
  <si>
    <t>EXP-GAS</t>
  </si>
  <si>
    <t>EXP-LOIL</t>
  </si>
  <si>
    <t>EXP-MOIL</t>
  </si>
  <si>
    <t>EXP-HOIL</t>
  </si>
  <si>
    <t>usd/PJ</t>
  </si>
  <si>
    <t>PJ/mbtu</t>
  </si>
  <si>
    <t>usd/mbtu</t>
  </si>
  <si>
    <t>Keroseno</t>
  </si>
  <si>
    <t>Fuel Oil</t>
  </si>
  <si>
    <t>Ethanol</t>
  </si>
  <si>
    <t>Gas natural</t>
  </si>
  <si>
    <t>Petroleo</t>
  </si>
  <si>
    <t>COST~2019</t>
  </si>
  <si>
    <t>WTI</t>
  </si>
  <si>
    <t>Combustible liquidos UPME, 2021</t>
  </si>
  <si>
    <t>Liviano</t>
  </si>
  <si>
    <t>Mediano</t>
  </si>
  <si>
    <t>Pesado</t>
  </si>
  <si>
    <t>WTI- 9 USD/b</t>
  </si>
  <si>
    <t>WTI - 4,5 USD/b</t>
  </si>
  <si>
    <t>HHV del WTI</t>
  </si>
  <si>
    <t>WTI - 0,7949 USD/MBTU</t>
  </si>
  <si>
    <t>WTI - 1,5899USD/MBTU</t>
  </si>
  <si>
    <t>WTI, 2019</t>
  </si>
  <si>
    <t>56 usd/bl</t>
  </si>
  <si>
    <t>MBTU/b</t>
  </si>
  <si>
    <t>Descuento</t>
  </si>
  <si>
    <t>POIL</t>
  </si>
  <si>
    <t>COST~2020</t>
  </si>
  <si>
    <t>COST~2025</t>
  </si>
  <si>
    <t>COST~2030</t>
  </si>
  <si>
    <t>COST~2035</t>
  </si>
  <si>
    <t>COST~2040</t>
  </si>
  <si>
    <t>COST~2045</t>
  </si>
  <si>
    <t>COST~2050</t>
  </si>
  <si>
    <t>BTU/J</t>
  </si>
  <si>
    <t>MBTU/J</t>
  </si>
  <si>
    <t>MBTU/PJ</t>
  </si>
  <si>
    <t>PJ/MBTU</t>
  </si>
  <si>
    <t>Proyeciones para escenario de referencia, AEO - US EIA, 2019, en USD/Millon de BTU</t>
  </si>
  <si>
    <t>Proyeciones para escenario de referencia, AEO - US EIA, 2019, en USD/PJ</t>
  </si>
  <si>
    <t>USD2019/kwh</t>
  </si>
  <si>
    <t>cop/kwh</t>
  </si>
  <si>
    <t>Costo de electricidad Colombia, industrial, ANDI</t>
  </si>
  <si>
    <t>USD/COP promedio, 2019, investing https://es.investing.com/currencies/usd-cop-historical-data</t>
  </si>
  <si>
    <t>COP/USD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</si>
</sst>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Te\x\t"/>
    <numFmt numFmtId="168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0" fillId="3" borderId="0" xfId="0" applyFill="1"/>
    <xf numFmtId="0" fontId="2" fillId="3" borderId="0" xfId="2" applyFill="1"/>
    <xf numFmtId="0" fontId="3" fillId="3" borderId="0" xfId="3" applyFont="1" applyFill="1" applyAlignment="1">
      <alignment horizontal="left"/>
    </xf>
    <xf numFmtId="0" fontId="4" fillId="4" borderId="1" xfId="2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1" xfId="2" applyFont="1" applyFill="1" applyBorder="1" applyAlignment="1">
      <alignment horizontal="center" wrapText="1"/>
    </xf>
    <xf numFmtId="0" fontId="5" fillId="2" borderId="3" xfId="1" applyFont="1" applyBorder="1" applyAlignment="1">
      <alignment horizontal="left" wrapText="1"/>
    </xf>
    <xf numFmtId="0" fontId="5" fillId="2" borderId="3" xfId="1" applyFont="1" applyBorder="1" applyAlignment="1">
      <alignment horizontal="center" wrapText="1"/>
    </xf>
    <xf numFmtId="165" fontId="3" fillId="3" borderId="0" xfId="2" applyNumberFormat="1" applyFont="1" applyFill="1"/>
    <xf numFmtId="165" fontId="2" fillId="3" borderId="0" xfId="2" applyNumberFormat="1" applyFill="1"/>
    <xf numFmtId="165" fontId="4" fillId="4" borderId="1" xfId="2" applyNumberFormat="1" applyFont="1" applyFill="1" applyBorder="1" applyAlignment="1">
      <alignment horizontal="left"/>
    </xf>
    <xf numFmtId="165" fontId="4" fillId="4" borderId="2" xfId="2" applyNumberFormat="1" applyFont="1" applyFill="1" applyBorder="1" applyAlignment="1">
      <alignment horizontal="left"/>
    </xf>
    <xf numFmtId="165" fontId="5" fillId="2" borderId="3" xfId="1" applyNumberFormat="1" applyFont="1" applyBorder="1" applyAlignment="1">
      <alignment horizontal="left" wrapText="1"/>
    </xf>
    <xf numFmtId="165" fontId="3" fillId="0" borderId="0" xfId="2" applyNumberFormat="1" applyFont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2" borderId="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9" fontId="0" fillId="6" borderId="0" xfId="0" applyNumberFormat="1" applyFill="1"/>
    <xf numFmtId="0" fontId="11" fillId="3" borderId="0" xfId="4" applyFont="1" applyFill="1"/>
    <xf numFmtId="165" fontId="12" fillId="0" borderId="0" xfId="2" applyNumberFormat="1" applyFont="1"/>
    <xf numFmtId="0" fontId="13" fillId="4" borderId="2" xfId="4" applyFont="1" applyFill="1" applyBorder="1" applyAlignment="1">
      <alignment horizontal="left"/>
    </xf>
    <xf numFmtId="0" fontId="13" fillId="4" borderId="2" xfId="4" applyFont="1" applyFill="1" applyBorder="1" applyAlignment="1">
      <alignment horizontal="center" vertical="center"/>
    </xf>
    <xf numFmtId="0" fontId="13" fillId="3" borderId="0" xfId="4" applyFont="1" applyFill="1" applyAlignment="1">
      <alignment horizontal="center" vertical="center"/>
    </xf>
    <xf numFmtId="165" fontId="13" fillId="4" borderId="2" xfId="2" applyNumberFormat="1" applyFont="1" applyFill="1" applyBorder="1" applyAlignment="1">
      <alignment horizontal="left"/>
    </xf>
    <xf numFmtId="0" fontId="11" fillId="3" borderId="0" xfId="2" applyFont="1" applyFill="1" applyAlignment="1">
      <alignment horizontal="center" vertical="center"/>
    </xf>
    <xf numFmtId="0" fontId="11" fillId="3" borderId="0" xfId="4" applyFont="1" applyFill="1" applyAlignment="1">
      <alignment horizontal="center" vertical="center"/>
    </xf>
    <xf numFmtId="0" fontId="11" fillId="3" borderId="0" xfId="2" applyFont="1" applyFill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 wrapText="1"/>
    </xf>
    <xf numFmtId="165" fontId="15" fillId="0" borderId="0" xfId="0" applyNumberFormat="1" applyFont="1"/>
    <xf numFmtId="9" fontId="15" fillId="0" borderId="0" xfId="0" applyNumberFormat="1" applyFont="1"/>
    <xf numFmtId="165" fontId="15" fillId="3" borderId="0" xfId="1" applyNumberFormat="1" applyFont="1" applyFill="1" applyBorder="1" applyAlignment="1">
      <alignment horizontal="left" wrapText="1"/>
    </xf>
    <xf numFmtId="0" fontId="12" fillId="3" borderId="0" xfId="2" applyFont="1" applyFill="1"/>
    <xf numFmtId="0" fontId="13" fillId="4" borderId="1" xfId="2" applyFont="1" applyFill="1" applyBorder="1" applyAlignment="1">
      <alignment vertical="center"/>
    </xf>
    <xf numFmtId="0" fontId="11" fillId="3" borderId="0" xfId="2" applyFont="1" applyFill="1" applyAlignment="1">
      <alignment vertical="center"/>
    </xf>
    <xf numFmtId="164" fontId="11" fillId="3" borderId="0" xfId="2" applyNumberFormat="1" applyFont="1" applyFill="1"/>
    <xf numFmtId="0" fontId="15" fillId="2" borderId="1" xfId="1" applyFont="1" applyBorder="1" applyAlignment="1">
      <alignment horizontal="center" vertical="center" wrapText="1"/>
    </xf>
    <xf numFmtId="0" fontId="15" fillId="2" borderId="2" xfId="1" applyFont="1" applyBorder="1" applyAlignment="1">
      <alignment horizontal="left" wrapText="1"/>
    </xf>
    <xf numFmtId="164" fontId="15" fillId="0" borderId="0" xfId="0" applyNumberFormat="1" applyFont="1"/>
    <xf numFmtId="0" fontId="0" fillId="7" borderId="0" xfId="0" applyFill="1"/>
    <xf numFmtId="0" fontId="4" fillId="4" borderId="2" xfId="6" applyFont="1" applyFill="1" applyBorder="1" applyAlignment="1">
      <alignment horizontal="left"/>
    </xf>
    <xf numFmtId="0" fontId="3" fillId="0" borderId="0" xfId="0" applyFont="1"/>
    <xf numFmtId="0" fontId="2" fillId="0" borderId="0" xfId="0" applyFont="1"/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1" fontId="0" fillId="0" borderId="0" xfId="0" applyNumberFormat="1"/>
    <xf numFmtId="0" fontId="2" fillId="3" borderId="0" xfId="2" applyFill="1" applyAlignment="1">
      <alignment vertical="center" wrapText="1"/>
    </xf>
    <xf numFmtId="164" fontId="2" fillId="3" borderId="0" xfId="2" applyNumberFormat="1" applyFill="1" applyAlignment="1">
      <alignment wrapText="1"/>
    </xf>
    <xf numFmtId="165" fontId="15" fillId="0" borderId="0" xfId="0" applyNumberFormat="1" applyFont="1" applyAlignment="1">
      <alignment wrapText="1"/>
    </xf>
    <xf numFmtId="0" fontId="15" fillId="0" borderId="0" xfId="0" applyFont="1" applyAlignment="1">
      <alignment wrapText="1"/>
    </xf>
    <xf numFmtId="9" fontId="15" fillId="0" borderId="0" xfId="0" applyNumberFormat="1" applyFont="1" applyAlignment="1">
      <alignment wrapText="1"/>
    </xf>
    <xf numFmtId="9" fontId="0" fillId="0" borderId="0" xfId="5" applyFont="1"/>
    <xf numFmtId="164" fontId="2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1" fillId="3" borderId="0" xfId="4" applyFont="1" applyFill="1" applyAlignment="1">
      <alignment vertical="center"/>
    </xf>
    <xf numFmtId="1" fontId="10" fillId="0" borderId="0" xfId="0" applyNumberFormat="1" applyFont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168" fontId="0" fillId="0" borderId="0" xfId="0" applyNumberFormat="1"/>
    <xf numFmtId="2" fontId="0" fillId="5" borderId="0" xfId="0" applyNumberFormat="1" applyFill="1"/>
    <xf numFmtId="164" fontId="0" fillId="5" borderId="0" xfId="0" applyNumberFormat="1" applyFill="1"/>
    <xf numFmtId="164" fontId="0" fillId="0" borderId="0" xfId="0" applyNumberFormat="1"/>
  </cellXfs>
  <cellStyles count="7">
    <cellStyle name="20% - Énfasis5" xfId="1" builtinId="46"/>
    <cellStyle name="Normal" xfId="0" builtinId="0"/>
    <cellStyle name="Normal 10" xfId="2" xr:uid="{639375C3-5374-441A-B5B9-29EFF394B85E}"/>
    <cellStyle name="Normal 2" xfId="4" xr:uid="{496AC325-42FF-4168-84A3-9E84498F6084}"/>
    <cellStyle name="Normal 2 2" xfId="6" xr:uid="{FB7AA7FF-5969-4AB8-B58E-D23D3A0812DA}"/>
    <cellStyle name="Normal 4 2" xfId="3" xr:uid="{BF8D61B1-2E2E-479D-ABA6-8FFB8D2C0E3F}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69</xdr:row>
      <xdr:rowOff>133335</xdr:rowOff>
    </xdr:from>
    <xdr:to>
      <xdr:col>22</xdr:col>
      <xdr:colOff>733502</xdr:colOff>
      <xdr:row>92</xdr:row>
      <xdr:rowOff>11685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06359C-5853-611F-11D8-9789F3148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1493" y="15904014"/>
          <a:ext cx="61262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84</xdr:row>
      <xdr:rowOff>101775</xdr:rowOff>
    </xdr:from>
    <xdr:to>
      <xdr:col>12</xdr:col>
      <xdr:colOff>666750</xdr:colOff>
      <xdr:row>88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6BF51D-B9E3-48BB-85B3-4BD3C25D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8723150"/>
          <a:ext cx="5915025" cy="81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E79"/>
  <sheetViews>
    <sheetView topLeftCell="Q1" zoomScale="70" zoomScaleNormal="70" workbookViewId="0">
      <selection activeCell="AB30" sqref="AB30"/>
    </sheetView>
  </sheetViews>
  <sheetFormatPr baseColWidth="10" defaultColWidth="9.140625" defaultRowHeight="15" x14ac:dyDescent="0.25"/>
  <cols>
    <col min="1" max="1" width="9.140625" style="1"/>
    <col min="2" max="2" width="14.85546875" style="1" customWidth="1"/>
    <col min="3" max="3" width="9.140625" style="1"/>
    <col min="4" max="4" width="18.7109375" style="1" customWidth="1"/>
    <col min="5" max="5" width="41.5703125" style="1" customWidth="1"/>
    <col min="6" max="6" width="9.140625" style="1"/>
    <col min="7" max="7" width="14.5703125" style="1" customWidth="1"/>
    <col min="8" max="11" width="9.140625" style="1"/>
    <col min="12" max="12" width="12.7109375" style="1" customWidth="1"/>
    <col min="13" max="13" width="14.85546875" style="1" customWidth="1"/>
    <col min="14" max="14" width="9.140625" style="1"/>
    <col min="15" max="15" width="14" style="1" customWidth="1"/>
    <col min="16" max="16" width="41.5703125" style="1" customWidth="1"/>
    <col min="17" max="17" width="9.140625" style="1"/>
    <col min="18" max="18" width="14.5703125" style="1" customWidth="1"/>
    <col min="19" max="23" width="9.140625" style="1"/>
    <col min="24" max="24" width="14.85546875" style="1" customWidth="1"/>
    <col min="25" max="25" width="9.140625" style="1"/>
    <col min="26" max="26" width="14" style="1" customWidth="1"/>
    <col min="27" max="27" width="41.5703125" style="1" customWidth="1"/>
    <col min="28" max="28" width="9.140625" style="1"/>
    <col min="29" max="29" width="14.5703125" style="1" customWidth="1"/>
    <col min="30" max="34" width="9.140625" style="1"/>
    <col min="35" max="35" width="14.85546875" style="1" customWidth="1"/>
    <col min="36" max="36" width="9.140625" style="1"/>
    <col min="37" max="37" width="14" style="1" customWidth="1"/>
    <col min="38" max="38" width="41.5703125" style="1" customWidth="1"/>
    <col min="39" max="39" width="9.140625" style="1"/>
    <col min="40" max="40" width="14.5703125" style="1" customWidth="1"/>
    <col min="41" max="1409" width="9.140625" style="1"/>
  </cols>
  <sheetData>
    <row r="2" spans="1:1409" x14ac:dyDescent="0.25">
      <c r="B2" s="16" t="s">
        <v>59</v>
      </c>
      <c r="D2" s="1" t="s">
        <v>72</v>
      </c>
      <c r="F2" s="1" t="s">
        <v>73</v>
      </c>
      <c r="I2" s="1" t="s">
        <v>74</v>
      </c>
      <c r="K2" s="1" t="s">
        <v>76</v>
      </c>
      <c r="M2" s="1" t="s">
        <v>160</v>
      </c>
    </row>
    <row r="3" spans="1:1409" x14ac:dyDescent="0.25">
      <c r="B3" s="16" t="s">
        <v>60</v>
      </c>
      <c r="D3" s="1" t="s">
        <v>54</v>
      </c>
      <c r="F3" s="1" t="s">
        <v>46</v>
      </c>
      <c r="I3" s="1" t="s">
        <v>75</v>
      </c>
      <c r="K3" s="1" t="s">
        <v>77</v>
      </c>
      <c r="M3" s="1" t="s">
        <v>161</v>
      </c>
    </row>
    <row r="4" spans="1:1409" s="18" customFormat="1" x14ac:dyDescent="0.25">
      <c r="A4" s="15"/>
      <c r="B4" s="17" t="s">
        <v>61</v>
      </c>
      <c r="C4" s="15"/>
      <c r="D4" s="15" t="s">
        <v>55</v>
      </c>
      <c r="E4" s="15"/>
      <c r="F4" s="15" t="s">
        <v>50</v>
      </c>
      <c r="G4" s="15"/>
      <c r="H4" s="15"/>
      <c r="I4" s="15"/>
      <c r="J4" s="15"/>
      <c r="K4" s="15"/>
      <c r="L4" s="15"/>
      <c r="M4" s="15" t="s">
        <v>162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</row>
    <row r="5" spans="1:1409" x14ac:dyDescent="0.25">
      <c r="B5" s="16" t="s">
        <v>62</v>
      </c>
      <c r="D5" s="1" t="s">
        <v>70</v>
      </c>
      <c r="F5" s="1" t="s">
        <v>51</v>
      </c>
      <c r="M5" s="1" t="s">
        <v>163</v>
      </c>
    </row>
    <row r="6" spans="1:1409" x14ac:dyDescent="0.25">
      <c r="B6" s="16" t="s">
        <v>63</v>
      </c>
      <c r="D6" s="1" t="s">
        <v>56</v>
      </c>
      <c r="F6" s="1" t="s">
        <v>52</v>
      </c>
      <c r="M6" s="1" t="s">
        <v>164</v>
      </c>
    </row>
    <row r="7" spans="1:1409" x14ac:dyDescent="0.25">
      <c r="B7" s="16" t="s">
        <v>64</v>
      </c>
      <c r="D7" s="1" t="s">
        <v>71</v>
      </c>
      <c r="F7" s="1" t="s">
        <v>53</v>
      </c>
      <c r="M7" s="1" t="s">
        <v>165</v>
      </c>
    </row>
    <row r="8" spans="1:1409" x14ac:dyDescent="0.25">
      <c r="B8" s="16" t="s">
        <v>65</v>
      </c>
      <c r="D8" s="1" t="s">
        <v>108</v>
      </c>
      <c r="F8" s="1" t="s">
        <v>44</v>
      </c>
    </row>
    <row r="9" spans="1:1409" x14ac:dyDescent="0.25">
      <c r="B9" s="16" t="s">
        <v>66</v>
      </c>
      <c r="F9" s="1" t="s">
        <v>45</v>
      </c>
    </row>
    <row r="10" spans="1:1409" x14ac:dyDescent="0.25">
      <c r="B10" s="16" t="s">
        <v>67</v>
      </c>
    </row>
    <row r="11" spans="1:1409" x14ac:dyDescent="0.25">
      <c r="B11" s="16" t="s">
        <v>68</v>
      </c>
    </row>
    <row r="12" spans="1:1409" x14ac:dyDescent="0.25">
      <c r="B12" s="16" t="s">
        <v>69</v>
      </c>
    </row>
    <row r="14" spans="1:1409" x14ac:dyDescent="0.25">
      <c r="X14" s="69" t="s">
        <v>105</v>
      </c>
      <c r="Y14" s="69"/>
      <c r="Z14" s="69"/>
      <c r="AA14" s="69"/>
      <c r="AB14" s="69"/>
      <c r="AC14" s="69"/>
      <c r="AD14" s="69"/>
      <c r="AE14" s="69"/>
      <c r="AF14" s="69"/>
    </row>
    <row r="15" spans="1:1409" x14ac:dyDescent="0.25">
      <c r="B15" s="69" t="s">
        <v>86</v>
      </c>
      <c r="C15" s="69"/>
      <c r="D15" s="69"/>
      <c r="E15" s="69"/>
      <c r="F15" s="69"/>
      <c r="G15" s="69"/>
      <c r="H15" s="69"/>
      <c r="I15" s="69"/>
      <c r="J15" s="69"/>
      <c r="M15" s="69" t="s">
        <v>87</v>
      </c>
      <c r="N15" s="69"/>
      <c r="O15" s="69"/>
      <c r="P15" s="69"/>
      <c r="Q15" s="69"/>
      <c r="R15" s="69"/>
      <c r="S15" s="69"/>
      <c r="T15" s="69"/>
      <c r="U15" s="69"/>
      <c r="AI15" s="69" t="s">
        <v>100</v>
      </c>
      <c r="AJ15" s="69"/>
      <c r="AK15" s="69"/>
      <c r="AL15" s="69"/>
      <c r="AM15" s="69"/>
      <c r="AN15" s="69"/>
      <c r="AO15" s="69"/>
      <c r="AP15" s="69"/>
      <c r="AQ15" s="69"/>
    </row>
    <row r="17" spans="1:1409" x14ac:dyDescent="0.25">
      <c r="B17" s="9" t="s">
        <v>21</v>
      </c>
      <c r="C17" s="9"/>
      <c r="D17" s="10"/>
      <c r="E17" s="10"/>
      <c r="F17" s="10"/>
      <c r="G17" s="10"/>
      <c r="H17" s="10"/>
      <c r="I17" s="10"/>
      <c r="J17" s="10"/>
      <c r="M17" s="9" t="s">
        <v>21</v>
      </c>
      <c r="N17" s="9"/>
      <c r="O17" s="10"/>
      <c r="P17" s="10"/>
      <c r="Q17" s="10"/>
      <c r="R17" s="10"/>
      <c r="S17" s="10"/>
      <c r="T17" s="10"/>
      <c r="U17" s="10"/>
      <c r="X17" s="9" t="s">
        <v>21</v>
      </c>
      <c r="Y17" s="9"/>
      <c r="Z17" s="10"/>
      <c r="AA17" s="10"/>
      <c r="AB17" s="10"/>
      <c r="AC17" s="10"/>
      <c r="AD17" s="10"/>
      <c r="AE17" s="10"/>
      <c r="AF17" s="10"/>
      <c r="AI17" s="9" t="s">
        <v>21</v>
      </c>
      <c r="AJ17" s="9"/>
      <c r="AK17" s="10"/>
      <c r="AL17" s="10"/>
      <c r="AM17" s="10"/>
      <c r="AN17" s="10"/>
      <c r="AO17" s="10"/>
      <c r="AP17" s="10"/>
      <c r="AQ17" s="10"/>
    </row>
    <row r="18" spans="1:1409" x14ac:dyDescent="0.25">
      <c r="B18" s="11" t="s">
        <v>22</v>
      </c>
      <c r="C18" s="12" t="s">
        <v>23</v>
      </c>
      <c r="D18" s="11" t="s">
        <v>2</v>
      </c>
      <c r="E18" s="11" t="s">
        <v>24</v>
      </c>
      <c r="F18" s="11" t="s">
        <v>25</v>
      </c>
      <c r="G18" s="11" t="s">
        <v>15</v>
      </c>
      <c r="H18" s="11" t="s">
        <v>78</v>
      </c>
      <c r="I18" s="11" t="s">
        <v>79</v>
      </c>
      <c r="J18" s="11" t="s">
        <v>80</v>
      </c>
      <c r="M18" s="11" t="s">
        <v>22</v>
      </c>
      <c r="N18" s="12" t="s">
        <v>23</v>
      </c>
      <c r="O18" s="11" t="s">
        <v>2</v>
      </c>
      <c r="P18" s="11" t="s">
        <v>24</v>
      </c>
      <c r="Q18" s="11" t="s">
        <v>25</v>
      </c>
      <c r="R18" s="11" t="s">
        <v>15</v>
      </c>
      <c r="S18" s="11" t="s">
        <v>78</v>
      </c>
      <c r="T18" s="11" t="s">
        <v>79</v>
      </c>
      <c r="U18" s="11" t="s">
        <v>80</v>
      </c>
      <c r="X18" s="11" t="s">
        <v>22</v>
      </c>
      <c r="Y18" s="12" t="s">
        <v>23</v>
      </c>
      <c r="Z18" s="11" t="s">
        <v>2</v>
      </c>
      <c r="AA18" s="11" t="s">
        <v>24</v>
      </c>
      <c r="AB18" s="11" t="s">
        <v>25</v>
      </c>
      <c r="AC18" s="11" t="s">
        <v>15</v>
      </c>
      <c r="AD18" s="11" t="s">
        <v>78</v>
      </c>
      <c r="AE18" s="11" t="s">
        <v>79</v>
      </c>
      <c r="AF18" s="11" t="s">
        <v>80</v>
      </c>
      <c r="AI18" s="11" t="s">
        <v>22</v>
      </c>
      <c r="AJ18" s="12" t="s">
        <v>23</v>
      </c>
      <c r="AK18" s="11" t="s">
        <v>2</v>
      </c>
      <c r="AL18" s="11" t="s">
        <v>24</v>
      </c>
      <c r="AM18" s="11" t="s">
        <v>25</v>
      </c>
      <c r="AN18" s="11" t="s">
        <v>15</v>
      </c>
      <c r="AO18" s="11" t="s">
        <v>78</v>
      </c>
      <c r="AP18" s="11" t="s">
        <v>79</v>
      </c>
      <c r="AQ18" s="11" t="s">
        <v>80</v>
      </c>
    </row>
    <row r="19" spans="1:1409" s="18" customFormat="1" ht="24" thickBot="1" x14ac:dyDescent="0.3">
      <c r="A19" s="15"/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25</v>
      </c>
      <c r="G19" s="13" t="s">
        <v>81</v>
      </c>
      <c r="H19" s="13" t="s">
        <v>82</v>
      </c>
      <c r="I19" s="13" t="s">
        <v>83</v>
      </c>
      <c r="J19" s="13" t="s">
        <v>84</v>
      </c>
      <c r="K19" s="15"/>
      <c r="L19" s="15"/>
      <c r="M19" s="13" t="s">
        <v>26</v>
      </c>
      <c r="N19" s="13" t="s">
        <v>27</v>
      </c>
      <c r="O19" s="13" t="s">
        <v>28</v>
      </c>
      <c r="P19" s="13" t="s">
        <v>29</v>
      </c>
      <c r="Q19" s="13" t="s">
        <v>25</v>
      </c>
      <c r="R19" s="13" t="s">
        <v>81</v>
      </c>
      <c r="S19" s="13" t="s">
        <v>82</v>
      </c>
      <c r="T19" s="13" t="s">
        <v>83</v>
      </c>
      <c r="U19" s="13" t="s">
        <v>84</v>
      </c>
      <c r="V19" s="15"/>
      <c r="W19" s="15"/>
      <c r="X19" s="13" t="s">
        <v>26</v>
      </c>
      <c r="Y19" s="13" t="s">
        <v>27</v>
      </c>
      <c r="Z19" s="13" t="s">
        <v>28</v>
      </c>
      <c r="AA19" s="13" t="s">
        <v>29</v>
      </c>
      <c r="AB19" s="13" t="s">
        <v>25</v>
      </c>
      <c r="AC19" s="13" t="s">
        <v>81</v>
      </c>
      <c r="AD19" s="13" t="s">
        <v>82</v>
      </c>
      <c r="AE19" s="13" t="s">
        <v>83</v>
      </c>
      <c r="AF19" s="13" t="s">
        <v>84</v>
      </c>
      <c r="AG19" s="15"/>
      <c r="AH19" s="15"/>
      <c r="AI19" s="13" t="s">
        <v>26</v>
      </c>
      <c r="AJ19" s="13" t="s">
        <v>27</v>
      </c>
      <c r="AK19" s="13" t="s">
        <v>28</v>
      </c>
      <c r="AL19" s="13" t="s">
        <v>29</v>
      </c>
      <c r="AM19" s="13" t="s">
        <v>25</v>
      </c>
      <c r="AN19" s="13" t="s">
        <v>81</v>
      </c>
      <c r="AO19" s="13" t="s">
        <v>82</v>
      </c>
      <c r="AP19" s="13" t="s">
        <v>83</v>
      </c>
      <c r="AQ19" s="13" t="s">
        <v>84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</row>
    <row r="20" spans="1:1409" x14ac:dyDescent="0.25">
      <c r="B20" s="1" t="s">
        <v>85</v>
      </c>
      <c r="D20" s="1" t="str" cm="1">
        <f t="array" ref="D20:D29">+"R-"&amp;B3:B12</f>
        <v>R-CAM1</v>
      </c>
      <c r="E20" s="1" t="str" cm="1">
        <f t="array" ref="E20:E29">+"Reservas de fluidos de "&amp;$B$3:$B$12</f>
        <v>Reservas de fluidos de CAM1</v>
      </c>
      <c r="F20" s="1" t="s">
        <v>9</v>
      </c>
      <c r="M20" s="1" t="s">
        <v>85</v>
      </c>
      <c r="O20" s="1" t="str" cm="1">
        <f t="array" ref="O20:O26">+F3:F9</f>
        <v>GSL</v>
      </c>
      <c r="P20" s="1" t="s">
        <v>88</v>
      </c>
      <c r="Q20" s="1" t="s">
        <v>9</v>
      </c>
      <c r="X20" s="1" t="s">
        <v>30</v>
      </c>
      <c r="Z20" s="1" t="str" cm="1">
        <f t="array" ref="Z20:Z24">+"D"&amp;F3:F7</f>
        <v>DGSL</v>
      </c>
      <c r="AA20" s="1" t="str" cm="1">
        <f t="array" ref="AA20:AA24">+"Demanda de "&amp;P20:P24</f>
        <v>Demanda de Gasolina</v>
      </c>
      <c r="AB20" s="1" t="s">
        <v>9</v>
      </c>
      <c r="AI20" s="1" t="s">
        <v>101</v>
      </c>
      <c r="AK20" s="1" t="str" cm="1">
        <f t="array" ref="AK20:AK29">+$K$3&amp;"-"&amp;B3:B12</f>
        <v>CO2e-CAM1</v>
      </c>
      <c r="AL20" s="1" t="str" cm="1">
        <f t="array" ref="AL20:AL29">+"CO2eq del "&amp;B3:B12</f>
        <v>CO2eq del CAM1</v>
      </c>
      <c r="AM20" s="1" t="s">
        <v>104</v>
      </c>
    </row>
    <row r="21" spans="1:1409" x14ac:dyDescent="0.25">
      <c r="D21" s="1" t="str">
        <v>R-CAM2</v>
      </c>
      <c r="E21" s="1" t="str">
        <v>Reservas de fluidos de CAM2</v>
      </c>
      <c r="F21" s="1" t="s">
        <v>9</v>
      </c>
      <c r="O21" s="1" t="str">
        <v>DSL</v>
      </c>
      <c r="P21" s="1" t="s">
        <v>89</v>
      </c>
      <c r="Q21" s="1" t="s">
        <v>9</v>
      </c>
      <c r="Z21" s="1" t="str">
        <v>DDSL</v>
      </c>
      <c r="AA21" s="1" t="str">
        <v>Demanda de Diesel</v>
      </c>
      <c r="AB21" s="1" t="s">
        <v>9</v>
      </c>
      <c r="AK21" s="1" t="str">
        <v>CO2e-CAM2</v>
      </c>
      <c r="AL21" s="1" t="str">
        <v>CO2eq del CAM2</v>
      </c>
      <c r="AM21" s="1" t="s">
        <v>104</v>
      </c>
    </row>
    <row r="22" spans="1:1409" x14ac:dyDescent="0.25">
      <c r="D22" s="1" t="str">
        <v>R-CAM3</v>
      </c>
      <c r="E22" s="1" t="str">
        <v>Reservas de fluidos de CAM3</v>
      </c>
      <c r="F22" s="1" t="s">
        <v>9</v>
      </c>
      <c r="O22" s="1" t="str">
        <v>KER</v>
      </c>
      <c r="P22" s="1" t="s">
        <v>90</v>
      </c>
      <c r="Q22" s="1" t="s">
        <v>9</v>
      </c>
      <c r="Z22" s="1" t="str">
        <v>DKER</v>
      </c>
      <c r="AA22" s="1" t="str">
        <v>Demanda de Keroseno-Jet</v>
      </c>
      <c r="AB22" s="1" t="s">
        <v>9</v>
      </c>
      <c r="AK22" s="1" t="str">
        <v>CO2e-CAM3</v>
      </c>
      <c r="AL22" s="1" t="str">
        <v>CO2eq del CAM3</v>
      </c>
      <c r="AM22" s="1" t="s">
        <v>104</v>
      </c>
    </row>
    <row r="23" spans="1:1409" x14ac:dyDescent="0.25">
      <c r="D23" s="1" t="str">
        <v>R-CAM4</v>
      </c>
      <c r="E23" s="1" t="str">
        <v>Reservas de fluidos de CAM4</v>
      </c>
      <c r="F23" s="1" t="s">
        <v>9</v>
      </c>
      <c r="O23" s="1" t="str">
        <v>LPG</v>
      </c>
      <c r="P23" s="1" t="s">
        <v>52</v>
      </c>
      <c r="Q23" s="1" t="s">
        <v>9</v>
      </c>
      <c r="Z23" s="1" t="str">
        <v>DLPG</v>
      </c>
      <c r="AA23" s="1" t="str">
        <v>Demanda de LPG</v>
      </c>
      <c r="AB23" s="1" t="s">
        <v>9</v>
      </c>
      <c r="AK23" s="1" t="str">
        <v>CO2e-CAM4</v>
      </c>
      <c r="AL23" s="1" t="str">
        <v>CO2eq del CAM4</v>
      </c>
      <c r="AM23" s="1" t="s">
        <v>104</v>
      </c>
    </row>
    <row r="24" spans="1:1409" x14ac:dyDescent="0.25">
      <c r="D24" s="1" t="str">
        <v>R-CAM5</v>
      </c>
      <c r="E24" s="1" t="str">
        <v>Reservas de fluidos de CAM5</v>
      </c>
      <c r="F24" s="1" t="s">
        <v>9</v>
      </c>
      <c r="O24" s="1" t="str">
        <v>HFO</v>
      </c>
      <c r="P24" s="1" t="s">
        <v>91</v>
      </c>
      <c r="Q24" s="1" t="s">
        <v>9</v>
      </c>
      <c r="Z24" s="1" t="str">
        <v>DHFO</v>
      </c>
      <c r="AA24" s="1" t="str">
        <v>Demanda de Combustoleo</v>
      </c>
      <c r="AB24" s="1" t="s">
        <v>9</v>
      </c>
      <c r="AK24" s="1" t="str">
        <v>CO2e-CAM5</v>
      </c>
      <c r="AL24" s="1" t="str">
        <v>CO2eq del CAM5</v>
      </c>
      <c r="AM24" s="1" t="s">
        <v>104</v>
      </c>
    </row>
    <row r="25" spans="1:1409" x14ac:dyDescent="0.25">
      <c r="D25" s="1" t="str">
        <v>R-CAM6</v>
      </c>
      <c r="E25" s="1" t="str">
        <v>Reservas de fluidos de CAM6</v>
      </c>
      <c r="F25" s="1" t="s">
        <v>9</v>
      </c>
      <c r="O25" s="1" t="str">
        <v>ETH</v>
      </c>
      <c r="P25" s="1" t="s">
        <v>92</v>
      </c>
      <c r="Q25" s="1" t="s">
        <v>9</v>
      </c>
      <c r="Z25" s="1" t="str" cm="1">
        <f t="array" ref="Z25:Z28">+"D"&amp;D3:D6</f>
        <v>DGAS</v>
      </c>
      <c r="AA25" s="1" t="str" cm="1">
        <f t="array" ref="AA25:AA28">+"Demanda de "&amp;P27:P30</f>
        <v>Demanda de Gasolina natural</v>
      </c>
      <c r="AB25" s="1" t="s">
        <v>9</v>
      </c>
      <c r="AK25" s="1" t="str">
        <v>CO2e-CAM6</v>
      </c>
      <c r="AL25" s="1" t="str">
        <v>CO2eq del CAM6</v>
      </c>
      <c r="AM25" s="1" t="s">
        <v>104</v>
      </c>
    </row>
    <row r="26" spans="1:1409" x14ac:dyDescent="0.25">
      <c r="D26" s="1" t="str">
        <v>R-CAM7</v>
      </c>
      <c r="E26" s="1" t="str">
        <v>Reservas de fluidos de CAM7</v>
      </c>
      <c r="F26" s="1" t="s">
        <v>9</v>
      </c>
      <c r="O26" s="1" t="str">
        <v>BDSL</v>
      </c>
      <c r="P26" s="1" t="s">
        <v>93</v>
      </c>
      <c r="Q26" s="1" t="s">
        <v>9</v>
      </c>
      <c r="Z26" s="1" t="str">
        <v>DLOIL</v>
      </c>
      <c r="AA26" s="1" t="str">
        <v>Demanda de Petroleo liviano</v>
      </c>
      <c r="AB26" s="1" t="s">
        <v>9</v>
      </c>
      <c r="AK26" s="1" t="str">
        <v>CO2e-CAM7</v>
      </c>
      <c r="AL26" s="1" t="str">
        <v>CO2eq del CAM7</v>
      </c>
      <c r="AM26" s="1" t="s">
        <v>104</v>
      </c>
    </row>
    <row r="27" spans="1:1409" x14ac:dyDescent="0.25">
      <c r="D27" s="1" t="str">
        <v>R-CAM8</v>
      </c>
      <c r="E27" s="1" t="str">
        <v>Reservas de fluidos de CAM8</v>
      </c>
      <c r="F27" s="1" t="s">
        <v>9</v>
      </c>
      <c r="O27" s="1" t="str" cm="1">
        <f t="array" ref="O27:O30">+D3:D6</f>
        <v>GAS</v>
      </c>
      <c r="P27" s="1" t="s">
        <v>94</v>
      </c>
      <c r="Q27" s="1" t="s">
        <v>9</v>
      </c>
      <c r="Z27" s="1" t="str">
        <v>DMOIL</v>
      </c>
      <c r="AA27" s="1" t="str">
        <v>Demanda de Petroleo mediano</v>
      </c>
      <c r="AB27" s="1" t="s">
        <v>9</v>
      </c>
      <c r="AK27" s="1" t="str">
        <v>CO2e-CAM8</v>
      </c>
      <c r="AL27" s="1" t="str">
        <v>CO2eq del CAM8</v>
      </c>
      <c r="AM27" s="1" t="s">
        <v>104</v>
      </c>
    </row>
    <row r="28" spans="1:1409" x14ac:dyDescent="0.25">
      <c r="D28" s="1" t="str">
        <v>R-CAM9</v>
      </c>
      <c r="E28" s="1" t="str">
        <v>Reservas de fluidos de CAM9</v>
      </c>
      <c r="F28" s="1" t="s">
        <v>9</v>
      </c>
      <c r="O28" s="1" t="str">
        <v>LOIL</v>
      </c>
      <c r="P28" s="1" t="s">
        <v>95</v>
      </c>
      <c r="Q28" s="1" t="s">
        <v>9</v>
      </c>
      <c r="Z28" s="1" t="str">
        <v>DHOIL</v>
      </c>
      <c r="AA28" s="1" t="str">
        <v>Demanda de Petroleo pesado</v>
      </c>
      <c r="AB28" s="1" t="s">
        <v>9</v>
      </c>
      <c r="AK28" s="1" t="str">
        <v>CO2e-CAM9</v>
      </c>
      <c r="AL28" s="1" t="str">
        <v>CO2eq del CAM9</v>
      </c>
      <c r="AM28" s="1" t="s">
        <v>104</v>
      </c>
    </row>
    <row r="29" spans="1:1409" x14ac:dyDescent="0.25">
      <c r="D29" s="1" t="str">
        <v>R-CAM10</v>
      </c>
      <c r="E29" s="1" t="str">
        <v>Reservas de fluidos de CAM10</v>
      </c>
      <c r="F29" s="1" t="s">
        <v>9</v>
      </c>
      <c r="O29" s="1" t="str">
        <v>MOIL</v>
      </c>
      <c r="P29" s="1" t="s">
        <v>96</v>
      </c>
      <c r="Q29" s="1" t="s">
        <v>9</v>
      </c>
      <c r="Z29" s="1" t="s">
        <v>179</v>
      </c>
      <c r="AA29" s="1" t="s">
        <v>180</v>
      </c>
      <c r="AB29" s="1" t="s">
        <v>9</v>
      </c>
      <c r="AK29" s="1" t="str">
        <v>CO2e-CAM10</v>
      </c>
      <c r="AL29" s="1" t="str">
        <v>CO2eq del CAM10</v>
      </c>
      <c r="AM29" s="1" t="s">
        <v>104</v>
      </c>
    </row>
    <row r="30" spans="1:1409" x14ac:dyDescent="0.25">
      <c r="D30" s="1" t="str" cm="1">
        <f t="array" ref="D30:D39">+$D$3&amp;"-"&amp;$B$3:$B$12</f>
        <v>GAS-CAM1</v>
      </c>
      <c r="E30" s="1" t="str" cm="1">
        <f t="array" ref="E30:E39">+"Gas natural producido de "&amp;$B$3:$B$12</f>
        <v>Gas natural producido de CAM1</v>
      </c>
      <c r="F30" s="1" t="s">
        <v>9</v>
      </c>
      <c r="O30" s="1" t="str">
        <v>HOIL</v>
      </c>
      <c r="P30" s="1" t="s">
        <v>97</v>
      </c>
      <c r="Q30" s="1" t="s">
        <v>9</v>
      </c>
      <c r="Z30" s="1" t="str" cm="1">
        <f t="array" ref="Z30:Z34">+"D"&amp;M3:M7</f>
        <v>DAGR</v>
      </c>
      <c r="AA30" s="1" t="s">
        <v>166</v>
      </c>
      <c r="AB30" s="1" t="s">
        <v>9</v>
      </c>
      <c r="AK30" s="1" t="s">
        <v>102</v>
      </c>
      <c r="AL30" s="1" t="s">
        <v>107</v>
      </c>
      <c r="AM30" s="1" t="s">
        <v>104</v>
      </c>
    </row>
    <row r="31" spans="1:1409" x14ac:dyDescent="0.25">
      <c r="D31" s="1" t="str">
        <v>GAS-CAM2</v>
      </c>
      <c r="E31" s="1" t="str">
        <v>Gas natural producido de CAM2</v>
      </c>
      <c r="F31" s="1" t="s">
        <v>9</v>
      </c>
      <c r="O31" s="1" t="s">
        <v>57</v>
      </c>
      <c r="P31" s="1" t="s">
        <v>98</v>
      </c>
      <c r="Q31" s="1" t="s">
        <v>9</v>
      </c>
      <c r="Z31" s="1" t="str">
        <v>DTER</v>
      </c>
      <c r="AA31" s="1" t="s">
        <v>167</v>
      </c>
      <c r="AB31" s="1" t="s">
        <v>9</v>
      </c>
      <c r="AK31" s="1" t="s">
        <v>103</v>
      </c>
      <c r="AL31" s="1" t="s">
        <v>106</v>
      </c>
      <c r="AM31" s="1" t="s">
        <v>104</v>
      </c>
    </row>
    <row r="32" spans="1:1409" x14ac:dyDescent="0.25">
      <c r="D32" s="1" t="str">
        <v>GAS-CAM3</v>
      </c>
      <c r="E32" s="1" t="str">
        <v>Gas natural producido de CAM3</v>
      </c>
      <c r="F32" s="1" t="s">
        <v>9</v>
      </c>
      <c r="O32" s="1" t="s">
        <v>58</v>
      </c>
      <c r="P32" s="1" t="s">
        <v>99</v>
      </c>
      <c r="Q32" s="1" t="s">
        <v>9</v>
      </c>
      <c r="Z32" s="1" t="str">
        <v>DRSD</v>
      </c>
      <c r="AA32" s="1" t="s">
        <v>168</v>
      </c>
      <c r="AB32" s="1" t="s">
        <v>9</v>
      </c>
      <c r="AK32" s="1" t="str" cm="1">
        <f t="array" ref="AK32:AK40">+"CO2e-"&amp;Z20:Z28</f>
        <v>CO2e-DGSL</v>
      </c>
      <c r="AL32" s="1" t="str" cm="1">
        <f t="array" ref="AL32:AL40">+"CO2eq de "&amp;AA20:AA28</f>
        <v>CO2eq de Demanda de Gasolina</v>
      </c>
      <c r="AM32" s="1" t="s">
        <v>104</v>
      </c>
    </row>
    <row r="33" spans="4:39" x14ac:dyDescent="0.25">
      <c r="D33" s="1" t="str">
        <v>GAS-CAM4</v>
      </c>
      <c r="E33" s="1" t="str">
        <v>Gas natural producido de CAM4</v>
      </c>
      <c r="F33" s="1" t="s">
        <v>9</v>
      </c>
      <c r="Z33" s="1" t="str">
        <v>DIND</v>
      </c>
      <c r="AA33" s="1" t="s">
        <v>169</v>
      </c>
      <c r="AB33" s="1" t="s">
        <v>9</v>
      </c>
      <c r="AK33" s="1" t="str">
        <v>CO2e-DDSL</v>
      </c>
      <c r="AL33" s="1" t="str">
        <v>CO2eq de Demanda de Diesel</v>
      </c>
      <c r="AM33" s="1" t="s">
        <v>104</v>
      </c>
    </row>
    <row r="34" spans="4:39" x14ac:dyDescent="0.25">
      <c r="D34" s="1" t="str">
        <v>GAS-CAM5</v>
      </c>
      <c r="E34" s="1" t="str">
        <v>Gas natural producido de CAM5</v>
      </c>
      <c r="F34" s="1" t="s">
        <v>9</v>
      </c>
      <c r="Z34" s="1" t="str">
        <v>DTRA</v>
      </c>
      <c r="AA34" s="1" t="s">
        <v>170</v>
      </c>
      <c r="AB34" s="1" t="s">
        <v>9</v>
      </c>
      <c r="AK34" s="1" t="str">
        <v>CO2e-DKER</v>
      </c>
      <c r="AL34" s="1" t="str">
        <v>CO2eq de Demanda de Keroseno-Jet</v>
      </c>
      <c r="AM34" s="1" t="s">
        <v>104</v>
      </c>
    </row>
    <row r="35" spans="4:39" x14ac:dyDescent="0.25">
      <c r="D35" s="1" t="str">
        <v>GAS-CAM6</v>
      </c>
      <c r="E35" s="1" t="str">
        <v>Gas natural producido de CAM6</v>
      </c>
      <c r="F35" s="1" t="s">
        <v>9</v>
      </c>
      <c r="AK35" s="1" t="str">
        <v>CO2e-DLPG</v>
      </c>
      <c r="AL35" s="1" t="str">
        <v>CO2eq de Demanda de LPG</v>
      </c>
      <c r="AM35" s="1" t="s">
        <v>104</v>
      </c>
    </row>
    <row r="36" spans="4:39" x14ac:dyDescent="0.25">
      <c r="D36" s="1" t="str">
        <v>GAS-CAM7</v>
      </c>
      <c r="E36" s="1" t="str">
        <v>Gas natural producido de CAM7</v>
      </c>
      <c r="F36" s="1" t="s">
        <v>9</v>
      </c>
      <c r="AK36" s="1" t="str">
        <v>CO2e-DHFO</v>
      </c>
      <c r="AL36" s="1" t="str">
        <v>CO2eq de Demanda de Combustoleo</v>
      </c>
      <c r="AM36" s="1" t="s">
        <v>104</v>
      </c>
    </row>
    <row r="37" spans="4:39" x14ac:dyDescent="0.25">
      <c r="D37" s="1" t="str">
        <v>GAS-CAM8</v>
      </c>
      <c r="E37" s="1" t="str">
        <v>Gas natural producido de CAM8</v>
      </c>
      <c r="F37" s="1" t="s">
        <v>9</v>
      </c>
      <c r="AK37" s="1" t="str">
        <v>CO2e-DGAS</v>
      </c>
      <c r="AL37" s="1" t="str">
        <v>CO2eq de Demanda de Gasolina natural</v>
      </c>
      <c r="AM37" s="1" t="s">
        <v>104</v>
      </c>
    </row>
    <row r="38" spans="4:39" x14ac:dyDescent="0.25">
      <c r="D38" s="1" t="str">
        <v>GAS-CAM9</v>
      </c>
      <c r="E38" s="1" t="str">
        <v>Gas natural producido de CAM9</v>
      </c>
      <c r="F38" s="1" t="s">
        <v>9</v>
      </c>
      <c r="AK38" s="1" t="str">
        <v>CO2e-DLOIL</v>
      </c>
      <c r="AL38" s="1" t="str">
        <v>CO2eq de Demanda de Petroleo liviano</v>
      </c>
      <c r="AM38" s="1" t="s">
        <v>104</v>
      </c>
    </row>
    <row r="39" spans="4:39" x14ac:dyDescent="0.25">
      <c r="D39" s="1" t="str">
        <v>GAS-CAM10</v>
      </c>
      <c r="E39" s="1" t="str">
        <v>Gas natural producido de CAM10</v>
      </c>
      <c r="F39" s="1" t="s">
        <v>9</v>
      </c>
      <c r="AK39" s="1" t="str">
        <v>CO2e-DMOIL</v>
      </c>
      <c r="AL39" s="1" t="str">
        <v>CO2eq de Demanda de Petroleo mediano</v>
      </c>
      <c r="AM39" s="1" t="s">
        <v>104</v>
      </c>
    </row>
    <row r="40" spans="4:39" x14ac:dyDescent="0.25">
      <c r="D40" s="1" t="str" cm="1">
        <f t="array" ref="D40:D49">+$D$4&amp;"-"&amp;$B$3:$B$12</f>
        <v>LOIL-CAM1</v>
      </c>
      <c r="E40" s="1" t="str" cm="1">
        <f t="array" ref="E40:E49">+"Petroleo liviano producido de "&amp;$B$3:$B$12</f>
        <v>Petroleo liviano producido de CAM1</v>
      </c>
      <c r="F40" s="1" t="s">
        <v>9</v>
      </c>
      <c r="AK40" s="1" t="str">
        <v>CO2e-DHOIL</v>
      </c>
      <c r="AL40" s="1" t="str">
        <v>CO2eq de Demanda de Petroleo pesado</v>
      </c>
      <c r="AM40" s="1" t="s">
        <v>104</v>
      </c>
    </row>
    <row r="41" spans="4:39" x14ac:dyDescent="0.25">
      <c r="D41" s="1" t="str">
        <v>LOIL-CAM2</v>
      </c>
      <c r="E41" s="1" t="str">
        <v>Petroleo liviano producido de CAM2</v>
      </c>
      <c r="F41" s="1" t="s">
        <v>9</v>
      </c>
    </row>
    <row r="42" spans="4:39" x14ac:dyDescent="0.25">
      <c r="D42" s="1" t="str">
        <v>LOIL-CAM3</v>
      </c>
      <c r="E42" s="1" t="str">
        <v>Petroleo liviano producido de CAM3</v>
      </c>
      <c r="F42" s="1" t="s">
        <v>9</v>
      </c>
    </row>
    <row r="43" spans="4:39" x14ac:dyDescent="0.25">
      <c r="D43" s="1" t="str">
        <v>LOIL-CAM4</v>
      </c>
      <c r="E43" s="1" t="str">
        <v>Petroleo liviano producido de CAM4</v>
      </c>
      <c r="F43" s="1" t="s">
        <v>9</v>
      </c>
    </row>
    <row r="44" spans="4:39" x14ac:dyDescent="0.25">
      <c r="D44" s="1" t="str">
        <v>LOIL-CAM5</v>
      </c>
      <c r="E44" s="1" t="str">
        <v>Petroleo liviano producido de CAM5</v>
      </c>
      <c r="F44" s="1" t="s">
        <v>9</v>
      </c>
    </row>
    <row r="45" spans="4:39" x14ac:dyDescent="0.25">
      <c r="D45" s="1" t="str">
        <v>LOIL-CAM6</v>
      </c>
      <c r="E45" s="1" t="str">
        <v>Petroleo liviano producido de CAM6</v>
      </c>
      <c r="F45" s="1" t="s">
        <v>9</v>
      </c>
    </row>
    <row r="46" spans="4:39" x14ac:dyDescent="0.25">
      <c r="D46" s="1" t="str">
        <v>LOIL-CAM7</v>
      </c>
      <c r="E46" s="1" t="str">
        <v>Petroleo liviano producido de CAM7</v>
      </c>
      <c r="F46" s="1" t="s">
        <v>9</v>
      </c>
    </row>
    <row r="47" spans="4:39" x14ac:dyDescent="0.25">
      <c r="D47" s="1" t="str">
        <v>LOIL-CAM8</v>
      </c>
      <c r="E47" s="1" t="str">
        <v>Petroleo liviano producido de CAM8</v>
      </c>
      <c r="F47" s="1" t="s">
        <v>9</v>
      </c>
    </row>
    <row r="48" spans="4:39" x14ac:dyDescent="0.25">
      <c r="D48" s="1" t="str">
        <v>LOIL-CAM9</v>
      </c>
      <c r="E48" s="1" t="str">
        <v>Petroleo liviano producido de CAM9</v>
      </c>
      <c r="F48" s="1" t="s">
        <v>9</v>
      </c>
    </row>
    <row r="49" spans="4:6" x14ac:dyDescent="0.25">
      <c r="D49" s="1" t="str">
        <v>LOIL-CAM10</v>
      </c>
      <c r="E49" s="1" t="str">
        <v>Petroleo liviano producido de CAM10</v>
      </c>
      <c r="F49" s="1" t="s">
        <v>9</v>
      </c>
    </row>
    <row r="50" spans="4:6" x14ac:dyDescent="0.25">
      <c r="D50" s="1" t="str" cm="1">
        <f t="array" ref="D50:D59">+$D$5&amp;"-"&amp;$B$3:$B$12</f>
        <v>MOIL-CAM1</v>
      </c>
      <c r="E50" s="1" t="str" cm="1">
        <f t="array" ref="E50:E59">+"Petroleo mediano producido de "&amp;$B$3:$B$12</f>
        <v>Petroleo mediano producido de CAM1</v>
      </c>
      <c r="F50" s="1" t="s">
        <v>9</v>
      </c>
    </row>
    <row r="51" spans="4:6" x14ac:dyDescent="0.25">
      <c r="D51" s="1" t="str">
        <v>MOIL-CAM2</v>
      </c>
      <c r="E51" s="1" t="str">
        <v>Petroleo mediano producido de CAM2</v>
      </c>
      <c r="F51" s="1" t="s">
        <v>9</v>
      </c>
    </row>
    <row r="52" spans="4:6" x14ac:dyDescent="0.25">
      <c r="D52" s="1" t="str">
        <v>MOIL-CAM3</v>
      </c>
      <c r="E52" s="1" t="str">
        <v>Petroleo mediano producido de CAM3</v>
      </c>
      <c r="F52" s="1" t="s">
        <v>9</v>
      </c>
    </row>
    <row r="53" spans="4:6" x14ac:dyDescent="0.25">
      <c r="D53" s="1" t="str">
        <v>MOIL-CAM4</v>
      </c>
      <c r="E53" s="1" t="str">
        <v>Petroleo mediano producido de CAM4</v>
      </c>
      <c r="F53" s="1" t="s">
        <v>9</v>
      </c>
    </row>
    <row r="54" spans="4:6" x14ac:dyDescent="0.25">
      <c r="D54" s="1" t="str">
        <v>MOIL-CAM5</v>
      </c>
      <c r="E54" s="1" t="str">
        <v>Petroleo mediano producido de CAM5</v>
      </c>
      <c r="F54" s="1" t="s">
        <v>9</v>
      </c>
    </row>
    <row r="55" spans="4:6" x14ac:dyDescent="0.25">
      <c r="D55" s="1" t="str">
        <v>MOIL-CAM6</v>
      </c>
      <c r="E55" s="1" t="str">
        <v>Petroleo mediano producido de CAM6</v>
      </c>
      <c r="F55" s="1" t="s">
        <v>9</v>
      </c>
    </row>
    <row r="56" spans="4:6" x14ac:dyDescent="0.25">
      <c r="D56" s="1" t="str">
        <v>MOIL-CAM7</v>
      </c>
      <c r="E56" s="1" t="str">
        <v>Petroleo mediano producido de CAM7</v>
      </c>
      <c r="F56" s="1" t="s">
        <v>9</v>
      </c>
    </row>
    <row r="57" spans="4:6" x14ac:dyDescent="0.25">
      <c r="D57" s="1" t="str">
        <v>MOIL-CAM8</v>
      </c>
      <c r="E57" s="1" t="str">
        <v>Petroleo mediano producido de CAM8</v>
      </c>
      <c r="F57" s="1" t="s">
        <v>9</v>
      </c>
    </row>
    <row r="58" spans="4:6" x14ac:dyDescent="0.25">
      <c r="D58" s="1" t="str">
        <v>MOIL-CAM9</v>
      </c>
      <c r="E58" s="1" t="str">
        <v>Petroleo mediano producido de CAM9</v>
      </c>
      <c r="F58" s="1" t="s">
        <v>9</v>
      </c>
    </row>
    <row r="59" spans="4:6" x14ac:dyDescent="0.25">
      <c r="D59" s="1" t="str">
        <v>MOIL-CAM10</v>
      </c>
      <c r="E59" s="1" t="str">
        <v>Petroleo mediano producido de CAM10</v>
      </c>
      <c r="F59" s="1" t="s">
        <v>9</v>
      </c>
    </row>
    <row r="60" spans="4:6" x14ac:dyDescent="0.25">
      <c r="D60" s="1" t="str" cm="1">
        <f t="array" ref="D60:D69">+$D$6&amp;"-"&amp;$B$3:$B$12</f>
        <v>HOIL-CAM1</v>
      </c>
      <c r="E60" s="1" t="str" cm="1">
        <f t="array" ref="E60:E69">+"Petroleo pesado producido de "&amp;$B$3:$B$12</f>
        <v>Petroleo pesado producido de CAM1</v>
      </c>
      <c r="F60" s="1" t="s">
        <v>9</v>
      </c>
    </row>
    <row r="61" spans="4:6" x14ac:dyDescent="0.25">
      <c r="D61" s="1" t="str">
        <v>HOIL-CAM2</v>
      </c>
      <c r="E61" s="1" t="str">
        <v>Petroleo pesado producido de CAM2</v>
      </c>
      <c r="F61" s="1" t="s">
        <v>9</v>
      </c>
    </row>
    <row r="62" spans="4:6" x14ac:dyDescent="0.25">
      <c r="D62" s="1" t="str">
        <v>HOIL-CAM3</v>
      </c>
      <c r="E62" s="1" t="str">
        <v>Petroleo pesado producido de CAM3</v>
      </c>
      <c r="F62" s="1" t="s">
        <v>9</v>
      </c>
    </row>
    <row r="63" spans="4:6" x14ac:dyDescent="0.25">
      <c r="D63" s="1" t="str">
        <v>HOIL-CAM4</v>
      </c>
      <c r="E63" s="1" t="str">
        <v>Petroleo pesado producido de CAM4</v>
      </c>
      <c r="F63" s="1" t="s">
        <v>9</v>
      </c>
    </row>
    <row r="64" spans="4:6" x14ac:dyDescent="0.25">
      <c r="D64" s="1" t="str">
        <v>HOIL-CAM5</v>
      </c>
      <c r="E64" s="1" t="str">
        <v>Petroleo pesado producido de CAM5</v>
      </c>
      <c r="F64" s="1" t="s">
        <v>9</v>
      </c>
    </row>
    <row r="65" spans="4:6" x14ac:dyDescent="0.25">
      <c r="D65" s="1" t="str">
        <v>HOIL-CAM6</v>
      </c>
      <c r="E65" s="1" t="str">
        <v>Petroleo pesado producido de CAM6</v>
      </c>
      <c r="F65" s="1" t="s">
        <v>9</v>
      </c>
    </row>
    <row r="66" spans="4:6" x14ac:dyDescent="0.25">
      <c r="D66" s="1" t="str">
        <v>HOIL-CAM7</v>
      </c>
      <c r="E66" s="1" t="str">
        <v>Petroleo pesado producido de CAM7</v>
      </c>
      <c r="F66" s="1" t="s">
        <v>9</v>
      </c>
    </row>
    <row r="67" spans="4:6" x14ac:dyDescent="0.25">
      <c r="D67" s="1" t="str">
        <v>HOIL-CAM8</v>
      </c>
      <c r="E67" s="1" t="str">
        <v>Petroleo pesado producido de CAM8</v>
      </c>
      <c r="F67" s="1" t="s">
        <v>9</v>
      </c>
    </row>
    <row r="68" spans="4:6" x14ac:dyDescent="0.25">
      <c r="D68" s="1" t="str">
        <v>HOIL-CAM9</v>
      </c>
      <c r="E68" s="1" t="str">
        <v>Petroleo pesado producido de CAM9</v>
      </c>
      <c r="F68" s="1" t="s">
        <v>9</v>
      </c>
    </row>
    <row r="69" spans="4:6" x14ac:dyDescent="0.25">
      <c r="D69" s="1" t="str">
        <v>HOIL-CAM10</v>
      </c>
      <c r="E69" s="1" t="str">
        <v>Petroleo pesado producido de CAM10</v>
      </c>
      <c r="F69" s="1" t="s">
        <v>9</v>
      </c>
    </row>
    <row r="70" spans="4:6" x14ac:dyDescent="0.25">
      <c r="D70" s="1" t="str" cm="1">
        <f t="array" ref="D70:D79">+$D$8&amp;"-"&amp;$B$3:$B$12</f>
        <v>GAS-plt-CAM1</v>
      </c>
      <c r="E70" s="1" t="str" cm="1">
        <f t="array" ref="E70:E79">+"Gas natural rementen de planta de "&amp;$B$3:$B$12</f>
        <v>Gas natural rementen de planta de CAM1</v>
      </c>
      <c r="F70" s="1" t="s">
        <v>9</v>
      </c>
    </row>
    <row r="71" spans="4:6" x14ac:dyDescent="0.25">
      <c r="D71" s="1" t="str">
        <v>GAS-plt-CAM2</v>
      </c>
      <c r="E71" s="1" t="str">
        <v>Gas natural rementen de planta de CAM2</v>
      </c>
      <c r="F71" s="1" t="s">
        <v>9</v>
      </c>
    </row>
    <row r="72" spans="4:6" x14ac:dyDescent="0.25">
      <c r="D72" s="1" t="str">
        <v>GAS-plt-CAM3</v>
      </c>
      <c r="E72" s="1" t="str">
        <v>Gas natural rementen de planta de CAM3</v>
      </c>
      <c r="F72" s="1" t="s">
        <v>9</v>
      </c>
    </row>
    <row r="73" spans="4:6" x14ac:dyDescent="0.25">
      <c r="D73" s="1" t="str">
        <v>GAS-plt-CAM4</v>
      </c>
      <c r="E73" s="1" t="str">
        <v>Gas natural rementen de planta de CAM4</v>
      </c>
      <c r="F73" s="1" t="s">
        <v>9</v>
      </c>
    </row>
    <row r="74" spans="4:6" x14ac:dyDescent="0.25">
      <c r="D74" s="1" t="str">
        <v>GAS-plt-CAM5</v>
      </c>
      <c r="E74" s="1" t="str">
        <v>Gas natural rementen de planta de CAM5</v>
      </c>
      <c r="F74" s="1" t="s">
        <v>9</v>
      </c>
    </row>
    <row r="75" spans="4:6" x14ac:dyDescent="0.25">
      <c r="D75" s="1" t="str">
        <v>GAS-plt-CAM6</v>
      </c>
      <c r="E75" s="1" t="str">
        <v>Gas natural rementen de planta de CAM6</v>
      </c>
      <c r="F75" s="1" t="s">
        <v>9</v>
      </c>
    </row>
    <row r="76" spans="4:6" x14ac:dyDescent="0.25">
      <c r="D76" s="1" t="str">
        <v>GAS-plt-CAM7</v>
      </c>
      <c r="E76" s="1" t="str">
        <v>Gas natural rementen de planta de CAM7</v>
      </c>
      <c r="F76" s="1" t="s">
        <v>9</v>
      </c>
    </row>
    <row r="77" spans="4:6" x14ac:dyDescent="0.25">
      <c r="D77" s="1" t="str">
        <v>GAS-plt-CAM8</v>
      </c>
      <c r="E77" s="1" t="str">
        <v>Gas natural rementen de planta de CAM8</v>
      </c>
      <c r="F77" s="1" t="s">
        <v>9</v>
      </c>
    </row>
    <row r="78" spans="4:6" x14ac:dyDescent="0.25">
      <c r="D78" s="1" t="str">
        <v>GAS-plt-CAM9</v>
      </c>
      <c r="E78" s="1" t="str">
        <v>Gas natural rementen de planta de CAM9</v>
      </c>
      <c r="F78" s="1" t="s">
        <v>9</v>
      </c>
    </row>
    <row r="79" spans="4:6" x14ac:dyDescent="0.25">
      <c r="D79" s="1" t="str">
        <v>GAS-plt-CAM10</v>
      </c>
      <c r="E79" s="1" t="str">
        <v>Gas natural rementen de planta de CAM10</v>
      </c>
      <c r="F79" s="1" t="s">
        <v>9</v>
      </c>
    </row>
  </sheetData>
  <mergeCells count="4">
    <mergeCell ref="B15:J15"/>
    <mergeCell ref="M15:U15"/>
    <mergeCell ref="X14:AF14"/>
    <mergeCell ref="AI15:AQ15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13F-5027-431F-8210-AC6A0A4D336D}">
  <dimension ref="B3:AD73"/>
  <sheetViews>
    <sheetView showGridLines="0" topLeftCell="R4" zoomScale="55" zoomScaleNormal="55" workbookViewId="0">
      <selection activeCell="V20" sqref="V20:AD24"/>
    </sheetView>
  </sheetViews>
  <sheetFormatPr baseColWidth="10" defaultRowHeight="15" x14ac:dyDescent="0.25"/>
  <cols>
    <col min="3" max="3" width="7.140625" customWidth="1"/>
    <col min="4" max="4" width="16.85546875" customWidth="1"/>
    <col min="5" max="5" width="42.85546875" customWidth="1"/>
    <col min="8" max="8" width="15.28515625" customWidth="1"/>
    <col min="9" max="9" width="14.85546875" customWidth="1"/>
    <col min="13" max="13" width="7.140625" customWidth="1"/>
    <col min="14" max="14" width="16.85546875" customWidth="1"/>
    <col min="15" max="15" width="42.85546875" customWidth="1"/>
    <col min="18" max="18" width="15.28515625" customWidth="1"/>
    <col min="19" max="19" width="14.85546875" customWidth="1"/>
    <col min="23" max="23" width="7.140625" customWidth="1"/>
    <col min="24" max="24" width="16.85546875" customWidth="1"/>
    <col min="25" max="25" width="42.85546875" customWidth="1"/>
    <col min="28" max="28" width="15.28515625" customWidth="1"/>
    <col min="29" max="29" width="14.85546875" customWidth="1"/>
  </cols>
  <sheetData>
    <row r="3" spans="2:6" x14ac:dyDescent="0.25">
      <c r="B3" t="s">
        <v>59</v>
      </c>
      <c r="D3" t="s">
        <v>109</v>
      </c>
      <c r="E3" t="s">
        <v>122</v>
      </c>
      <c r="F3" s="20" t="s">
        <v>123</v>
      </c>
    </row>
    <row r="4" spans="2:6" x14ac:dyDescent="0.25">
      <c r="B4" t="s">
        <v>60</v>
      </c>
      <c r="D4" t="s">
        <v>116</v>
      </c>
      <c r="E4" s="1" t="s">
        <v>46</v>
      </c>
      <c r="F4" s="19" t="s">
        <v>120</v>
      </c>
    </row>
    <row r="5" spans="2:6" x14ac:dyDescent="0.25">
      <c r="B5" t="s">
        <v>61</v>
      </c>
      <c r="D5" t="s">
        <v>117</v>
      </c>
      <c r="E5" s="15" t="s">
        <v>50</v>
      </c>
      <c r="F5" s="19" t="s">
        <v>121</v>
      </c>
    </row>
    <row r="6" spans="2:6" x14ac:dyDescent="0.25">
      <c r="B6" t="s">
        <v>62</v>
      </c>
      <c r="D6" t="s">
        <v>118</v>
      </c>
      <c r="E6" s="1" t="s">
        <v>51</v>
      </c>
    </row>
    <row r="7" spans="2:6" x14ac:dyDescent="0.25">
      <c r="B7" t="s">
        <v>63</v>
      </c>
      <c r="D7" t="s">
        <v>119</v>
      </c>
      <c r="E7" s="1" t="s">
        <v>52</v>
      </c>
    </row>
    <row r="8" spans="2:6" x14ac:dyDescent="0.25">
      <c r="B8" t="s">
        <v>64</v>
      </c>
      <c r="D8" t="s">
        <v>128</v>
      </c>
      <c r="E8" s="1" t="s">
        <v>53</v>
      </c>
    </row>
    <row r="9" spans="2:6" x14ac:dyDescent="0.25">
      <c r="B9" t="s">
        <v>65</v>
      </c>
      <c r="D9" t="s">
        <v>125</v>
      </c>
      <c r="E9" s="1" t="s">
        <v>44</v>
      </c>
    </row>
    <row r="10" spans="2:6" x14ac:dyDescent="0.25">
      <c r="B10" t="s">
        <v>66</v>
      </c>
      <c r="D10" t="s">
        <v>129</v>
      </c>
      <c r="E10" s="1" t="s">
        <v>45</v>
      </c>
    </row>
    <row r="11" spans="2:6" x14ac:dyDescent="0.25">
      <c r="B11" t="s">
        <v>67</v>
      </c>
      <c r="E11" s="1" t="s">
        <v>54</v>
      </c>
    </row>
    <row r="12" spans="2:6" x14ac:dyDescent="0.25">
      <c r="B12" t="s">
        <v>68</v>
      </c>
      <c r="E12" s="15" t="s">
        <v>55</v>
      </c>
    </row>
    <row r="13" spans="2:6" x14ac:dyDescent="0.25">
      <c r="B13" t="s">
        <v>69</v>
      </c>
      <c r="E13" s="1" t="s">
        <v>70</v>
      </c>
    </row>
    <row r="14" spans="2:6" x14ac:dyDescent="0.25">
      <c r="E14" s="1" t="s">
        <v>56</v>
      </c>
    </row>
    <row r="15" spans="2:6" x14ac:dyDescent="0.25">
      <c r="E15" s="1"/>
    </row>
    <row r="16" spans="2:6" x14ac:dyDescent="0.25">
      <c r="E16" s="1"/>
    </row>
    <row r="17" spans="2:30" x14ac:dyDescent="0.25">
      <c r="E17" s="1"/>
    </row>
    <row r="18" spans="2:30" x14ac:dyDescent="0.25">
      <c r="B18" s="70" t="s">
        <v>124</v>
      </c>
      <c r="C18" s="70"/>
      <c r="D18" s="70"/>
      <c r="E18" s="70"/>
      <c r="F18" s="70"/>
      <c r="G18" s="70"/>
      <c r="H18" s="70"/>
      <c r="I18" s="70"/>
      <c r="J18" s="70"/>
      <c r="L18" s="70" t="s">
        <v>130</v>
      </c>
      <c r="M18" s="70"/>
      <c r="N18" s="70"/>
      <c r="O18" s="70"/>
      <c r="P18" s="70"/>
      <c r="Q18" s="70"/>
      <c r="R18" s="70"/>
      <c r="S18" s="70"/>
      <c r="T18" s="70"/>
      <c r="V18" s="70" t="s">
        <v>126</v>
      </c>
      <c r="W18" s="70"/>
      <c r="X18" s="70"/>
      <c r="Y18" s="70"/>
      <c r="Z18" s="70"/>
      <c r="AA18" s="70"/>
      <c r="AB18" s="70"/>
      <c r="AC18" s="70"/>
      <c r="AD18" s="70"/>
    </row>
    <row r="20" spans="2:30" x14ac:dyDescent="0.25">
      <c r="B20" s="14" t="s">
        <v>31</v>
      </c>
      <c r="C20" s="1"/>
      <c r="D20" s="1"/>
      <c r="E20" s="1"/>
      <c r="F20" s="1"/>
      <c r="G20" s="1"/>
      <c r="H20" s="1"/>
      <c r="I20" s="1"/>
      <c r="J20" s="1"/>
      <c r="L20" s="14" t="s">
        <v>31</v>
      </c>
      <c r="M20" s="1"/>
      <c r="N20" s="1"/>
      <c r="O20" s="1"/>
      <c r="P20" s="1"/>
      <c r="Q20" s="1"/>
      <c r="R20" s="1"/>
      <c r="S20" s="1"/>
      <c r="T20" s="1"/>
      <c r="V20" s="14" t="s">
        <v>31</v>
      </c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1" t="s">
        <v>33</v>
      </c>
      <c r="C21" s="12" t="s">
        <v>23</v>
      </c>
      <c r="D21" s="11" t="s">
        <v>11</v>
      </c>
      <c r="E21" s="11" t="s">
        <v>34</v>
      </c>
      <c r="F21" s="11" t="s">
        <v>35</v>
      </c>
      <c r="G21" s="11" t="s">
        <v>36</v>
      </c>
      <c r="H21" s="11" t="s">
        <v>110</v>
      </c>
      <c r="I21" s="11" t="s">
        <v>111</v>
      </c>
      <c r="J21" s="11" t="s">
        <v>112</v>
      </c>
      <c r="L21" s="11" t="s">
        <v>33</v>
      </c>
      <c r="M21" s="12" t="s">
        <v>23</v>
      </c>
      <c r="N21" s="11" t="s">
        <v>11</v>
      </c>
      <c r="O21" s="11" t="s">
        <v>34</v>
      </c>
      <c r="P21" s="11" t="s">
        <v>35</v>
      </c>
      <c r="Q21" s="11" t="s">
        <v>36</v>
      </c>
      <c r="R21" s="11" t="s">
        <v>110</v>
      </c>
      <c r="S21" s="11" t="s">
        <v>111</v>
      </c>
      <c r="T21" s="11" t="s">
        <v>112</v>
      </c>
      <c r="V21" s="11" t="s">
        <v>33</v>
      </c>
      <c r="W21" s="12" t="s">
        <v>23</v>
      </c>
      <c r="X21" s="11" t="s">
        <v>11</v>
      </c>
      <c r="Y21" s="11" t="s">
        <v>34</v>
      </c>
      <c r="Z21" s="11" t="s">
        <v>35</v>
      </c>
      <c r="AA21" s="11" t="s">
        <v>36</v>
      </c>
      <c r="AB21" s="11" t="s">
        <v>110</v>
      </c>
      <c r="AC21" s="11" t="s">
        <v>111</v>
      </c>
      <c r="AD21" s="11" t="s">
        <v>112</v>
      </c>
    </row>
    <row r="22" spans="2:30" s="18" customFormat="1" ht="24" thickBot="1" x14ac:dyDescent="0.3">
      <c r="B22" s="13" t="s">
        <v>37</v>
      </c>
      <c r="C22" s="13" t="s">
        <v>27</v>
      </c>
      <c r="D22" s="13" t="s">
        <v>38</v>
      </c>
      <c r="E22" s="13" t="s">
        <v>39</v>
      </c>
      <c r="F22" s="13" t="s">
        <v>40</v>
      </c>
      <c r="G22" s="13" t="s">
        <v>41</v>
      </c>
      <c r="H22" s="13" t="s">
        <v>113</v>
      </c>
      <c r="I22" s="13" t="s">
        <v>114</v>
      </c>
      <c r="J22" s="13" t="s">
        <v>115</v>
      </c>
      <c r="L22" s="13" t="s">
        <v>37</v>
      </c>
      <c r="M22" s="13" t="s">
        <v>27</v>
      </c>
      <c r="N22" s="13" t="s">
        <v>38</v>
      </c>
      <c r="O22" s="13" t="s">
        <v>39</v>
      </c>
      <c r="P22" s="13" t="s">
        <v>40</v>
      </c>
      <c r="Q22" s="13" t="s">
        <v>41</v>
      </c>
      <c r="R22" s="13" t="s">
        <v>113</v>
      </c>
      <c r="S22" s="13" t="s">
        <v>114</v>
      </c>
      <c r="T22" s="13" t="s">
        <v>115</v>
      </c>
      <c r="V22" s="13" t="s">
        <v>37</v>
      </c>
      <c r="W22" s="13" t="s">
        <v>27</v>
      </c>
      <c r="X22" s="13" t="s">
        <v>38</v>
      </c>
      <c r="Y22" s="13" t="s">
        <v>39</v>
      </c>
      <c r="Z22" s="13" t="s">
        <v>40</v>
      </c>
      <c r="AA22" s="13" t="s">
        <v>41</v>
      </c>
      <c r="AB22" s="13" t="s">
        <v>113</v>
      </c>
      <c r="AC22" s="13" t="s">
        <v>114</v>
      </c>
      <c r="AD22" s="13" t="s">
        <v>115</v>
      </c>
    </row>
    <row r="23" spans="2:30" ht="15.75" thickBot="1" x14ac:dyDescent="0.3">
      <c r="B23" s="13" t="s">
        <v>4</v>
      </c>
      <c r="C23" s="13"/>
      <c r="D23" s="13"/>
      <c r="E23" s="13"/>
      <c r="F23" s="13"/>
      <c r="G23" s="13"/>
      <c r="H23" s="13"/>
      <c r="I23" s="13"/>
      <c r="J23" s="13"/>
      <c r="L23" s="13" t="s">
        <v>4</v>
      </c>
      <c r="M23" s="13"/>
      <c r="N23" s="13"/>
      <c r="O23" s="13"/>
      <c r="P23" s="13"/>
      <c r="Q23" s="13"/>
      <c r="R23" s="13"/>
      <c r="S23" s="13"/>
      <c r="T23" s="13"/>
      <c r="V23" s="13" t="s">
        <v>4</v>
      </c>
      <c r="W23" s="13"/>
      <c r="X23" s="13"/>
      <c r="Y23" s="13"/>
      <c r="Z23" s="13"/>
      <c r="AA23" s="13"/>
      <c r="AB23" s="13"/>
      <c r="AC23" s="13"/>
      <c r="AD23" s="13"/>
    </row>
    <row r="24" spans="2:30" x14ac:dyDescent="0.25">
      <c r="B24" t="s">
        <v>116</v>
      </c>
      <c r="D24" t="str" cm="1">
        <f t="array" ref="D24:D33">+$D$4&amp;"-"&amp;$B$4:$B$13</f>
        <v>MIN-CAM1</v>
      </c>
      <c r="E24" t="str" cm="1">
        <f t="array" ref="E24:E33">+"Mina de reservas de fluidos de "&amp;B4:B13</f>
        <v>Mina de reservas de fluidos de CAM1</v>
      </c>
      <c r="F24" t="s">
        <v>9</v>
      </c>
      <c r="G24" t="s">
        <v>43</v>
      </c>
      <c r="L24" t="s">
        <v>47</v>
      </c>
      <c r="N24" t="str" cm="1">
        <f t="array" ref="N24:N33">+$D$5&amp;"-"&amp;B4:B13</f>
        <v>PROF-CAM1</v>
      </c>
      <c r="O24" t="str" cm="1">
        <f t="array" ref="O24:O33">+"Produccion con flaring de "&amp;B4:B13</f>
        <v>Produccion con flaring de CAM1</v>
      </c>
      <c r="P24" t="s">
        <v>9</v>
      </c>
      <c r="Q24" t="s">
        <v>43</v>
      </c>
      <c r="V24" t="s">
        <v>47</v>
      </c>
      <c r="X24" t="s">
        <v>119</v>
      </c>
      <c r="Y24" t="s">
        <v>127</v>
      </c>
      <c r="Z24" t="s">
        <v>9</v>
      </c>
      <c r="AA24" t="s">
        <v>43</v>
      </c>
    </row>
    <row r="25" spans="2:30" x14ac:dyDescent="0.25">
      <c r="D25" t="str">
        <v>MIN-CAM2</v>
      </c>
      <c r="E25" t="str">
        <v>Mina de reservas de fluidos de CAM2</v>
      </c>
      <c r="F25" t="s">
        <v>9</v>
      </c>
      <c r="G25" t="s">
        <v>43</v>
      </c>
      <c r="N25" t="str">
        <v>PROF-CAM2</v>
      </c>
      <c r="O25" t="str">
        <v>Produccion con flaring de CAM2</v>
      </c>
      <c r="P25" t="s">
        <v>9</v>
      </c>
      <c r="Q25" t="s">
        <v>43</v>
      </c>
    </row>
    <row r="26" spans="2:30" x14ac:dyDescent="0.25">
      <c r="D26" t="str">
        <v>MIN-CAM3</v>
      </c>
      <c r="E26" t="str">
        <v>Mina de reservas de fluidos de CAM3</v>
      </c>
      <c r="F26" t="s">
        <v>9</v>
      </c>
      <c r="G26" t="s">
        <v>43</v>
      </c>
      <c r="N26" t="str">
        <v>PROF-CAM3</v>
      </c>
      <c r="O26" t="str">
        <v>Produccion con flaring de CAM3</v>
      </c>
      <c r="P26" t="s">
        <v>9</v>
      </c>
      <c r="Q26" t="s">
        <v>43</v>
      </c>
    </row>
    <row r="27" spans="2:30" x14ac:dyDescent="0.25">
      <c r="D27" t="str">
        <v>MIN-CAM4</v>
      </c>
      <c r="E27" t="str">
        <v>Mina de reservas de fluidos de CAM4</v>
      </c>
      <c r="F27" t="s">
        <v>9</v>
      </c>
      <c r="G27" t="s">
        <v>43</v>
      </c>
      <c r="N27" t="str">
        <v>PROF-CAM4</v>
      </c>
      <c r="O27" t="str">
        <v>Produccion con flaring de CAM4</v>
      </c>
      <c r="P27" t="s">
        <v>9</v>
      </c>
      <c r="Q27" t="s">
        <v>43</v>
      </c>
    </row>
    <row r="28" spans="2:30" x14ac:dyDescent="0.25">
      <c r="D28" t="str">
        <v>MIN-CAM5</v>
      </c>
      <c r="E28" t="str">
        <v>Mina de reservas de fluidos de CAM5</v>
      </c>
      <c r="F28" t="s">
        <v>9</v>
      </c>
      <c r="G28" t="s">
        <v>43</v>
      </c>
      <c r="N28" t="str">
        <v>PROF-CAM5</v>
      </c>
      <c r="O28" t="str">
        <v>Produccion con flaring de CAM5</v>
      </c>
      <c r="P28" t="s">
        <v>9</v>
      </c>
      <c r="Q28" t="s">
        <v>43</v>
      </c>
    </row>
    <row r="29" spans="2:30" x14ac:dyDescent="0.25">
      <c r="D29" t="str">
        <v>MIN-CAM6</v>
      </c>
      <c r="E29" t="str">
        <v>Mina de reservas de fluidos de CAM6</v>
      </c>
      <c r="F29" t="s">
        <v>9</v>
      </c>
      <c r="G29" t="s">
        <v>43</v>
      </c>
      <c r="N29" t="str">
        <v>PROF-CAM6</v>
      </c>
      <c r="O29" t="str">
        <v>Produccion con flaring de CAM6</v>
      </c>
      <c r="P29" t="s">
        <v>9</v>
      </c>
      <c r="Q29" t="s">
        <v>43</v>
      </c>
    </row>
    <row r="30" spans="2:30" x14ac:dyDescent="0.25">
      <c r="D30" t="str">
        <v>MIN-CAM7</v>
      </c>
      <c r="E30" t="str">
        <v>Mina de reservas de fluidos de CAM7</v>
      </c>
      <c r="F30" t="s">
        <v>9</v>
      </c>
      <c r="G30" t="s">
        <v>43</v>
      </c>
      <c r="N30" t="str">
        <v>PROF-CAM7</v>
      </c>
      <c r="O30" t="str">
        <v>Produccion con flaring de CAM7</v>
      </c>
      <c r="P30" t="s">
        <v>9</v>
      </c>
      <c r="Q30" t="s">
        <v>43</v>
      </c>
    </row>
    <row r="31" spans="2:30" x14ac:dyDescent="0.25">
      <c r="D31" t="str">
        <v>MIN-CAM8</v>
      </c>
      <c r="E31" t="str">
        <v>Mina de reservas de fluidos de CAM8</v>
      </c>
      <c r="F31" t="s">
        <v>9</v>
      </c>
      <c r="G31" t="s">
        <v>43</v>
      </c>
      <c r="N31" t="str">
        <v>PROF-CAM8</v>
      </c>
      <c r="O31" t="str">
        <v>Produccion con flaring de CAM8</v>
      </c>
      <c r="P31" t="s">
        <v>9</v>
      </c>
      <c r="Q31" t="s">
        <v>43</v>
      </c>
    </row>
    <row r="32" spans="2:30" x14ac:dyDescent="0.25">
      <c r="D32" t="str">
        <v>MIN-CAM9</v>
      </c>
      <c r="E32" t="str">
        <v>Mina de reservas de fluidos de CAM9</v>
      </c>
      <c r="F32" t="s">
        <v>9</v>
      </c>
      <c r="G32" t="s">
        <v>43</v>
      </c>
      <c r="N32" t="str">
        <v>PROF-CAM9</v>
      </c>
      <c r="O32" t="str">
        <v>Produccion con flaring de CAM9</v>
      </c>
      <c r="P32" t="s">
        <v>9</v>
      </c>
      <c r="Q32" t="s">
        <v>43</v>
      </c>
    </row>
    <row r="33" spans="4:17" x14ac:dyDescent="0.25">
      <c r="D33" t="str">
        <v>MIN-CAM10</v>
      </c>
      <c r="E33" t="str">
        <v>Mina de reservas de fluidos de CAM10</v>
      </c>
      <c r="F33" t="s">
        <v>9</v>
      </c>
      <c r="G33" t="s">
        <v>43</v>
      </c>
      <c r="N33" t="str">
        <v>PROF-CAM10</v>
      </c>
      <c r="O33" t="str">
        <v>Produccion con flaring de CAM10</v>
      </c>
      <c r="P33" t="s">
        <v>9</v>
      </c>
      <c r="Q33" t="s">
        <v>43</v>
      </c>
    </row>
    <row r="34" spans="4:17" x14ac:dyDescent="0.25">
      <c r="N34" t="str" cm="1">
        <f t="array" ref="N34:N43">+$D$9&amp;"-"&amp;B4:B13</f>
        <v>PROSF-CAM1</v>
      </c>
      <c r="O34" t="str" cm="1">
        <f t="array" ref="O34:O43">+"Produccion sin flaring de "&amp;$B$4:$B$13</f>
        <v>Produccion sin flaring de CAM1</v>
      </c>
      <c r="P34" t="s">
        <v>9</v>
      </c>
      <c r="Q34" t="s">
        <v>43</v>
      </c>
    </row>
    <row r="35" spans="4:17" x14ac:dyDescent="0.25">
      <c r="N35" t="str">
        <v>PROSF-CAM2</v>
      </c>
      <c r="O35" t="str">
        <v>Produccion sin flaring de CAM2</v>
      </c>
      <c r="P35" t="s">
        <v>9</v>
      </c>
      <c r="Q35" t="s">
        <v>43</v>
      </c>
    </row>
    <row r="36" spans="4:17" x14ac:dyDescent="0.25">
      <c r="N36" t="str">
        <v>PROSF-CAM3</v>
      </c>
      <c r="O36" t="str">
        <v>Produccion sin flaring de CAM3</v>
      </c>
      <c r="P36" t="s">
        <v>9</v>
      </c>
      <c r="Q36" t="s">
        <v>43</v>
      </c>
    </row>
    <row r="37" spans="4:17" x14ac:dyDescent="0.25">
      <c r="N37" t="str">
        <v>PROSF-CAM4</v>
      </c>
      <c r="O37" t="str">
        <v>Produccion sin flaring de CAM4</v>
      </c>
      <c r="P37" t="s">
        <v>9</v>
      </c>
      <c r="Q37" t="s">
        <v>43</v>
      </c>
    </row>
    <row r="38" spans="4:17" x14ac:dyDescent="0.25">
      <c r="N38" t="str">
        <v>PROSF-CAM5</v>
      </c>
      <c r="O38" t="str">
        <v>Produccion sin flaring de CAM5</v>
      </c>
      <c r="P38" t="s">
        <v>9</v>
      </c>
      <c r="Q38" t="s">
        <v>43</v>
      </c>
    </row>
    <row r="39" spans="4:17" x14ac:dyDescent="0.25">
      <c r="N39" t="str">
        <v>PROSF-CAM6</v>
      </c>
      <c r="O39" t="str">
        <v>Produccion sin flaring de CAM6</v>
      </c>
      <c r="P39" t="s">
        <v>9</v>
      </c>
      <c r="Q39" t="s">
        <v>43</v>
      </c>
    </row>
    <row r="40" spans="4:17" x14ac:dyDescent="0.25">
      <c r="N40" t="str">
        <v>PROSF-CAM7</v>
      </c>
      <c r="O40" t="str">
        <v>Produccion sin flaring de CAM7</v>
      </c>
      <c r="P40" t="s">
        <v>9</v>
      </c>
      <c r="Q40" t="s">
        <v>43</v>
      </c>
    </row>
    <row r="41" spans="4:17" x14ac:dyDescent="0.25">
      <c r="N41" t="str">
        <v>PROSF-CAM8</v>
      </c>
      <c r="O41" t="str">
        <v>Produccion sin flaring de CAM8</v>
      </c>
      <c r="P41" t="s">
        <v>9</v>
      </c>
      <c r="Q41" t="s">
        <v>43</v>
      </c>
    </row>
    <row r="42" spans="4:17" x14ac:dyDescent="0.25">
      <c r="N42" t="str">
        <v>PROSF-CAM9</v>
      </c>
      <c r="O42" t="str">
        <v>Produccion sin flaring de CAM9</v>
      </c>
      <c r="P42" t="s">
        <v>9</v>
      </c>
      <c r="Q42" t="s">
        <v>43</v>
      </c>
    </row>
    <row r="43" spans="4:17" x14ac:dyDescent="0.25">
      <c r="N43" t="str">
        <v>PROSF-CAM10</v>
      </c>
      <c r="O43" t="str">
        <v>Produccion sin flaring de CAM10</v>
      </c>
      <c r="P43" t="s">
        <v>9</v>
      </c>
      <c r="Q43" t="s">
        <v>43</v>
      </c>
    </row>
    <row r="44" spans="4:17" x14ac:dyDescent="0.25">
      <c r="N44" t="str" cm="1">
        <f t="array" ref="N44:N53">+$D$6&amp;"-"&amp;B4:B13</f>
        <v>COL-CAM1</v>
      </c>
      <c r="O44" t="str" cm="1">
        <f t="array" ref="O44:O53">+"Colectores de "&amp;B4:B13</f>
        <v>Colectores de CAM1</v>
      </c>
      <c r="P44" t="s">
        <v>9</v>
      </c>
      <c r="Q44" t="s">
        <v>43</v>
      </c>
    </row>
    <row r="45" spans="4:17" x14ac:dyDescent="0.25">
      <c r="N45" t="str">
        <v>COL-CAM2</v>
      </c>
      <c r="O45" t="str">
        <v>Colectores de CAM2</v>
      </c>
      <c r="P45" t="s">
        <v>9</v>
      </c>
      <c r="Q45" t="s">
        <v>43</v>
      </c>
    </row>
    <row r="46" spans="4:17" x14ac:dyDescent="0.25">
      <c r="N46" t="str">
        <v>COL-CAM3</v>
      </c>
      <c r="O46" t="str">
        <v>Colectores de CAM3</v>
      </c>
      <c r="P46" t="s">
        <v>9</v>
      </c>
      <c r="Q46" t="s">
        <v>43</v>
      </c>
    </row>
    <row r="47" spans="4:17" x14ac:dyDescent="0.25">
      <c r="N47" t="str">
        <v>COL-CAM4</v>
      </c>
      <c r="O47" t="str">
        <v>Colectores de CAM4</v>
      </c>
      <c r="P47" t="s">
        <v>9</v>
      </c>
      <c r="Q47" t="s">
        <v>43</v>
      </c>
    </row>
    <row r="48" spans="4:17" x14ac:dyDescent="0.25">
      <c r="N48" t="str">
        <v>COL-CAM5</v>
      </c>
      <c r="O48" t="str">
        <v>Colectores de CAM5</v>
      </c>
      <c r="P48" t="s">
        <v>9</v>
      </c>
      <c r="Q48" t="s">
        <v>43</v>
      </c>
    </row>
    <row r="49" spans="14:17" x14ac:dyDescent="0.25">
      <c r="N49" t="str">
        <v>COL-CAM6</v>
      </c>
      <c r="O49" t="str">
        <v>Colectores de CAM6</v>
      </c>
      <c r="P49" t="s">
        <v>9</v>
      </c>
      <c r="Q49" t="s">
        <v>43</v>
      </c>
    </row>
    <row r="50" spans="14:17" x14ac:dyDescent="0.25">
      <c r="N50" t="str">
        <v>COL-CAM7</v>
      </c>
      <c r="O50" t="str">
        <v>Colectores de CAM7</v>
      </c>
      <c r="P50" t="s">
        <v>9</v>
      </c>
      <c r="Q50" t="s">
        <v>43</v>
      </c>
    </row>
    <row r="51" spans="14:17" x14ac:dyDescent="0.25">
      <c r="N51" t="str">
        <v>COL-CAM8</v>
      </c>
      <c r="O51" t="str">
        <v>Colectores de CAM8</v>
      </c>
      <c r="P51" t="s">
        <v>9</v>
      </c>
      <c r="Q51" t="s">
        <v>43</v>
      </c>
    </row>
    <row r="52" spans="14:17" x14ac:dyDescent="0.25">
      <c r="N52" t="str">
        <v>COL-CAM9</v>
      </c>
      <c r="O52" t="str">
        <v>Colectores de CAM9</v>
      </c>
      <c r="P52" t="s">
        <v>9</v>
      </c>
      <c r="Q52" t="s">
        <v>43</v>
      </c>
    </row>
    <row r="53" spans="14:17" x14ac:dyDescent="0.25">
      <c r="N53" t="str">
        <v>COL-CAM10</v>
      </c>
      <c r="O53" t="str">
        <v>Colectores de CAM10</v>
      </c>
      <c r="P53" t="s">
        <v>9</v>
      </c>
      <c r="Q53" t="s">
        <v>43</v>
      </c>
    </row>
    <row r="54" spans="14:17" x14ac:dyDescent="0.25">
      <c r="N54" t="str" cm="1">
        <f t="array" ref="N54:N63">+$D$8&amp;"-"&amp;$B$4:$B$13</f>
        <v>AUTO-G-CAM1</v>
      </c>
      <c r="O54" t="str" cm="1">
        <f t="array" ref="O54:O63">+"Autogeneracion con gas natural de "&amp;$B$4:$B$13</f>
        <v>Autogeneracion con gas natural de CAM1</v>
      </c>
      <c r="P54" t="s">
        <v>9</v>
      </c>
      <c r="Q54" t="s">
        <v>43</v>
      </c>
    </row>
    <row r="55" spans="14:17" x14ac:dyDescent="0.25">
      <c r="N55" t="str">
        <v>AUTO-G-CAM2</v>
      </c>
      <c r="O55" t="str">
        <v>Autogeneracion con gas natural de CAM2</v>
      </c>
      <c r="P55" t="s">
        <v>9</v>
      </c>
      <c r="Q55" t="s">
        <v>43</v>
      </c>
    </row>
    <row r="56" spans="14:17" x14ac:dyDescent="0.25">
      <c r="N56" t="str">
        <v>AUTO-G-CAM3</v>
      </c>
      <c r="O56" t="str">
        <v>Autogeneracion con gas natural de CAM3</v>
      </c>
      <c r="P56" t="s">
        <v>9</v>
      </c>
      <c r="Q56" t="s">
        <v>43</v>
      </c>
    </row>
    <row r="57" spans="14:17" x14ac:dyDescent="0.25">
      <c r="N57" t="str">
        <v>AUTO-G-CAM4</v>
      </c>
      <c r="O57" t="str">
        <v>Autogeneracion con gas natural de CAM4</v>
      </c>
      <c r="P57" t="s">
        <v>9</v>
      </c>
      <c r="Q57" t="s">
        <v>43</v>
      </c>
    </row>
    <row r="58" spans="14:17" x14ac:dyDescent="0.25">
      <c r="N58" t="str">
        <v>AUTO-G-CAM5</v>
      </c>
      <c r="O58" t="str">
        <v>Autogeneracion con gas natural de CAM5</v>
      </c>
      <c r="P58" t="s">
        <v>9</v>
      </c>
      <c r="Q58" t="s">
        <v>43</v>
      </c>
    </row>
    <row r="59" spans="14:17" x14ac:dyDescent="0.25">
      <c r="N59" t="str">
        <v>AUTO-G-CAM6</v>
      </c>
      <c r="O59" t="str">
        <v>Autogeneracion con gas natural de CAM6</v>
      </c>
      <c r="P59" t="s">
        <v>9</v>
      </c>
      <c r="Q59" t="s">
        <v>43</v>
      </c>
    </row>
    <row r="60" spans="14:17" x14ac:dyDescent="0.25">
      <c r="N60" t="str">
        <v>AUTO-G-CAM7</v>
      </c>
      <c r="O60" t="str">
        <v>Autogeneracion con gas natural de CAM7</v>
      </c>
      <c r="P60" t="s">
        <v>9</v>
      </c>
      <c r="Q60" t="s">
        <v>43</v>
      </c>
    </row>
    <row r="61" spans="14:17" x14ac:dyDescent="0.25">
      <c r="N61" t="str">
        <v>AUTO-G-CAM8</v>
      </c>
      <c r="O61" t="str">
        <v>Autogeneracion con gas natural de CAM8</v>
      </c>
      <c r="P61" t="s">
        <v>9</v>
      </c>
      <c r="Q61" t="s">
        <v>43</v>
      </c>
    </row>
    <row r="62" spans="14:17" x14ac:dyDescent="0.25">
      <c r="N62" t="str">
        <v>AUTO-G-CAM9</v>
      </c>
      <c r="O62" t="str">
        <v>Autogeneracion con gas natural de CAM9</v>
      </c>
      <c r="P62" t="s">
        <v>9</v>
      </c>
      <c r="Q62" t="s">
        <v>43</v>
      </c>
    </row>
    <row r="63" spans="14:17" x14ac:dyDescent="0.25">
      <c r="N63" t="str">
        <v>AUTO-G-CAM10</v>
      </c>
      <c r="O63" t="str">
        <v>Autogeneracion con gas natural de CAM10</v>
      </c>
      <c r="P63" t="s">
        <v>9</v>
      </c>
      <c r="Q63" t="s">
        <v>43</v>
      </c>
    </row>
    <row r="64" spans="14:17" x14ac:dyDescent="0.25">
      <c r="N64" t="str" cm="1">
        <f t="array" ref="N64:N73">+$D$10&amp;"-"&amp;$B$4:$B$13</f>
        <v>AUTO-O-CAM1</v>
      </c>
      <c r="O64" t="str" cm="1">
        <f t="array" ref="O64:O73">+"Autogeneracion con petroleo de "&amp;$B$4:$B$13</f>
        <v>Autogeneracion con petroleo de CAM1</v>
      </c>
      <c r="P64" t="s">
        <v>9</v>
      </c>
      <c r="Q64" t="s">
        <v>43</v>
      </c>
    </row>
    <row r="65" spans="14:17" x14ac:dyDescent="0.25">
      <c r="N65" t="str">
        <v>AUTO-O-CAM2</v>
      </c>
      <c r="O65" t="str">
        <v>Autogeneracion con petroleo de CAM2</v>
      </c>
      <c r="P65" t="s">
        <v>9</v>
      </c>
      <c r="Q65" t="s">
        <v>43</v>
      </c>
    </row>
    <row r="66" spans="14:17" x14ac:dyDescent="0.25">
      <c r="N66" t="str">
        <v>AUTO-O-CAM3</v>
      </c>
      <c r="O66" t="str">
        <v>Autogeneracion con petroleo de CAM3</v>
      </c>
      <c r="P66" t="s">
        <v>9</v>
      </c>
      <c r="Q66" t="s">
        <v>43</v>
      </c>
    </row>
    <row r="67" spans="14:17" x14ac:dyDescent="0.25">
      <c r="N67" t="str">
        <v>AUTO-O-CAM4</v>
      </c>
      <c r="O67" t="str">
        <v>Autogeneracion con petroleo de CAM4</v>
      </c>
      <c r="P67" t="s">
        <v>9</v>
      </c>
      <c r="Q67" t="s">
        <v>43</v>
      </c>
    </row>
    <row r="68" spans="14:17" x14ac:dyDescent="0.25">
      <c r="N68" t="str">
        <v>AUTO-O-CAM5</v>
      </c>
      <c r="O68" t="str">
        <v>Autogeneracion con petroleo de CAM5</v>
      </c>
      <c r="P68" t="s">
        <v>9</v>
      </c>
      <c r="Q68" t="s">
        <v>43</v>
      </c>
    </row>
    <row r="69" spans="14:17" x14ac:dyDescent="0.25">
      <c r="N69" t="str">
        <v>AUTO-O-CAM6</v>
      </c>
      <c r="O69" t="str">
        <v>Autogeneracion con petroleo de CAM6</v>
      </c>
      <c r="P69" t="s">
        <v>9</v>
      </c>
      <c r="Q69" t="s">
        <v>43</v>
      </c>
    </row>
    <row r="70" spans="14:17" x14ac:dyDescent="0.25">
      <c r="N70" t="str">
        <v>AUTO-O-CAM7</v>
      </c>
      <c r="O70" t="str">
        <v>Autogeneracion con petroleo de CAM7</v>
      </c>
      <c r="P70" t="s">
        <v>9</v>
      </c>
      <c r="Q70" t="s">
        <v>43</v>
      </c>
    </row>
    <row r="71" spans="14:17" x14ac:dyDescent="0.25">
      <c r="N71" t="str">
        <v>AUTO-O-CAM8</v>
      </c>
      <c r="O71" t="str">
        <v>Autogeneracion con petroleo de CAM8</v>
      </c>
      <c r="P71" t="s">
        <v>9</v>
      </c>
      <c r="Q71" t="s">
        <v>43</v>
      </c>
    </row>
    <row r="72" spans="14:17" x14ac:dyDescent="0.25">
      <c r="N72" t="str">
        <v>AUTO-O-CAM9</v>
      </c>
      <c r="O72" t="str">
        <v>Autogeneracion con petroleo de CAM9</v>
      </c>
      <c r="P72" t="s">
        <v>9</v>
      </c>
      <c r="Q72" t="s">
        <v>43</v>
      </c>
    </row>
    <row r="73" spans="14:17" x14ac:dyDescent="0.25">
      <c r="N73" t="str">
        <v>AUTO-O-CAM10</v>
      </c>
      <c r="O73" t="str">
        <v>Autogeneracion con petroleo de CAM10</v>
      </c>
      <c r="P73" t="s">
        <v>9</v>
      </c>
      <c r="Q73" t="s">
        <v>43</v>
      </c>
    </row>
  </sheetData>
  <mergeCells count="3">
    <mergeCell ref="B18:J18"/>
    <mergeCell ref="L18:T18"/>
    <mergeCell ref="V18:AD18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BBF6-E167-48D3-927A-A11A4A00D8B9}">
  <dimension ref="B1:AO126"/>
  <sheetViews>
    <sheetView showGridLines="0" tabSelected="1" topLeftCell="A36" zoomScale="85" zoomScaleNormal="85" workbookViewId="0">
      <selection activeCell="D35" sqref="D35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9:23" x14ac:dyDescent="0.25">
      <c r="R1">
        <v>9.47817E-4</v>
      </c>
      <c r="S1" t="s">
        <v>240</v>
      </c>
    </row>
    <row r="2" spans="9:23" x14ac:dyDescent="0.25">
      <c r="R2">
        <f>+R1/(1000000)</f>
        <v>9.4781700000000002E-10</v>
      </c>
      <c r="S2" t="s">
        <v>241</v>
      </c>
    </row>
    <row r="3" spans="9:23" x14ac:dyDescent="0.25">
      <c r="R3">
        <f>+R2*1000000000000000</f>
        <v>947817</v>
      </c>
      <c r="S3" t="s">
        <v>242</v>
      </c>
      <c r="T3">
        <f>1/R3</f>
        <v>1.0550559865459262E-6</v>
      </c>
      <c r="U3" t="s">
        <v>243</v>
      </c>
    </row>
    <row r="4" spans="9:23" x14ac:dyDescent="0.25">
      <c r="I4" s="14" t="s">
        <v>31</v>
      </c>
      <c r="J4" s="1"/>
      <c r="K4" s="1"/>
      <c r="L4" s="1"/>
      <c r="M4" s="1"/>
    </row>
    <row r="5" spans="9:23" x14ac:dyDescent="0.25">
      <c r="I5" s="11" t="s">
        <v>33</v>
      </c>
      <c r="J5" s="11" t="s">
        <v>11</v>
      </c>
      <c r="K5" s="11" t="s">
        <v>34</v>
      </c>
      <c r="L5" s="11" t="s">
        <v>35</v>
      </c>
      <c r="M5" s="11" t="s">
        <v>36</v>
      </c>
      <c r="R5">
        <v>1.0550559999999999E-6</v>
      </c>
      <c r="S5" t="s">
        <v>210</v>
      </c>
    </row>
    <row r="6" spans="9:23" s="18" customFormat="1" ht="24" thickBot="1" x14ac:dyDescent="0.3">
      <c r="I6" s="13" t="s">
        <v>37</v>
      </c>
      <c r="J6" s="13" t="s">
        <v>38</v>
      </c>
      <c r="K6" s="13" t="s">
        <v>39</v>
      </c>
      <c r="L6" s="13" t="s">
        <v>40</v>
      </c>
      <c r="M6" s="13" t="s">
        <v>41</v>
      </c>
    </row>
    <row r="7" spans="9:23" ht="15.75" thickBot="1" x14ac:dyDescent="0.3">
      <c r="I7" s="13" t="s">
        <v>4</v>
      </c>
      <c r="J7" s="13"/>
      <c r="K7" s="13"/>
      <c r="L7" s="13"/>
      <c r="M7" s="13"/>
      <c r="R7" t="s">
        <v>137</v>
      </c>
      <c r="S7" t="s">
        <v>209</v>
      </c>
      <c r="T7" t="s">
        <v>211</v>
      </c>
      <c r="V7" t="s">
        <v>211</v>
      </c>
      <c r="W7" t="s">
        <v>137</v>
      </c>
    </row>
    <row r="8" spans="9:23" x14ac:dyDescent="0.25">
      <c r="I8" t="s">
        <v>121</v>
      </c>
      <c r="J8" t="str" cm="1">
        <f t="array" ref="J8:J18">+$I$8&amp;"-"&amp;Com!$O$20:$O$30</f>
        <v>EXP-GSL</v>
      </c>
      <c r="K8" t="str" cm="1">
        <f t="array" ref="K8:K18">"Exportacion de "&amp;Com!$P$20:$P$30</f>
        <v>Exportacion de Gasolina</v>
      </c>
      <c r="L8" t="s">
        <v>9</v>
      </c>
      <c r="M8" t="s">
        <v>43</v>
      </c>
      <c r="Q8" t="s">
        <v>198</v>
      </c>
      <c r="R8">
        <v>14.26</v>
      </c>
      <c r="S8">
        <f>+R8*1000000</f>
        <v>14260000</v>
      </c>
      <c r="T8" s="68">
        <f>+S8*$R$5</f>
        <v>15.04509856</v>
      </c>
      <c r="U8" t="s">
        <v>88</v>
      </c>
      <c r="V8">
        <v>22.15</v>
      </c>
    </row>
    <row r="9" spans="9:23" x14ac:dyDescent="0.25">
      <c r="J9" t="str">
        <v>EXP-DSL</v>
      </c>
      <c r="K9" t="str">
        <v>Exportacion de Diesel</v>
      </c>
      <c r="L9" t="s">
        <v>9</v>
      </c>
      <c r="M9" t="s">
        <v>43</v>
      </c>
      <c r="Q9" t="s">
        <v>199</v>
      </c>
      <c r="R9">
        <v>16.96</v>
      </c>
      <c r="S9">
        <f t="shared" ref="S9:S18" si="0">+R9*1000000</f>
        <v>16960000</v>
      </c>
      <c r="T9" s="68">
        <f t="shared" ref="T9:T18" si="1">+S9*$R$5</f>
        <v>17.893749759999999</v>
      </c>
      <c r="U9" t="s">
        <v>89</v>
      </c>
      <c r="V9">
        <v>22.06</v>
      </c>
    </row>
    <row r="10" spans="9:23" x14ac:dyDescent="0.25">
      <c r="J10" t="str">
        <v>EXP-KER</v>
      </c>
      <c r="K10" t="str">
        <v>Exportacion de Keroseno-Jet</v>
      </c>
      <c r="L10" t="s">
        <v>9</v>
      </c>
      <c r="M10" t="s">
        <v>43</v>
      </c>
      <c r="Q10" t="s">
        <v>200</v>
      </c>
      <c r="R10">
        <v>11.91</v>
      </c>
      <c r="S10">
        <f t="shared" si="0"/>
        <v>11910000</v>
      </c>
      <c r="T10" s="68">
        <f t="shared" si="1"/>
        <v>12.56571696</v>
      </c>
      <c r="U10" t="s">
        <v>212</v>
      </c>
      <c r="V10">
        <v>14.64</v>
      </c>
    </row>
    <row r="11" spans="9:23" x14ac:dyDescent="0.25">
      <c r="J11" t="str">
        <v>EXP-LPG</v>
      </c>
      <c r="K11" t="str">
        <v>Exportacion de LPG</v>
      </c>
      <c r="L11" t="s">
        <v>9</v>
      </c>
      <c r="M11" t="s">
        <v>43</v>
      </c>
      <c r="Q11" t="s">
        <v>201</v>
      </c>
      <c r="R11">
        <v>6.34</v>
      </c>
      <c r="S11">
        <f t="shared" si="0"/>
        <v>6340000</v>
      </c>
      <c r="T11" s="68">
        <f t="shared" si="1"/>
        <v>6.6890550399999995</v>
      </c>
      <c r="U11" t="s">
        <v>52</v>
      </c>
      <c r="V11">
        <v>18.52</v>
      </c>
    </row>
    <row r="12" spans="9:23" x14ac:dyDescent="0.25">
      <c r="J12" t="str">
        <v>EXP-HFO</v>
      </c>
      <c r="K12" t="str">
        <v>Exportacion de Combustoleo</v>
      </c>
      <c r="L12" t="s">
        <v>9</v>
      </c>
      <c r="M12" t="s">
        <v>43</v>
      </c>
      <c r="Q12" t="s">
        <v>202</v>
      </c>
      <c r="R12">
        <v>8.2100000000000009</v>
      </c>
      <c r="S12">
        <f t="shared" si="0"/>
        <v>8210000.0000000009</v>
      </c>
      <c r="T12" s="68">
        <f t="shared" si="1"/>
        <v>8.6620097600000001</v>
      </c>
      <c r="U12" t="s">
        <v>213</v>
      </c>
      <c r="V12">
        <v>9.75</v>
      </c>
    </row>
    <row r="13" spans="9:23" x14ac:dyDescent="0.25">
      <c r="J13" t="str">
        <v>EXP-ETH</v>
      </c>
      <c r="K13" t="str">
        <v>Exportacion de Etanol</v>
      </c>
      <c r="L13" t="s">
        <v>9</v>
      </c>
      <c r="M13" t="s">
        <v>43</v>
      </c>
      <c r="Q13" t="s">
        <v>203</v>
      </c>
      <c r="R13">
        <v>26</v>
      </c>
      <c r="S13">
        <f t="shared" si="0"/>
        <v>26000000</v>
      </c>
      <c r="T13" s="68">
        <f t="shared" si="1"/>
        <v>27.431455999999997</v>
      </c>
      <c r="U13" t="s">
        <v>214</v>
      </c>
    </row>
    <row r="14" spans="9:23" x14ac:dyDescent="0.25">
      <c r="J14" t="str">
        <v>EXP-BDSL</v>
      </c>
      <c r="K14" t="str">
        <v>Exportacion de Biodiesel</v>
      </c>
      <c r="L14" t="s">
        <v>9</v>
      </c>
      <c r="M14" t="s">
        <v>43</v>
      </c>
      <c r="Q14" t="s">
        <v>204</v>
      </c>
      <c r="R14">
        <v>29</v>
      </c>
      <c r="S14">
        <f t="shared" si="0"/>
        <v>29000000</v>
      </c>
      <c r="T14" s="68">
        <f t="shared" si="1"/>
        <v>30.596623999999998</v>
      </c>
      <c r="U14" t="s">
        <v>93</v>
      </c>
    </row>
    <row r="15" spans="9:23" x14ac:dyDescent="0.25">
      <c r="J15" t="str">
        <v>EXP-GAS</v>
      </c>
      <c r="K15" t="str">
        <v>Exportacion de Gasolina natural</v>
      </c>
      <c r="L15" t="s">
        <v>9</v>
      </c>
      <c r="M15" t="s">
        <v>43</v>
      </c>
      <c r="Q15" t="s">
        <v>205</v>
      </c>
      <c r="R15">
        <v>5.6</v>
      </c>
      <c r="S15">
        <f t="shared" si="0"/>
        <v>5600000</v>
      </c>
      <c r="T15" s="68">
        <f t="shared" si="1"/>
        <v>5.9083135999999996</v>
      </c>
      <c r="U15" t="s">
        <v>215</v>
      </c>
      <c r="V15">
        <v>5.03</v>
      </c>
    </row>
    <row r="16" spans="9:23" x14ac:dyDescent="0.25">
      <c r="J16" t="str">
        <v>EXP-LOIL</v>
      </c>
      <c r="K16" t="str">
        <v>Exportacion de Petroleo liviano</v>
      </c>
      <c r="L16" t="s">
        <v>9</v>
      </c>
      <c r="M16" t="s">
        <v>43</v>
      </c>
      <c r="Q16" t="s">
        <v>206</v>
      </c>
      <c r="R16">
        <v>7.26</v>
      </c>
      <c r="S16">
        <f t="shared" si="0"/>
        <v>7260000</v>
      </c>
      <c r="T16" s="68">
        <f t="shared" si="1"/>
        <v>7.6597065599999992</v>
      </c>
      <c r="U16" t="s">
        <v>216</v>
      </c>
    </row>
    <row r="17" spans="2:20" x14ac:dyDescent="0.25">
      <c r="J17" t="str">
        <v>EXP-MOIL</v>
      </c>
      <c r="K17" t="str">
        <v>Exportacion de Petroleo mediano</v>
      </c>
      <c r="L17" t="s">
        <v>9</v>
      </c>
      <c r="M17" t="s">
        <v>43</v>
      </c>
      <c r="Q17" t="s">
        <v>207</v>
      </c>
      <c r="R17">
        <f>+R18+(R16-R18)/2</f>
        <v>7.01</v>
      </c>
      <c r="S17">
        <f t="shared" si="0"/>
        <v>7010000</v>
      </c>
      <c r="T17" s="68">
        <f t="shared" si="1"/>
        <v>7.3959425599999991</v>
      </c>
    </row>
    <row r="18" spans="2:20" x14ac:dyDescent="0.25">
      <c r="J18" t="str">
        <v>EXP-HOIL</v>
      </c>
      <c r="K18" t="str">
        <v>Exportacion de Petroleo pesado</v>
      </c>
      <c r="L18" t="s">
        <v>9</v>
      </c>
      <c r="M18" t="s">
        <v>43</v>
      </c>
      <c r="Q18" t="s">
        <v>208</v>
      </c>
      <c r="R18">
        <v>6.76</v>
      </c>
      <c r="S18">
        <f t="shared" si="0"/>
        <v>6760000</v>
      </c>
      <c r="T18" s="68">
        <f t="shared" si="1"/>
        <v>7.1321785599999998</v>
      </c>
    </row>
    <row r="19" spans="2:20" x14ac:dyDescent="0.25">
      <c r="J19" t="s">
        <v>131</v>
      </c>
      <c r="K19" t="s">
        <v>133</v>
      </c>
      <c r="L19" t="s">
        <v>9</v>
      </c>
      <c r="M19" t="s">
        <v>43</v>
      </c>
    </row>
    <row r="20" spans="2:20" x14ac:dyDescent="0.25">
      <c r="I20" t="s">
        <v>120</v>
      </c>
      <c r="J20" t="str" cm="1">
        <f t="array" ref="J20:J30">+$I$20&amp;"-"&amp;Com!$O$20:$O$30</f>
        <v>IMP-GSL</v>
      </c>
      <c r="K20" t="str" cm="1">
        <f t="array" ref="K20:K30">"Importacion de "&amp;Com!$P$20:$P$30</f>
        <v>Importacion de Gasolina</v>
      </c>
      <c r="L20" t="s">
        <v>9</v>
      </c>
      <c r="M20" t="s">
        <v>43</v>
      </c>
    </row>
    <row r="21" spans="2:20" x14ac:dyDescent="0.25">
      <c r="J21" t="str">
        <v>IMP-DSL</v>
      </c>
      <c r="K21" t="str">
        <v>Importacion de Diesel</v>
      </c>
      <c r="L21" t="s">
        <v>9</v>
      </c>
      <c r="M21" t="s">
        <v>43</v>
      </c>
    </row>
    <row r="22" spans="2:20" x14ac:dyDescent="0.25">
      <c r="J22" t="str">
        <v>IMP-KER</v>
      </c>
      <c r="K22" t="str">
        <v>Importacion de Keroseno-Jet</v>
      </c>
      <c r="L22" t="s">
        <v>9</v>
      </c>
      <c r="M22" t="s">
        <v>43</v>
      </c>
    </row>
    <row r="23" spans="2:20" x14ac:dyDescent="0.25">
      <c r="J23" t="str">
        <v>IMP-LPG</v>
      </c>
      <c r="K23" t="str">
        <v>Importacion de LPG</v>
      </c>
      <c r="L23" t="s">
        <v>9</v>
      </c>
      <c r="M23" t="s">
        <v>43</v>
      </c>
    </row>
    <row r="24" spans="2:20" x14ac:dyDescent="0.25">
      <c r="J24" t="str">
        <v>IMP-HFO</v>
      </c>
      <c r="K24" t="str">
        <v>Importacion de Combustoleo</v>
      </c>
      <c r="L24" t="s">
        <v>9</v>
      </c>
      <c r="M24" t="s">
        <v>43</v>
      </c>
    </row>
    <row r="25" spans="2:20" x14ac:dyDescent="0.25">
      <c r="J25" t="str">
        <v>IMP-ETH</v>
      </c>
      <c r="K25" t="str">
        <v>Importacion de Etanol</v>
      </c>
      <c r="L25" t="s">
        <v>9</v>
      </c>
      <c r="M25" t="s">
        <v>43</v>
      </c>
    </row>
    <row r="26" spans="2:20" x14ac:dyDescent="0.25">
      <c r="J26" t="str">
        <v>IMP-BDSL</v>
      </c>
      <c r="K26" t="str">
        <v>Importacion de Biodiesel</v>
      </c>
      <c r="L26" t="s">
        <v>9</v>
      </c>
      <c r="M26" t="s">
        <v>43</v>
      </c>
    </row>
    <row r="27" spans="2:20" x14ac:dyDescent="0.25">
      <c r="J27" t="str">
        <v>IMP-GAS</v>
      </c>
      <c r="K27" t="str">
        <v>Importacion de Gasolina natural</v>
      </c>
      <c r="L27" t="s">
        <v>9</v>
      </c>
      <c r="M27" t="s">
        <v>43</v>
      </c>
    </row>
    <row r="28" spans="2:20" x14ac:dyDescent="0.25">
      <c r="J28" t="str">
        <v>IMP-LOIL</v>
      </c>
      <c r="K28" t="str">
        <v>Importacion de Petroleo liviano</v>
      </c>
      <c r="L28" t="s">
        <v>9</v>
      </c>
      <c r="M28" t="s">
        <v>43</v>
      </c>
    </row>
    <row r="29" spans="2:20" x14ac:dyDescent="0.25">
      <c r="J29" t="str">
        <v>IMP-MOIL</v>
      </c>
      <c r="K29" t="str">
        <v>Importacion de Petroleo mediano</v>
      </c>
      <c r="L29" t="s">
        <v>9</v>
      </c>
      <c r="M29" t="s">
        <v>43</v>
      </c>
    </row>
    <row r="30" spans="2:20" x14ac:dyDescent="0.25">
      <c r="J30" t="str">
        <v>IMP-HOIL</v>
      </c>
      <c r="K30" t="str">
        <v>Importacion de Petroleo pesado</v>
      </c>
      <c r="L30" t="s">
        <v>9</v>
      </c>
      <c r="M30" t="s">
        <v>43</v>
      </c>
    </row>
    <row r="31" spans="2:20" x14ac:dyDescent="0.25">
      <c r="J31" t="s">
        <v>132</v>
      </c>
      <c r="K31" t="s">
        <v>134</v>
      </c>
      <c r="L31" t="s">
        <v>9</v>
      </c>
      <c r="M31" t="s">
        <v>43</v>
      </c>
    </row>
    <row r="32" spans="2:20" x14ac:dyDescent="0.25">
      <c r="B32" t="s">
        <v>249</v>
      </c>
      <c r="D32">
        <v>3299</v>
      </c>
      <c r="E32" t="s">
        <v>250</v>
      </c>
    </row>
    <row r="34" spans="2:24" x14ac:dyDescent="0.25">
      <c r="D34">
        <v>287</v>
      </c>
      <c r="E34" t="s">
        <v>247</v>
      </c>
    </row>
    <row r="35" spans="2:24" x14ac:dyDescent="0.25">
      <c r="D35" s="77">
        <f>+D34/D32</f>
        <v>8.6996059411943008E-2</v>
      </c>
      <c r="E35" t="s">
        <v>136</v>
      </c>
      <c r="I35" s="3" t="s">
        <v>0</v>
      </c>
      <c r="J35" s="2"/>
      <c r="K35" s="2"/>
      <c r="L35" s="2"/>
      <c r="M35" s="3"/>
    </row>
    <row r="36" spans="2:24" x14ac:dyDescent="0.25">
      <c r="I36" s="4" t="s">
        <v>11</v>
      </c>
      <c r="J36" s="5" t="s">
        <v>12</v>
      </c>
      <c r="K36" s="4" t="s">
        <v>13</v>
      </c>
      <c r="L36" s="4" t="s">
        <v>14</v>
      </c>
      <c r="M36" s="6" t="s">
        <v>217</v>
      </c>
      <c r="N36" s="6" t="s">
        <v>233</v>
      </c>
      <c r="O36" s="6" t="s">
        <v>234</v>
      </c>
      <c r="P36" s="6" t="s">
        <v>235</v>
      </c>
      <c r="Q36" s="6" t="s">
        <v>236</v>
      </c>
      <c r="R36" s="6" t="s">
        <v>237</v>
      </c>
      <c r="S36" s="6" t="s">
        <v>238</v>
      </c>
      <c r="T36" s="6" t="s">
        <v>239</v>
      </c>
    </row>
    <row r="37" spans="2:24" ht="15.75" thickBot="1" x14ac:dyDescent="0.3">
      <c r="I37" s="7" t="s">
        <v>16</v>
      </c>
      <c r="J37" s="7" t="s">
        <v>17</v>
      </c>
      <c r="K37" s="7" t="s">
        <v>18</v>
      </c>
      <c r="L37" s="7"/>
      <c r="M37" s="21" t="s">
        <v>19</v>
      </c>
      <c r="N37" s="21" t="s">
        <v>19</v>
      </c>
      <c r="O37" s="21" t="s">
        <v>19</v>
      </c>
      <c r="P37" s="21" t="s">
        <v>19</v>
      </c>
      <c r="Q37" s="21" t="s">
        <v>19</v>
      </c>
      <c r="R37" s="21" t="s">
        <v>19</v>
      </c>
      <c r="S37" s="21" t="s">
        <v>19</v>
      </c>
      <c r="T37" s="21" t="s">
        <v>19</v>
      </c>
    </row>
    <row r="38" spans="2:24" ht="15.75" thickBot="1" x14ac:dyDescent="0.3">
      <c r="I38" s="7"/>
      <c r="J38" s="8"/>
      <c r="K38" s="8"/>
      <c r="L38" s="8"/>
      <c r="M38" s="8" t="s">
        <v>20</v>
      </c>
      <c r="N38" s="8" t="s">
        <v>20</v>
      </c>
      <c r="O38" s="8" t="s">
        <v>20</v>
      </c>
      <c r="P38" s="8" t="s">
        <v>20</v>
      </c>
      <c r="Q38" s="8" t="s">
        <v>20</v>
      </c>
      <c r="R38" s="8" t="s">
        <v>20</v>
      </c>
      <c r="S38" s="8" t="s">
        <v>20</v>
      </c>
      <c r="T38" s="8" t="s">
        <v>20</v>
      </c>
    </row>
    <row r="39" spans="2:24" x14ac:dyDescent="0.25">
      <c r="I39" t="str">
        <f t="shared" ref="I39:I62" si="2">+J8</f>
        <v>EXP-GSL</v>
      </c>
      <c r="J39" s="22" t="str">
        <f>+RIGHT(I39,3)</f>
        <v>GSL</v>
      </c>
      <c r="K39" s="22"/>
      <c r="L39" s="22">
        <v>2019</v>
      </c>
      <c r="M39" s="74">
        <f>+J115</f>
        <v>20.996445954041999</v>
      </c>
      <c r="N39" s="74">
        <f t="shared" ref="N39:X39" si="3">+K115</f>
        <v>20.795929580790002</v>
      </c>
      <c r="O39" s="74">
        <f t="shared" si="3"/>
        <v>20.716882590807003</v>
      </c>
      <c r="P39" s="74">
        <f t="shared" si="3"/>
        <v>22.202066334591002</v>
      </c>
      <c r="Q39" s="74">
        <f t="shared" si="3"/>
        <v>23.568165402677998</v>
      </c>
      <c r="R39" s="74">
        <f t="shared" si="3"/>
        <v>24.597135442035</v>
      </c>
      <c r="S39" s="74">
        <f t="shared" si="3"/>
        <v>25.886116327734001</v>
      </c>
      <c r="T39" s="74">
        <f t="shared" si="3"/>
        <v>27.153960894333</v>
      </c>
      <c r="U39" s="74"/>
      <c r="V39" s="74">
        <v>14.26</v>
      </c>
      <c r="W39" s="74"/>
      <c r="X39" s="74"/>
    </row>
    <row r="40" spans="2:24" x14ac:dyDescent="0.25">
      <c r="B40" s="51" t="s">
        <v>248</v>
      </c>
      <c r="C40" s="51"/>
      <c r="D40" s="51"/>
      <c r="E40" s="51">
        <v>0.11600000000000001</v>
      </c>
      <c r="F40" s="51" t="s">
        <v>246</v>
      </c>
      <c r="I40" t="str">
        <f t="shared" si="2"/>
        <v>EXP-DSL</v>
      </c>
      <c r="J40" s="22" t="str">
        <f t="shared" ref="J40:J46" si="4">+RIGHT(I40,3)</f>
        <v>DSL</v>
      </c>
      <c r="K40" s="22"/>
      <c r="L40" s="22">
        <v>2019</v>
      </c>
      <c r="M40" s="74">
        <f>+J116</f>
        <v>20.905026160941002</v>
      </c>
      <c r="N40" s="74">
        <f t="shared" ref="N40:X40" si="5">+K116</f>
        <v>20.219447377232999</v>
      </c>
      <c r="O40" s="74">
        <f t="shared" si="5"/>
        <v>20.630671999937999</v>
      </c>
      <c r="P40" s="74">
        <f t="shared" si="5"/>
        <v>21.930071290101001</v>
      </c>
      <c r="Q40" s="74">
        <f t="shared" si="5"/>
        <v>23.082531458571001</v>
      </c>
      <c r="R40" s="74">
        <f t="shared" si="5"/>
        <v>23.875429665555</v>
      </c>
      <c r="S40" s="74">
        <f t="shared" si="5"/>
        <v>25.090517790116998</v>
      </c>
      <c r="T40" s="74">
        <f t="shared" si="5"/>
        <v>25.880965890156002</v>
      </c>
      <c r="U40" s="74"/>
      <c r="V40" s="74">
        <v>16.96</v>
      </c>
      <c r="W40" s="74"/>
      <c r="X40" s="74"/>
    </row>
    <row r="41" spans="2:24" x14ac:dyDescent="0.25">
      <c r="E41">
        <f>+E40*1000000</f>
        <v>116000</v>
      </c>
      <c r="F41" t="s">
        <v>138</v>
      </c>
      <c r="I41" t="str">
        <f t="shared" si="2"/>
        <v>EXP-KER</v>
      </c>
      <c r="J41" s="22" t="str">
        <f t="shared" si="4"/>
        <v>KER</v>
      </c>
      <c r="K41" s="22"/>
      <c r="L41" s="22">
        <v>2019</v>
      </c>
      <c r="M41" s="74">
        <f>+J117</f>
        <v>13.877034192216</v>
      </c>
      <c r="N41" s="74">
        <f t="shared" ref="N41:X41" si="6">+K117</f>
        <v>13.695434350650002</v>
      </c>
      <c r="O41" s="74">
        <f t="shared" si="6"/>
        <v>14.458260219857999</v>
      </c>
      <c r="P41" s="74">
        <f t="shared" si="6"/>
        <v>15.795199697939999</v>
      </c>
      <c r="Q41" s="74">
        <f t="shared" si="6"/>
        <v>17.191836481949998</v>
      </c>
      <c r="R41" s="74">
        <f t="shared" si="6"/>
        <v>18.196136740431001</v>
      </c>
      <c r="S41" s="74">
        <f t="shared" si="6"/>
        <v>19.62033319935</v>
      </c>
      <c r="T41" s="74">
        <f t="shared" si="6"/>
        <v>20.718097692200999</v>
      </c>
      <c r="U41" s="74"/>
      <c r="V41" s="74">
        <v>11.91</v>
      </c>
      <c r="W41" s="74"/>
      <c r="X41" s="74"/>
    </row>
    <row r="42" spans="2:24" x14ac:dyDescent="0.25">
      <c r="E42">
        <f>+E41/(1000000)</f>
        <v>0.11600000000000001</v>
      </c>
      <c r="F42" t="s">
        <v>139</v>
      </c>
      <c r="I42" t="str">
        <f t="shared" si="2"/>
        <v>EXP-LPG</v>
      </c>
      <c r="J42" s="22" t="str">
        <f t="shared" si="4"/>
        <v>LPG</v>
      </c>
      <c r="K42" s="22"/>
      <c r="L42" s="22">
        <v>2019</v>
      </c>
      <c r="M42" s="74">
        <f>+J118</f>
        <v>17.551047751146001</v>
      </c>
      <c r="N42" s="74">
        <f t="shared" ref="N42:X49" si="7">+K118</f>
        <v>16.867144707893999</v>
      </c>
      <c r="O42" s="74">
        <f t="shared" si="7"/>
        <v>19.872932116751997</v>
      </c>
      <c r="P42" s="74">
        <f t="shared" si="7"/>
        <v>22.022557377326997</v>
      </c>
      <c r="Q42" s="74">
        <f t="shared" si="7"/>
        <v>22.891725470484001</v>
      </c>
      <c r="R42" s="74">
        <f t="shared" si="7"/>
        <v>24.412499742618003</v>
      </c>
      <c r="S42" s="74">
        <f t="shared" si="7"/>
        <v>25.877700660591003</v>
      </c>
      <c r="T42" s="74">
        <f t="shared" si="7"/>
        <v>27.425805235919999</v>
      </c>
      <c r="U42" s="74"/>
      <c r="V42" s="74">
        <v>6.34</v>
      </c>
      <c r="W42" s="74"/>
      <c r="X42" s="74"/>
    </row>
    <row r="43" spans="2:24" x14ac:dyDescent="0.25">
      <c r="E43">
        <f>+E42/0.0036</f>
        <v>32.222222222222221</v>
      </c>
      <c r="F43" t="s">
        <v>137</v>
      </c>
      <c r="I43" t="str">
        <f t="shared" si="2"/>
        <v>EXP-HFO</v>
      </c>
      <c r="J43" s="22" t="str">
        <f t="shared" si="4"/>
        <v>HFO</v>
      </c>
      <c r="K43" s="22"/>
      <c r="L43" s="22">
        <v>2019</v>
      </c>
      <c r="M43" s="74">
        <f t="shared" ref="M40:M49" si="8">+J119</f>
        <v>9.2415067298189992</v>
      </c>
      <c r="N43" s="74">
        <f t="shared" si="7"/>
        <v>9.6605963379900004</v>
      </c>
      <c r="O43" s="74">
        <f t="shared" si="7"/>
        <v>9.3615136314569991</v>
      </c>
      <c r="P43" s="74">
        <f t="shared" si="7"/>
        <v>10.777456499940001</v>
      </c>
      <c r="Q43" s="74">
        <f t="shared" si="7"/>
        <v>12.03505800822</v>
      </c>
      <c r="R43" s="74">
        <f t="shared" si="7"/>
        <v>13.376972577735</v>
      </c>
      <c r="S43" s="74">
        <f t="shared" si="7"/>
        <v>14.299692331392</v>
      </c>
      <c r="T43" s="74">
        <f t="shared" si="7"/>
        <v>15.089726235401999</v>
      </c>
      <c r="U43" s="74"/>
      <c r="V43" s="74">
        <v>8.2100000000000009</v>
      </c>
      <c r="W43" s="74"/>
      <c r="X43" s="74"/>
    </row>
    <row r="44" spans="2:24" x14ac:dyDescent="0.25">
      <c r="I44" t="str">
        <f t="shared" si="2"/>
        <v>EXP-ETH</v>
      </c>
      <c r="J44" s="22" t="str">
        <f>+RIGHT(I44,3)</f>
        <v>ETH</v>
      </c>
      <c r="K44" s="22"/>
      <c r="L44" s="22">
        <v>2019</v>
      </c>
      <c r="M44" s="74">
        <f t="shared" si="8"/>
        <v>15.484369752577541</v>
      </c>
      <c r="N44" s="74">
        <f t="shared" si="7"/>
        <v>15.076841521470868</v>
      </c>
      <c r="O44" s="74">
        <f t="shared" si="7"/>
        <v>16.842423718223472</v>
      </c>
      <c r="P44" s="74">
        <f t="shared" si="7"/>
        <v>19.600166238545455</v>
      </c>
      <c r="Q44" s="74">
        <f t="shared" si="7"/>
        <v>19.747825616593868</v>
      </c>
      <c r="R44" s="74">
        <f t="shared" si="7"/>
        <v>20.304548193105546</v>
      </c>
      <c r="S44" s="74">
        <f t="shared" si="7"/>
        <v>21.409220503499576</v>
      </c>
      <c r="T44" s="74">
        <f t="shared" si="7"/>
        <v>24.151142776321418</v>
      </c>
      <c r="U44" s="74"/>
      <c r="V44" s="74">
        <v>26</v>
      </c>
      <c r="W44" s="74"/>
      <c r="X44" s="74"/>
    </row>
    <row r="45" spans="2:24" x14ac:dyDescent="0.25">
      <c r="I45" t="str">
        <f t="shared" si="2"/>
        <v>EXP-BDSL</v>
      </c>
      <c r="J45" s="22" t="str">
        <f>+RIGHT(I45,4)</f>
        <v>BDSL</v>
      </c>
      <c r="K45" s="22"/>
      <c r="L45" s="22">
        <v>2019</v>
      </c>
      <c r="M45" s="74">
        <f t="shared" si="8"/>
        <v>27.015813128159731</v>
      </c>
      <c r="N45" s="74">
        <f t="shared" si="7"/>
        <v>26.129831538723028</v>
      </c>
      <c r="O45" s="74">
        <f t="shared" si="7"/>
        <v>26.661261993541277</v>
      </c>
      <c r="P45" s="74">
        <f t="shared" si="7"/>
        <v>28.340491100056148</v>
      </c>
      <c r="Q45" s="74">
        <f t="shared" si="7"/>
        <v>29.829829037705093</v>
      </c>
      <c r="R45" s="74">
        <f t="shared" si="7"/>
        <v>30.854500790068418</v>
      </c>
      <c r="S45" s="74">
        <f t="shared" si="7"/>
        <v>32.424773577803386</v>
      </c>
      <c r="T45" s="74">
        <f t="shared" si="7"/>
        <v>33.446279027916688</v>
      </c>
      <c r="U45" s="74"/>
      <c r="V45" s="74">
        <v>29</v>
      </c>
      <c r="W45" s="74"/>
      <c r="X45" s="74"/>
    </row>
    <row r="46" spans="2:24" x14ac:dyDescent="0.25">
      <c r="B46" s="24" t="s">
        <v>140</v>
      </c>
      <c r="C46" s="24"/>
      <c r="D46" s="24"/>
      <c r="E46" s="26">
        <v>0.05</v>
      </c>
      <c r="I46" t="str">
        <f t="shared" si="2"/>
        <v>EXP-GAS</v>
      </c>
      <c r="J46" s="22" t="str">
        <f t="shared" si="4"/>
        <v>GAS</v>
      </c>
      <c r="K46" s="22"/>
      <c r="L46" s="22">
        <v>2019</v>
      </c>
      <c r="M46" s="74">
        <f t="shared" si="8"/>
        <v>4.769127007632</v>
      </c>
      <c r="N46" s="74">
        <f t="shared" si="7"/>
        <v>4.5122894526059998</v>
      </c>
      <c r="O46" s="74">
        <f t="shared" si="7"/>
        <v>4.9274484636779992</v>
      </c>
      <c r="P46" s="74">
        <f t="shared" si="7"/>
        <v>5.3827086642029993</v>
      </c>
      <c r="Q46" s="74">
        <f t="shared" si="7"/>
        <v>5.4401245746119997</v>
      </c>
      <c r="R46" s="74">
        <f t="shared" si="7"/>
        <v>5.4800854871490001</v>
      </c>
      <c r="S46" s="74">
        <f t="shared" si="7"/>
        <v>5.5431115263809998</v>
      </c>
      <c r="T46" s="74">
        <f t="shared" si="7"/>
        <v>5.7037579775280003</v>
      </c>
      <c r="U46" s="74"/>
      <c r="V46" s="74">
        <v>5.6</v>
      </c>
      <c r="W46" s="74"/>
      <c r="X46" s="74"/>
    </row>
    <row r="47" spans="2:24" x14ac:dyDescent="0.25">
      <c r="I47" t="str">
        <f t="shared" si="2"/>
        <v>EXP-LOIL</v>
      </c>
      <c r="J47" s="22" t="str">
        <f>+RIGHT(I47,4)</f>
        <v>LOIL</v>
      </c>
      <c r="K47" s="22"/>
      <c r="L47" s="22">
        <v>2019</v>
      </c>
      <c r="M47" s="74">
        <f>+J126</f>
        <v>9.4202649837693002</v>
      </c>
      <c r="N47" s="74">
        <f>+K126</f>
        <v>8.8971488688237894</v>
      </c>
      <c r="O47" s="74">
        <f>+L126</f>
        <v>10.809495075642701</v>
      </c>
      <c r="P47" s="74">
        <f>+M126</f>
        <v>11.944874310089356</v>
      </c>
      <c r="Q47" s="74">
        <f>+N126</f>
        <v>13.287214218828185</v>
      </c>
      <c r="R47" s="74">
        <f>+O126</f>
        <v>14.355702223711937</v>
      </c>
      <c r="S47" s="74">
        <f>+P126</f>
        <v>15.630732976072419</v>
      </c>
      <c r="T47" s="74">
        <f>+Q126</f>
        <v>16.864994934098721</v>
      </c>
      <c r="U47" s="74"/>
      <c r="V47" s="74">
        <v>7.26</v>
      </c>
      <c r="W47" s="74"/>
      <c r="X47" s="74"/>
    </row>
    <row r="48" spans="2:24" x14ac:dyDescent="0.25">
      <c r="I48" t="str">
        <f t="shared" si="2"/>
        <v>EXP-MOIL</v>
      </c>
      <c r="J48" s="22" t="str">
        <f>+RIGHT(I48,4)</f>
        <v>MOIL</v>
      </c>
      <c r="K48" s="22"/>
      <c r="L48" s="22">
        <v>2019</v>
      </c>
      <c r="M48" s="74">
        <f>+J124</f>
        <v>8.6667911578505592</v>
      </c>
      <c r="N48" s="74">
        <f>+K124</f>
        <v>8.1855161483523844</v>
      </c>
      <c r="O48" s="74">
        <f>+L124</f>
        <v>9.9449045758078007</v>
      </c>
      <c r="P48" s="74">
        <f>+M124</f>
        <v>10.989471233631489</v>
      </c>
      <c r="Q48" s="74">
        <f>+N124</f>
        <v>12.224444949544161</v>
      </c>
      <c r="R48" s="74">
        <f>+O124</f>
        <v>13.207470629708267</v>
      </c>
      <c r="S48" s="74">
        <f>+P124</f>
        <v>14.380518868753001</v>
      </c>
      <c r="T48" s="74">
        <f>+Q124</f>
        <v>15.516059179213938</v>
      </c>
      <c r="U48" s="74"/>
      <c r="V48" s="74">
        <v>7.01</v>
      </c>
      <c r="W48" s="74"/>
      <c r="X48" s="74"/>
    </row>
    <row r="49" spans="9:24" x14ac:dyDescent="0.25">
      <c r="I49" t="str">
        <f t="shared" si="2"/>
        <v>EXP-HOIL</v>
      </c>
      <c r="J49" s="22" t="str">
        <f>+RIGHT(I49,4)</f>
        <v>HOIL</v>
      </c>
      <c r="K49" s="22"/>
      <c r="L49" s="22">
        <v>2019</v>
      </c>
      <c r="M49" s="74">
        <f>+J125</f>
        <v>7.1598435060130816</v>
      </c>
      <c r="N49" s="74">
        <f>+K125</f>
        <v>6.7622507074095797</v>
      </c>
      <c r="O49" s="74">
        <f>+L125</f>
        <v>8.215723576138009</v>
      </c>
      <c r="P49" s="74">
        <f>+M125</f>
        <v>9.0786650807157603</v>
      </c>
      <c r="Q49" s="74">
        <f>+N125</f>
        <v>10.098906410976124</v>
      </c>
      <c r="R49" s="74">
        <f>+O125</f>
        <v>10.911007441700926</v>
      </c>
      <c r="S49" s="74">
        <f>+P125</f>
        <v>11.88009065411417</v>
      </c>
      <c r="T49" s="74">
        <f>+Q125</f>
        <v>12.818187669444375</v>
      </c>
      <c r="U49" s="74"/>
      <c r="V49" s="74">
        <v>6.76</v>
      </c>
      <c r="W49" s="74"/>
      <c r="X49" s="74"/>
    </row>
    <row r="50" spans="9:24" x14ac:dyDescent="0.25">
      <c r="I50" t="str">
        <f t="shared" si="2"/>
        <v>EXP-SIN</v>
      </c>
      <c r="J50" s="23" t="s">
        <v>135</v>
      </c>
      <c r="K50" s="22"/>
      <c r="L50" s="22">
        <v>2019</v>
      </c>
      <c r="M50" s="75">
        <f>+E43</f>
        <v>32.222222222222221</v>
      </c>
      <c r="N50" s="75"/>
      <c r="O50" s="75"/>
      <c r="P50" s="75"/>
      <c r="Q50" s="75"/>
      <c r="R50" s="75"/>
      <c r="S50" s="75"/>
      <c r="T50" s="75"/>
    </row>
    <row r="51" spans="9:24" x14ac:dyDescent="0.25">
      <c r="I51" t="str">
        <f t="shared" si="2"/>
        <v>IMP-GSL</v>
      </c>
      <c r="J51" s="22"/>
      <c r="K51" s="22" t="str">
        <f t="shared" ref="K51:K56" si="9">+RIGHT(I51,3)</f>
        <v>GSL</v>
      </c>
      <c r="L51" s="22">
        <v>2019</v>
      </c>
      <c r="M51" s="25">
        <f>+M39+($E$46*M39)</f>
        <v>22.046268251744099</v>
      </c>
      <c r="N51" s="25">
        <f>+N39+($E$46*N39)</f>
        <v>21.835726059829501</v>
      </c>
      <c r="O51" s="25">
        <f>+O39+($E$46*O39)</f>
        <v>21.752726720347354</v>
      </c>
      <c r="P51" s="25">
        <f>+P39+($E$46*P39)</f>
        <v>23.312169651320552</v>
      </c>
      <c r="Q51" s="25">
        <f>+Q39+($E$46*Q39)</f>
        <v>24.746573672811898</v>
      </c>
      <c r="R51" s="25">
        <f>+R39+($E$46*R39)</f>
        <v>25.826992214136752</v>
      </c>
      <c r="S51" s="25">
        <f>+S39+($E$46*S39)</f>
        <v>27.180422144120701</v>
      </c>
      <c r="T51" s="25">
        <f>+T39+($E$46*T39)</f>
        <v>28.511658939049649</v>
      </c>
    </row>
    <row r="52" spans="9:24" x14ac:dyDescent="0.25">
      <c r="I52" t="str">
        <f t="shared" si="2"/>
        <v>IMP-DSL</v>
      </c>
      <c r="J52" s="22"/>
      <c r="K52" s="22" t="str">
        <f t="shared" si="9"/>
        <v>DSL</v>
      </c>
      <c r="L52" s="22">
        <v>2019</v>
      </c>
      <c r="M52" s="25">
        <f>+M40+($E$46*M40)</f>
        <v>21.950277468988052</v>
      </c>
      <c r="N52" s="25">
        <f>+N40+($E$46*N40)</f>
        <v>21.23041974609465</v>
      </c>
      <c r="O52" s="25">
        <f>+O40+($E$46*O40)</f>
        <v>21.6622055999349</v>
      </c>
      <c r="P52" s="25">
        <f>+P40+($E$46*P40)</f>
        <v>23.02657485460605</v>
      </c>
      <c r="Q52" s="25">
        <f>+Q40+($E$46*Q40)</f>
        <v>24.236658031499552</v>
      </c>
      <c r="R52" s="25">
        <f>+R40+($E$46*R40)</f>
        <v>25.06920114883275</v>
      </c>
      <c r="S52" s="25">
        <f>+S40+($E$46*S40)</f>
        <v>26.345043679622847</v>
      </c>
      <c r="T52" s="25">
        <f>+T40+($E$46*T40)</f>
        <v>27.175014184663802</v>
      </c>
    </row>
    <row r="53" spans="9:24" x14ac:dyDescent="0.25">
      <c r="I53" t="str">
        <f t="shared" si="2"/>
        <v>IMP-KER</v>
      </c>
      <c r="J53" s="22"/>
      <c r="K53" s="22" t="str">
        <f t="shared" si="9"/>
        <v>KER</v>
      </c>
      <c r="L53" s="22">
        <v>2019</v>
      </c>
      <c r="M53" s="25">
        <f>+M41+($E$46*M41)</f>
        <v>14.5708859018268</v>
      </c>
      <c r="N53" s="25">
        <f>+N41+($E$46*N41)</f>
        <v>14.380206068182503</v>
      </c>
      <c r="O53" s="25">
        <f>+O41+($E$46*O41)</f>
        <v>15.181173230850899</v>
      </c>
      <c r="P53" s="25">
        <f>+P41+($E$46*P41)</f>
        <v>16.584959682836999</v>
      </c>
      <c r="Q53" s="25">
        <f>+Q41+($E$46*Q41)</f>
        <v>18.051428306047498</v>
      </c>
      <c r="R53" s="25">
        <f>+R41+($E$46*R41)</f>
        <v>19.10594357745255</v>
      </c>
      <c r="S53" s="25">
        <f>+S41+($E$46*S41)</f>
        <v>20.601349859317502</v>
      </c>
      <c r="T53" s="25">
        <f>+T41+($E$46*T41)</f>
        <v>21.75400257681105</v>
      </c>
    </row>
    <row r="54" spans="9:24" x14ac:dyDescent="0.25">
      <c r="I54" t="str">
        <f t="shared" si="2"/>
        <v>IMP-LPG</v>
      </c>
      <c r="J54" s="22"/>
      <c r="K54" s="22" t="str">
        <f t="shared" si="9"/>
        <v>LPG</v>
      </c>
      <c r="L54" s="22">
        <v>2019</v>
      </c>
      <c r="M54" s="25">
        <f>+M42+($E$46*M42)</f>
        <v>18.428600138703302</v>
      </c>
      <c r="N54" s="25">
        <f>+N42+($E$46*N42)</f>
        <v>17.710501943288698</v>
      </c>
      <c r="O54" s="25">
        <f>+O42+($E$46*O42)</f>
        <v>20.866578722589598</v>
      </c>
      <c r="P54" s="25">
        <f>+P42+($E$46*P42)</f>
        <v>23.123685246193347</v>
      </c>
      <c r="Q54" s="25">
        <f>+Q42+($E$46*Q42)</f>
        <v>24.036311744008202</v>
      </c>
      <c r="R54" s="25">
        <f>+R42+($E$46*R42)</f>
        <v>25.633124729748904</v>
      </c>
      <c r="S54" s="25">
        <f>+S42+($E$46*S42)</f>
        <v>27.171585693620553</v>
      </c>
      <c r="T54" s="25">
        <f>+T42+($E$46*T42)</f>
        <v>28.797095497716001</v>
      </c>
    </row>
    <row r="55" spans="9:24" x14ac:dyDescent="0.25">
      <c r="I55" t="str">
        <f t="shared" si="2"/>
        <v>IMP-HFO</v>
      </c>
      <c r="J55" s="22"/>
      <c r="K55" s="22" t="str">
        <f t="shared" si="9"/>
        <v>HFO</v>
      </c>
      <c r="L55" s="22">
        <v>2019</v>
      </c>
      <c r="M55" s="25">
        <f>+M43+($E$46*M43)</f>
        <v>9.7035820663099486</v>
      </c>
      <c r="N55" s="25">
        <f>+N43+($E$46*N43)</f>
        <v>10.1436261548895</v>
      </c>
      <c r="O55" s="25">
        <f>+O43+($E$46*O43)</f>
        <v>9.8295893130298495</v>
      </c>
      <c r="P55" s="25">
        <f>+P43+($E$46*P43)</f>
        <v>11.316329324937001</v>
      </c>
      <c r="Q55" s="25">
        <f>+Q43+($E$46*Q43)</f>
        <v>12.636810908631</v>
      </c>
      <c r="R55" s="25">
        <f>+R43+($E$46*R43)</f>
        <v>14.045821206621749</v>
      </c>
      <c r="S55" s="25">
        <f>+S43+($E$46*S43)</f>
        <v>15.0146769479616</v>
      </c>
      <c r="T55" s="25">
        <f>+T43+($E$46*T43)</f>
        <v>15.844212547172098</v>
      </c>
    </row>
    <row r="56" spans="9:24" x14ac:dyDescent="0.25">
      <c r="I56" t="str">
        <f t="shared" si="2"/>
        <v>IMP-ETH</v>
      </c>
      <c r="J56" s="22"/>
      <c r="K56" s="22" t="str">
        <f t="shared" si="9"/>
        <v>ETH</v>
      </c>
      <c r="L56" s="22">
        <v>2019</v>
      </c>
      <c r="M56" s="25">
        <f>+M44+($E$46*M44)</f>
        <v>16.258588240206418</v>
      </c>
      <c r="N56" s="25">
        <f>+N44+($E$46*N44)</f>
        <v>15.830683597544411</v>
      </c>
      <c r="O56" s="25">
        <f>+O44+($E$46*O44)</f>
        <v>17.684544904134647</v>
      </c>
      <c r="P56" s="25">
        <f>+P44+($E$46*P44)</f>
        <v>20.580174550472726</v>
      </c>
      <c r="Q56" s="25">
        <f>+Q44+($E$46*Q44)</f>
        <v>20.735216897423562</v>
      </c>
      <c r="R56" s="25">
        <f>+R44+($E$46*R44)</f>
        <v>21.319775602760824</v>
      </c>
      <c r="S56" s="25">
        <f>+S44+($E$46*S44)</f>
        <v>22.479681528674554</v>
      </c>
      <c r="T56" s="25">
        <f>+T44+($E$46*T44)</f>
        <v>25.358699915137489</v>
      </c>
    </row>
    <row r="57" spans="9:24" x14ac:dyDescent="0.25">
      <c r="I57" t="str">
        <f t="shared" si="2"/>
        <v>IMP-BDSL</v>
      </c>
      <c r="J57" s="22"/>
      <c r="K57" s="22" t="str">
        <f>+RIGHT(I57,4)</f>
        <v>BDSL</v>
      </c>
      <c r="L57" s="22">
        <v>2019</v>
      </c>
      <c r="M57" s="25">
        <f>+M45+($E$46*M45)</f>
        <v>28.366603784567719</v>
      </c>
      <c r="N57" s="25">
        <f>+N45+($E$46*N45)</f>
        <v>27.436323115659178</v>
      </c>
      <c r="O57" s="25">
        <f>+O45+($E$46*O45)</f>
        <v>27.994325093218343</v>
      </c>
      <c r="P57" s="25">
        <f>+P45+($E$46*P45)</f>
        <v>29.757515655058956</v>
      </c>
      <c r="Q57" s="25">
        <f>+Q45+($E$46*Q45)</f>
        <v>31.321320489590349</v>
      </c>
      <c r="R57" s="25">
        <f>+R45+($E$46*R45)</f>
        <v>32.397225829571838</v>
      </c>
      <c r="S57" s="25">
        <f>+S45+($E$46*S45)</f>
        <v>34.046012256693558</v>
      </c>
      <c r="T57" s="25">
        <f>+T45+($E$46*T45)</f>
        <v>35.118592979312524</v>
      </c>
    </row>
    <row r="58" spans="9:24" x14ac:dyDescent="0.25">
      <c r="I58" t="str">
        <f t="shared" si="2"/>
        <v>IMP-GAS</v>
      </c>
      <c r="J58" s="22"/>
      <c r="K58" s="22" t="str">
        <f>+RIGHT(I58,3)</f>
        <v>GAS</v>
      </c>
      <c r="L58" s="22">
        <v>2019</v>
      </c>
      <c r="M58" s="25">
        <f>+M46+($E$46*M46)</f>
        <v>5.0075833580136004</v>
      </c>
      <c r="N58" s="25">
        <f>+N46+($E$46*N46)</f>
        <v>4.7379039252362993</v>
      </c>
      <c r="O58" s="25">
        <f>+O46+($E$46*O46)</f>
        <v>5.1738208868618987</v>
      </c>
      <c r="P58" s="25">
        <f>+P46+($E$46*P46)</f>
        <v>5.6518440974131492</v>
      </c>
      <c r="Q58" s="25">
        <f>+Q46+($E$46*Q46)</f>
        <v>5.7121308033425997</v>
      </c>
      <c r="R58" s="25">
        <f>+R46+($E$46*R46)</f>
        <v>5.7540897615064504</v>
      </c>
      <c r="S58" s="25">
        <f>+S46+($E$46*S46)</f>
        <v>5.8202671027000497</v>
      </c>
      <c r="T58" s="25">
        <f>+T46+($E$46*T46)</f>
        <v>5.9889458764043999</v>
      </c>
    </row>
    <row r="59" spans="9:24" x14ac:dyDescent="0.25">
      <c r="I59" t="str">
        <f t="shared" si="2"/>
        <v>IMP-LOIL</v>
      </c>
      <c r="J59" s="22"/>
      <c r="K59" s="22" t="str">
        <f>+RIGHT(I59,4)</f>
        <v>LOIL</v>
      </c>
      <c r="L59" s="22">
        <v>2019</v>
      </c>
      <c r="M59" s="25">
        <f>+M47+($E$46*M47)</f>
        <v>9.8912782329577649</v>
      </c>
      <c r="N59" s="25">
        <f>+N47+($E$46*N47)</f>
        <v>9.3420063122649797</v>
      </c>
      <c r="O59" s="25">
        <f>+O47+($E$46*O47)</f>
        <v>11.349969829424836</v>
      </c>
      <c r="P59" s="25">
        <f>+P47+($E$46*P47)</f>
        <v>12.542118025593822</v>
      </c>
      <c r="Q59" s="25">
        <f>+Q47+($E$46*Q47)</f>
        <v>13.951574929769594</v>
      </c>
      <c r="R59" s="25">
        <f>+R47+($E$46*R47)</f>
        <v>15.073487334897534</v>
      </c>
      <c r="S59" s="25">
        <f>+S47+($E$46*S47)</f>
        <v>16.412269624876039</v>
      </c>
      <c r="T59" s="25">
        <f>+T47+($E$46*T47)</f>
        <v>17.708244680803656</v>
      </c>
    </row>
    <row r="60" spans="9:24" x14ac:dyDescent="0.25">
      <c r="I60" t="str">
        <f t="shared" si="2"/>
        <v>IMP-MOIL</v>
      </c>
      <c r="J60" s="22"/>
      <c r="K60" s="22" t="str">
        <f>+RIGHT(I60,4)</f>
        <v>MOIL</v>
      </c>
      <c r="L60" s="22">
        <v>2019</v>
      </c>
      <c r="M60" s="25">
        <f>+M48+($E$46*M48)</f>
        <v>9.100130715743088</v>
      </c>
      <c r="N60" s="25">
        <f>+N48+($E$46*N48)</f>
        <v>8.5947919557700043</v>
      </c>
      <c r="O60" s="25">
        <f>+O48+($E$46*O48)</f>
        <v>10.442149804598191</v>
      </c>
      <c r="P60" s="25">
        <f>+P48+($E$46*P48)</f>
        <v>11.538944795313064</v>
      </c>
      <c r="Q60" s="25">
        <f>+Q48+($E$46*Q48)</f>
        <v>12.835667197021369</v>
      </c>
      <c r="R60" s="25">
        <f>+R48+($E$46*R48)</f>
        <v>13.86784416119368</v>
      </c>
      <c r="S60" s="25">
        <f>+S48+($E$46*S48)</f>
        <v>15.099544812190651</v>
      </c>
      <c r="T60" s="25">
        <f>+T48+($E$46*T48)</f>
        <v>16.291862138174636</v>
      </c>
    </row>
    <row r="61" spans="9:24" x14ac:dyDescent="0.25">
      <c r="I61" t="str">
        <f t="shared" si="2"/>
        <v>IMP-HOIL</v>
      </c>
      <c r="J61" s="22"/>
      <c r="K61" s="22" t="str">
        <f>+RIGHT(I61,4)</f>
        <v>HOIL</v>
      </c>
      <c r="L61" s="22">
        <v>2019</v>
      </c>
      <c r="M61" s="25">
        <f>+M49+($E$46*M49)</f>
        <v>7.5178356813137359</v>
      </c>
      <c r="N61" s="25">
        <f>+N49+($E$46*N49)</f>
        <v>7.1003632427800589</v>
      </c>
      <c r="O61" s="25">
        <f>+O49+($E$46*O49)</f>
        <v>8.6265097549449088</v>
      </c>
      <c r="P61" s="25">
        <f>+P49+($E$46*P49)</f>
        <v>9.5325983347515475</v>
      </c>
      <c r="Q61" s="25">
        <f>+Q49+($E$46*Q49)</f>
        <v>10.60385173152493</v>
      </c>
      <c r="R61" s="25">
        <f>+R49+($E$46*R49)</f>
        <v>11.456557813785972</v>
      </c>
      <c r="S61" s="25">
        <f>+S49+($E$46*S49)</f>
        <v>12.474095186819879</v>
      </c>
      <c r="T61" s="25">
        <f>+T49+($E$46*T49)</f>
        <v>13.459097052916594</v>
      </c>
    </row>
    <row r="62" spans="9:24" x14ac:dyDescent="0.25">
      <c r="I62" t="str">
        <f t="shared" si="2"/>
        <v>IMP-SIN</v>
      </c>
      <c r="J62" s="22"/>
      <c r="K62" s="23" t="s">
        <v>135</v>
      </c>
      <c r="L62" s="22">
        <v>2019</v>
      </c>
      <c r="M62" s="76">
        <f>+M50+($E$46*M50)</f>
        <v>33.833333333333336</v>
      </c>
      <c r="N62" s="76"/>
      <c r="O62" s="76"/>
      <c r="P62" s="76"/>
      <c r="Q62" s="76"/>
      <c r="R62" s="76"/>
      <c r="S62" s="76"/>
      <c r="T62" s="76"/>
    </row>
    <row r="71" spans="9:13" x14ac:dyDescent="0.25">
      <c r="I71" t="s">
        <v>219</v>
      </c>
    </row>
    <row r="72" spans="9:13" x14ac:dyDescent="0.25">
      <c r="J72" t="s">
        <v>228</v>
      </c>
      <c r="K72" s="73" t="s">
        <v>229</v>
      </c>
      <c r="L72" s="73" t="s">
        <v>230</v>
      </c>
      <c r="M72" t="s">
        <v>231</v>
      </c>
    </row>
    <row r="73" spans="9:13" x14ac:dyDescent="0.25">
      <c r="I73" t="s">
        <v>220</v>
      </c>
      <c r="J73" t="s">
        <v>218</v>
      </c>
      <c r="K73" s="73">
        <v>56.261001999999998</v>
      </c>
      <c r="L73" s="73">
        <f>+K73/$J$79</f>
        <v>9.9388771706679382</v>
      </c>
    </row>
    <row r="74" spans="9:13" x14ac:dyDescent="0.25">
      <c r="I74" t="s">
        <v>221</v>
      </c>
      <c r="J74" t="s">
        <v>224</v>
      </c>
      <c r="K74" s="73">
        <f>+K73-4.5</f>
        <v>51.761001999999998</v>
      </c>
      <c r="L74" s="73">
        <f t="shared" ref="L74:L75" si="10">+K74/$J$79</f>
        <v>9.1439224830851291</v>
      </c>
      <c r="M74" s="63">
        <f>+(L74-L73)/L73</f>
        <v>-7.9984355770983381E-2</v>
      </c>
    </row>
    <row r="75" spans="9:13" x14ac:dyDescent="0.25">
      <c r="I75" t="s">
        <v>222</v>
      </c>
      <c r="J75" t="s">
        <v>223</v>
      </c>
      <c r="K75" s="73">
        <f>+K74-9</f>
        <v>42.761001999999998</v>
      </c>
      <c r="L75" s="73">
        <f t="shared" si="10"/>
        <v>7.5540131079195145</v>
      </c>
      <c r="M75" s="63">
        <f>+(L75-L73)/L73</f>
        <v>-0.2399530673129498</v>
      </c>
    </row>
    <row r="79" spans="9:13" x14ac:dyDescent="0.25">
      <c r="I79" t="s">
        <v>225</v>
      </c>
      <c r="J79">
        <v>5.6607000000000003</v>
      </c>
      <c r="K79" t="s">
        <v>230</v>
      </c>
    </row>
    <row r="80" spans="9:13" x14ac:dyDescent="0.25">
      <c r="J80" t="s">
        <v>218</v>
      </c>
      <c r="K80" t="s">
        <v>218</v>
      </c>
    </row>
    <row r="81" spans="9:41" x14ac:dyDescent="0.25">
      <c r="J81">
        <f>4.5/J79</f>
        <v>0.79495468758280774</v>
      </c>
      <c r="K81" t="s">
        <v>226</v>
      </c>
    </row>
    <row r="82" spans="9:41" x14ac:dyDescent="0.25">
      <c r="J82">
        <f>9/J79</f>
        <v>1.5899093751656155</v>
      </c>
      <c r="K82" t="s">
        <v>227</v>
      </c>
    </row>
    <row r="94" spans="9:41" x14ac:dyDescent="0.25">
      <c r="I94" t="s">
        <v>244</v>
      </c>
    </row>
    <row r="95" spans="9:41" x14ac:dyDescent="0.25">
      <c r="J95">
        <v>2019</v>
      </c>
      <c r="K95">
        <v>2020</v>
      </c>
      <c r="L95">
        <v>2021</v>
      </c>
      <c r="M95">
        <v>2022</v>
      </c>
      <c r="N95">
        <v>2023</v>
      </c>
      <c r="O95">
        <v>2024</v>
      </c>
      <c r="P95">
        <v>2025</v>
      </c>
      <c r="Q95">
        <v>2026</v>
      </c>
      <c r="R95">
        <v>2027</v>
      </c>
      <c r="S95">
        <v>2028</v>
      </c>
      <c r="T95">
        <v>2029</v>
      </c>
      <c r="U95">
        <v>2030</v>
      </c>
      <c r="V95">
        <v>2031</v>
      </c>
      <c r="W95">
        <v>2032</v>
      </c>
      <c r="X95">
        <v>2033</v>
      </c>
      <c r="Y95">
        <v>2034</v>
      </c>
      <c r="Z95">
        <v>2035</v>
      </c>
      <c r="AA95">
        <v>2036</v>
      </c>
      <c r="AB95">
        <v>2037</v>
      </c>
      <c r="AC95">
        <v>2038</v>
      </c>
      <c r="AD95">
        <v>2039</v>
      </c>
      <c r="AE95">
        <v>2040</v>
      </c>
      <c r="AF95">
        <v>2041</v>
      </c>
      <c r="AG95">
        <v>2042</v>
      </c>
      <c r="AH95">
        <v>2043</v>
      </c>
      <c r="AI95">
        <v>2044</v>
      </c>
      <c r="AJ95">
        <v>2045</v>
      </c>
      <c r="AK95">
        <v>2046</v>
      </c>
      <c r="AL95">
        <v>2047</v>
      </c>
      <c r="AM95">
        <v>2048</v>
      </c>
      <c r="AN95">
        <v>2049</v>
      </c>
      <c r="AO95">
        <v>2050</v>
      </c>
    </row>
    <row r="96" spans="9:41" x14ac:dyDescent="0.25">
      <c r="I96" t="s">
        <v>46</v>
      </c>
      <c r="J96" s="72">
        <v>22.152425999999998</v>
      </c>
      <c r="K96" s="71">
        <v>21.94087</v>
      </c>
      <c r="L96" s="72">
        <v>21.968945999999999</v>
      </c>
      <c r="M96" s="71">
        <v>21.978165000000001</v>
      </c>
      <c r="N96" s="72">
        <v>21.894269999999999</v>
      </c>
      <c r="O96" s="71">
        <v>21.607965</v>
      </c>
      <c r="P96" s="72">
        <v>21.857471</v>
      </c>
      <c r="Q96" s="71">
        <v>22.043116000000001</v>
      </c>
      <c r="R96" s="72">
        <v>22.312280999999999</v>
      </c>
      <c r="S96" s="71">
        <v>22.424955000000001</v>
      </c>
      <c r="T96" s="72">
        <v>22.720831</v>
      </c>
      <c r="U96" s="71">
        <v>23.424423000000001</v>
      </c>
      <c r="V96" s="72">
        <v>23.588041</v>
      </c>
      <c r="W96" s="71">
        <v>23.796983999999998</v>
      </c>
      <c r="X96" s="72">
        <v>24.220589</v>
      </c>
      <c r="Y96" s="71">
        <v>24.608730000000001</v>
      </c>
      <c r="Z96" s="72">
        <v>24.865734</v>
      </c>
      <c r="AA96" s="71">
        <v>25.162941</v>
      </c>
      <c r="AB96" s="72">
        <v>25.240604000000001</v>
      </c>
      <c r="AC96" s="71">
        <v>25.517137999999999</v>
      </c>
      <c r="AD96" s="72">
        <v>25.858951999999999</v>
      </c>
      <c r="AE96" s="71">
        <v>25.951355</v>
      </c>
      <c r="AF96" s="72">
        <v>26.136623</v>
      </c>
      <c r="AG96" s="71">
        <v>26.539719000000002</v>
      </c>
      <c r="AH96" s="72">
        <v>26.75515</v>
      </c>
      <c r="AI96" s="71">
        <v>26.964805999999999</v>
      </c>
      <c r="AJ96" s="72">
        <v>27.311302000000001</v>
      </c>
      <c r="AK96" s="71">
        <v>27.396849</v>
      </c>
      <c r="AL96" s="72">
        <v>27.872745999999999</v>
      </c>
      <c r="AM96" s="71">
        <v>28.194441000000001</v>
      </c>
      <c r="AN96" s="72">
        <v>28.439672000000002</v>
      </c>
      <c r="AO96" s="71">
        <v>28.648949000000002</v>
      </c>
    </row>
    <row r="97" spans="9:41" x14ac:dyDescent="0.25">
      <c r="I97" t="s">
        <v>50</v>
      </c>
      <c r="J97" s="72">
        <v>22.055973000000002</v>
      </c>
      <c r="K97" s="71">
        <v>21.332649</v>
      </c>
      <c r="L97" s="72">
        <v>21.307634</v>
      </c>
      <c r="M97" s="71">
        <v>21.509706000000001</v>
      </c>
      <c r="N97" s="72">
        <v>21.507311000000001</v>
      </c>
      <c r="O97" s="71">
        <v>21.769124999999999</v>
      </c>
      <c r="P97" s="72">
        <v>21.766514000000001</v>
      </c>
      <c r="Q97" s="71">
        <v>22.167186999999998</v>
      </c>
      <c r="R97" s="72">
        <v>22.215661999999998</v>
      </c>
      <c r="S97" s="71">
        <v>22.559709999999999</v>
      </c>
      <c r="T97" s="72">
        <v>22.7668</v>
      </c>
      <c r="U97" s="71">
        <v>23.137453000000001</v>
      </c>
      <c r="V97" s="72">
        <v>23.400127000000001</v>
      </c>
      <c r="W97" s="71">
        <v>23.565245000000001</v>
      </c>
      <c r="X97" s="72">
        <v>23.939878</v>
      </c>
      <c r="Y97" s="71">
        <v>24.132757000000002</v>
      </c>
      <c r="Z97" s="72">
        <v>24.353363000000002</v>
      </c>
      <c r="AA97" s="71">
        <v>24.599989000000001</v>
      </c>
      <c r="AB97" s="72">
        <v>24.760366000000001</v>
      </c>
      <c r="AC97" s="71">
        <v>24.966681000000001</v>
      </c>
      <c r="AD97" s="72">
        <v>25.188585</v>
      </c>
      <c r="AE97" s="71">
        <v>25.189914999999999</v>
      </c>
      <c r="AF97" s="72">
        <v>25.361546000000001</v>
      </c>
      <c r="AG97" s="71">
        <v>25.739941000000002</v>
      </c>
      <c r="AH97" s="72">
        <v>25.903061000000001</v>
      </c>
      <c r="AI97" s="71">
        <v>26.101400000000002</v>
      </c>
      <c r="AJ97" s="72">
        <v>26.471900999999999</v>
      </c>
      <c r="AK97" s="71">
        <v>26.487107999999999</v>
      </c>
      <c r="AL97" s="72">
        <v>26.746400999999999</v>
      </c>
      <c r="AM97" s="71">
        <v>26.985009999999999</v>
      </c>
      <c r="AN97" s="72">
        <v>27.152633999999999</v>
      </c>
      <c r="AO97" s="71">
        <v>27.305868</v>
      </c>
    </row>
    <row r="98" spans="9:41" x14ac:dyDescent="0.25">
      <c r="I98" t="s">
        <v>51</v>
      </c>
      <c r="J98" s="72">
        <v>14.641048</v>
      </c>
      <c r="K98" s="71">
        <v>14.449450000000001</v>
      </c>
      <c r="L98" s="72">
        <v>14.469915</v>
      </c>
      <c r="M98" s="71">
        <v>14.677915</v>
      </c>
      <c r="N98" s="72">
        <v>14.784328</v>
      </c>
      <c r="O98" s="71">
        <v>15.181978000000001</v>
      </c>
      <c r="P98" s="72">
        <v>15.254274000000001</v>
      </c>
      <c r="Q98" s="71">
        <v>15.71048</v>
      </c>
      <c r="R98" s="72">
        <v>15.739540999999999</v>
      </c>
      <c r="S98" s="71">
        <v>16.214652999999998</v>
      </c>
      <c r="T98" s="72">
        <v>16.425370999999998</v>
      </c>
      <c r="U98" s="71">
        <v>16.664819999999999</v>
      </c>
      <c r="V98" s="72">
        <v>17.012841999999999</v>
      </c>
      <c r="W98" s="71">
        <v>17.187419999999999</v>
      </c>
      <c r="X98" s="72">
        <v>17.583839000000001</v>
      </c>
      <c r="Y98" s="71">
        <v>17.868292</v>
      </c>
      <c r="Z98" s="72">
        <v>18.138349999999999</v>
      </c>
      <c r="AA98" s="71">
        <v>18.383088999999998</v>
      </c>
      <c r="AB98" s="72">
        <v>18.624289999999998</v>
      </c>
      <c r="AC98" s="71">
        <v>18.83005</v>
      </c>
      <c r="AD98" s="72">
        <v>19.106794000000001</v>
      </c>
      <c r="AE98" s="71">
        <v>19.197942999999999</v>
      </c>
      <c r="AF98" s="72">
        <v>19.450199000000001</v>
      </c>
      <c r="AG98" s="71">
        <v>19.834574</v>
      </c>
      <c r="AH98" s="72">
        <v>20.040814999999998</v>
      </c>
      <c r="AI98" s="71">
        <v>20.276285000000001</v>
      </c>
      <c r="AJ98" s="72">
        <v>20.70055</v>
      </c>
      <c r="AK98" s="71">
        <v>20.752966000000001</v>
      </c>
      <c r="AL98" s="72">
        <v>21.175343999999999</v>
      </c>
      <c r="AM98" s="71">
        <v>21.518598999999998</v>
      </c>
      <c r="AN98" s="72">
        <v>21.766680000000001</v>
      </c>
      <c r="AO98" s="71">
        <v>21.858753</v>
      </c>
    </row>
    <row r="99" spans="9:41" x14ac:dyDescent="0.25">
      <c r="I99" t="s">
        <v>52</v>
      </c>
      <c r="J99" s="72">
        <v>18.517337999999999</v>
      </c>
      <c r="K99" s="71">
        <v>17.795781999999999</v>
      </c>
      <c r="L99" s="72">
        <v>18.164116</v>
      </c>
      <c r="M99" s="71">
        <v>18.891821</v>
      </c>
      <c r="N99" s="72">
        <v>19.477640000000001</v>
      </c>
      <c r="O99" s="71">
        <v>20.115549000000001</v>
      </c>
      <c r="P99" s="72">
        <v>20.967055999999999</v>
      </c>
      <c r="Q99" s="71">
        <v>21.841379</v>
      </c>
      <c r="R99" s="72">
        <v>22.424021</v>
      </c>
      <c r="S99" s="71">
        <v>22.825673999999999</v>
      </c>
      <c r="T99" s="72">
        <v>23.067326999999999</v>
      </c>
      <c r="U99" s="71">
        <v>23.235030999999999</v>
      </c>
      <c r="V99" s="72">
        <v>23.271035999999999</v>
      </c>
      <c r="W99" s="71">
        <v>23.351419</v>
      </c>
      <c r="X99" s="72">
        <v>23.62575</v>
      </c>
      <c r="Y99" s="71">
        <v>23.87743</v>
      </c>
      <c r="Z99" s="72">
        <v>24.152052000000001</v>
      </c>
      <c r="AA99" s="71">
        <v>24.470886</v>
      </c>
      <c r="AB99" s="72">
        <v>24.818118999999999</v>
      </c>
      <c r="AC99" s="71">
        <v>25.156732999999999</v>
      </c>
      <c r="AD99" s="72">
        <v>25.476082000000002</v>
      </c>
      <c r="AE99" s="71">
        <v>25.756554000000001</v>
      </c>
      <c r="AF99" s="72">
        <v>26.017603000000001</v>
      </c>
      <c r="AG99" s="71">
        <v>26.396612000000001</v>
      </c>
      <c r="AH99" s="72">
        <v>26.704369</v>
      </c>
      <c r="AI99" s="71">
        <v>27.004362</v>
      </c>
      <c r="AJ99" s="72">
        <v>27.302423000000001</v>
      </c>
      <c r="AK99" s="71">
        <v>27.590530000000001</v>
      </c>
      <c r="AL99" s="72">
        <v>27.952341000000001</v>
      </c>
      <c r="AM99" s="71">
        <v>28.331855999999998</v>
      </c>
      <c r="AN99" s="72">
        <v>28.642916</v>
      </c>
      <c r="AO99" s="71">
        <v>28.935759999999998</v>
      </c>
    </row>
    <row r="100" spans="9:41" x14ac:dyDescent="0.25">
      <c r="I100" t="s">
        <v>53</v>
      </c>
      <c r="J100" s="72">
        <v>9.7503069999999994</v>
      </c>
      <c r="K100" s="71">
        <v>10.19247</v>
      </c>
      <c r="L100" s="72">
        <v>10.271381</v>
      </c>
      <c r="M100" s="71">
        <v>10.173702</v>
      </c>
      <c r="N100" s="72">
        <v>9.1834290000000003</v>
      </c>
      <c r="O100" s="71">
        <v>9.5545159999999996</v>
      </c>
      <c r="P100" s="72">
        <v>9.8769209999999994</v>
      </c>
      <c r="Q100" s="71">
        <v>10.457724000000001</v>
      </c>
      <c r="R100" s="72">
        <v>11.210336</v>
      </c>
      <c r="S100" s="71">
        <v>11.536975999999999</v>
      </c>
      <c r="T100" s="72">
        <v>11.842731000000001</v>
      </c>
      <c r="U100" s="71">
        <v>11.37082</v>
      </c>
      <c r="V100" s="72">
        <v>11.605115</v>
      </c>
      <c r="W100" s="71">
        <v>11.676685000000001</v>
      </c>
      <c r="X100" s="72">
        <v>11.933399</v>
      </c>
      <c r="Y100" s="71">
        <v>12.064242</v>
      </c>
      <c r="Z100" s="72">
        <v>12.697660000000001</v>
      </c>
      <c r="AA100" s="71">
        <v>13.116432</v>
      </c>
      <c r="AB100" s="72">
        <v>13.224297</v>
      </c>
      <c r="AC100" s="71">
        <v>13.736769000000001</v>
      </c>
      <c r="AD100" s="72">
        <v>13.914393</v>
      </c>
      <c r="AE100" s="71">
        <v>14.113455</v>
      </c>
      <c r="AF100" s="72">
        <v>14.229108</v>
      </c>
      <c r="AG100" s="71">
        <v>14.283981000000001</v>
      </c>
      <c r="AH100" s="72">
        <v>14.843826</v>
      </c>
      <c r="AI100" s="71">
        <v>15.073577</v>
      </c>
      <c r="AJ100" s="72">
        <v>15.086976</v>
      </c>
      <c r="AK100" s="71">
        <v>15.677839000000001</v>
      </c>
      <c r="AL100" s="72">
        <v>15.942997</v>
      </c>
      <c r="AM100" s="71">
        <v>16.146730000000002</v>
      </c>
      <c r="AN100" s="72">
        <v>16.344221000000001</v>
      </c>
      <c r="AO100" s="71">
        <v>15.920506</v>
      </c>
    </row>
    <row r="101" spans="9:41" x14ac:dyDescent="0.25">
      <c r="I101" t="s">
        <v>44</v>
      </c>
      <c r="J101">
        <v>16.336877005347596</v>
      </c>
      <c r="K101">
        <v>15.906911905432029</v>
      </c>
      <c r="L101">
        <v>16.583545735997749</v>
      </c>
      <c r="M101">
        <v>17.425744441317196</v>
      </c>
      <c r="N101">
        <v>17.265841823810863</v>
      </c>
      <c r="O101">
        <v>17.183804109203489</v>
      </c>
      <c r="P101">
        <v>17.76969997185477</v>
      </c>
      <c r="Q101">
        <v>17.949379116239797</v>
      </c>
      <c r="R101">
        <v>18.489267661131436</v>
      </c>
      <c r="S101">
        <v>19.181316070925977</v>
      </c>
      <c r="T101">
        <v>19.59553560371517</v>
      </c>
      <c r="U101">
        <v>20.679272727272728</v>
      </c>
      <c r="V101">
        <v>20.745623979735434</v>
      </c>
      <c r="W101">
        <v>20.815344216155363</v>
      </c>
      <c r="X101">
        <v>20.860866873065014</v>
      </c>
      <c r="Y101">
        <v>20.756759358288768</v>
      </c>
      <c r="Z101">
        <v>20.835061638052352</v>
      </c>
      <c r="AA101">
        <v>20.885974669293553</v>
      </c>
      <c r="AB101">
        <v>20.979112299465239</v>
      </c>
      <c r="AC101">
        <v>21.052343371798479</v>
      </c>
      <c r="AD101">
        <v>21.330976076555025</v>
      </c>
      <c r="AE101">
        <v>21.42243512524627</v>
      </c>
      <c r="AF101">
        <v>21.491599774838164</v>
      </c>
      <c r="AG101">
        <v>21.928314663664509</v>
      </c>
      <c r="AH101">
        <v>22.202857303687022</v>
      </c>
      <c r="AI101">
        <v>22.659845201238387</v>
      </c>
      <c r="AJ101">
        <v>22.587926259499014</v>
      </c>
      <c r="AK101">
        <v>22.963514776245425</v>
      </c>
      <c r="AL101">
        <v>23.469701660568532</v>
      </c>
      <c r="AM101">
        <v>23.726725584013508</v>
      </c>
      <c r="AN101">
        <v>24.321664508865748</v>
      </c>
      <c r="AO101">
        <v>25.480807768083309</v>
      </c>
    </row>
    <row r="102" spans="9:41" x14ac:dyDescent="0.25">
      <c r="I102" t="s">
        <v>45</v>
      </c>
      <c r="J102">
        <v>28.503195372270948</v>
      </c>
      <c r="K102">
        <v>27.56843519236628</v>
      </c>
      <c r="L102">
        <v>27.536108011323876</v>
      </c>
      <c r="M102">
        <v>27.797248052403248</v>
      </c>
      <c r="N102">
        <v>27.794152965511518</v>
      </c>
      <c r="O102">
        <v>28.132498301407413</v>
      </c>
      <c r="P102">
        <v>28.129124075155097</v>
      </c>
      <c r="Q102">
        <v>28.646918542866576</v>
      </c>
      <c r="R102">
        <v>28.709563360017508</v>
      </c>
      <c r="S102">
        <v>29.154180668963214</v>
      </c>
      <c r="T102">
        <v>29.421805530928889</v>
      </c>
      <c r="U102">
        <v>29.90080479676578</v>
      </c>
      <c r="V102">
        <v>30.240261520856617</v>
      </c>
      <c r="W102">
        <v>30.453645469661708</v>
      </c>
      <c r="X102">
        <v>30.937788136679849</v>
      </c>
      <c r="Y102">
        <v>31.187047954880036</v>
      </c>
      <c r="Z102">
        <v>31.472139703872259</v>
      </c>
      <c r="AA102">
        <v>31.79085740732074</v>
      </c>
      <c r="AB102">
        <v>31.99811450562326</v>
      </c>
      <c r="AC102">
        <v>32.264737825901626</v>
      </c>
      <c r="AD102">
        <v>32.551506995681095</v>
      </c>
      <c r="AE102">
        <v>32.553225770447689</v>
      </c>
      <c r="AF102">
        <v>32.775026546361701</v>
      </c>
      <c r="AG102">
        <v>33.264030890576777</v>
      </c>
      <c r="AH102">
        <v>33.474832800296412</v>
      </c>
      <c r="AI102">
        <v>33.731148641222632</v>
      </c>
      <c r="AJ102">
        <v>34.209951475657626</v>
      </c>
      <c r="AK102">
        <v>34.229603662030271</v>
      </c>
      <c r="AL102">
        <v>34.564691079740761</v>
      </c>
      <c r="AM102">
        <v>34.873048319051037</v>
      </c>
      <c r="AN102">
        <v>35.089670801363731</v>
      </c>
      <c r="AO102">
        <v>35.287696916088954</v>
      </c>
    </row>
    <row r="103" spans="9:41" x14ac:dyDescent="0.25">
      <c r="I103" t="s">
        <v>54</v>
      </c>
      <c r="J103" s="72">
        <v>5.0316960000000002</v>
      </c>
      <c r="K103" s="71">
        <v>4.7607179999999998</v>
      </c>
      <c r="L103" s="72">
        <v>4.8476780000000002</v>
      </c>
      <c r="M103" s="71">
        <v>4.8332069999999998</v>
      </c>
      <c r="N103" s="72">
        <v>4.8686489999999996</v>
      </c>
      <c r="O103" s="71">
        <v>4.9797479999999998</v>
      </c>
      <c r="P103" s="72">
        <v>5.198734</v>
      </c>
      <c r="Q103" s="71">
        <v>5.4027200000000004</v>
      </c>
      <c r="R103" s="72">
        <v>5.5522840000000002</v>
      </c>
      <c r="S103" s="71">
        <v>5.6320800000000002</v>
      </c>
      <c r="T103" s="72">
        <v>5.6439170000000001</v>
      </c>
      <c r="U103" s="71">
        <v>5.6790589999999996</v>
      </c>
      <c r="V103" s="72">
        <v>5.6373389999999999</v>
      </c>
      <c r="W103" s="71">
        <v>5.6477459999999997</v>
      </c>
      <c r="X103" s="72">
        <v>5.7140750000000002</v>
      </c>
      <c r="Y103" s="71">
        <v>5.7420039999999997</v>
      </c>
      <c r="Z103" s="72">
        <v>5.739636</v>
      </c>
      <c r="AA103" s="71">
        <v>5.7297529999999997</v>
      </c>
      <c r="AB103" s="72">
        <v>5.7619749999999996</v>
      </c>
      <c r="AC103" s="71">
        <v>5.7804820000000001</v>
      </c>
      <c r="AD103" s="72">
        <v>5.7848649999999999</v>
      </c>
      <c r="AE103" s="71">
        <v>5.7817970000000001</v>
      </c>
      <c r="AF103" s="72">
        <v>5.7831630000000001</v>
      </c>
      <c r="AG103" s="71">
        <v>5.7969949999999999</v>
      </c>
      <c r="AH103" s="72">
        <v>5.8079429999999999</v>
      </c>
      <c r="AI103" s="71">
        <v>5.8250010000000003</v>
      </c>
      <c r="AJ103" s="72">
        <v>5.848293</v>
      </c>
      <c r="AK103" s="71">
        <v>5.8874190000000004</v>
      </c>
      <c r="AL103" s="72">
        <v>5.9310219999999996</v>
      </c>
      <c r="AM103" s="71">
        <v>5.9516270000000002</v>
      </c>
      <c r="AN103" s="72">
        <v>5.9727379999999997</v>
      </c>
      <c r="AO103" s="71">
        <v>6.0177839999999998</v>
      </c>
    </row>
    <row r="104" spans="9:41" ht="16.5" customHeight="1" x14ac:dyDescent="0.25">
      <c r="I104" t="s">
        <v>55</v>
      </c>
      <c r="J104">
        <f>+J107</f>
        <v>9.9389069659747609</v>
      </c>
      <c r="K104">
        <f>+K107</f>
        <v>9.3869901772428523</v>
      </c>
      <c r="L104">
        <f>+L107</f>
        <v>10.287079260646848</v>
      </c>
      <c r="M104">
        <f>+M107</f>
        <v>10.535673289409495</v>
      </c>
      <c r="N104">
        <f>+N107</f>
        <v>10.74174170797278</v>
      </c>
      <c r="O104">
        <f>+O107</f>
        <v>11.129993971580372</v>
      </c>
      <c r="P104">
        <f>+P107</f>
        <v>11.404622491095539</v>
      </c>
      <c r="Q104">
        <f>+Q107</f>
        <v>11.693615001593368</v>
      </c>
      <c r="R104">
        <f>+R107</f>
        <v>11.97288183063062</v>
      </c>
      <c r="S104">
        <f>+S107</f>
        <v>12.106750658115047</v>
      </c>
      <c r="T104">
        <f>+T107</f>
        <v>12.377995487022886</v>
      </c>
      <c r="U104">
        <f>+U107</f>
        <v>12.602511149398413</v>
      </c>
      <c r="V104">
        <f>+V107</f>
        <v>12.89947849257279</v>
      </c>
      <c r="W104">
        <f>+W107</f>
        <v>13.05019617018589</v>
      </c>
      <c r="X104">
        <f>+X107</f>
        <v>13.528408425775462</v>
      </c>
      <c r="Y104">
        <f>+Y107</f>
        <v>13.746138157938017</v>
      </c>
      <c r="Z104">
        <f>+Z107</f>
        <v>14.018754906092827</v>
      </c>
      <c r="AA104">
        <f>+AA107</f>
        <v>14.383410900612422</v>
      </c>
      <c r="AB104">
        <f>+AB107</f>
        <v>14.451363477705129</v>
      </c>
      <c r="AC104">
        <f>+AC107</f>
        <v>14.722348267322275</v>
      </c>
      <c r="AD104">
        <f>+AD107</f>
        <v>14.97849385828558</v>
      </c>
      <c r="AE104">
        <f>+AE107</f>
        <v>15.146069572197943</v>
      </c>
      <c r="AF104">
        <f>+AF107</f>
        <v>15.324567642948036</v>
      </c>
      <c r="AG104">
        <f>+AG107</f>
        <v>15.726956186501802</v>
      </c>
      <c r="AH104">
        <f>+AH107</f>
        <v>15.920432485064548</v>
      </c>
      <c r="AI104">
        <f>+AI107</f>
        <v>16.14669086999627</v>
      </c>
      <c r="AJ104">
        <f>+AJ107</f>
        <v>16.491298400506025</v>
      </c>
      <c r="AK104">
        <f>+AK107</f>
        <v>16.614746224078669</v>
      </c>
      <c r="AL104">
        <f>+AL107</f>
        <v>17.032564177747016</v>
      </c>
      <c r="AM104">
        <f>+AM107</f>
        <v>17.354044993811897</v>
      </c>
      <c r="AN104">
        <f>+AN107</f>
        <v>17.615031873336019</v>
      </c>
      <c r="AO104">
        <f>+AO107</f>
        <v>17.793513868287572</v>
      </c>
    </row>
    <row r="105" spans="9:41" x14ac:dyDescent="0.25">
      <c r="I105" t="s">
        <v>70</v>
      </c>
      <c r="J105">
        <f>+J104*(100%+$M$74)</f>
        <v>9.143949895233531</v>
      </c>
      <c r="K105">
        <f t="shared" ref="K105:AO105" si="11">+K104*(100%+$M$74)</f>
        <v>8.6361778152875335</v>
      </c>
      <c r="L105">
        <f t="shared" si="11"/>
        <v>9.4642738532189661</v>
      </c>
      <c r="M105">
        <f t="shared" si="11"/>
        <v>9.6929842487425191</v>
      </c>
      <c r="N105">
        <f t="shared" si="11"/>
        <v>9.8825704176022739</v>
      </c>
      <c r="O105">
        <f t="shared" si="11"/>
        <v>10.239768574028588</v>
      </c>
      <c r="P105">
        <f t="shared" si="11"/>
        <v>10.492431108333994</v>
      </c>
      <c r="Q105">
        <f t="shared" si="11"/>
        <v>10.758308739057016</v>
      </c>
      <c r="R105">
        <f t="shared" si="11"/>
        <v>11.015238590685517</v>
      </c>
      <c r="S105">
        <f t="shared" si="11"/>
        <v>11.138400006245785</v>
      </c>
      <c r="T105">
        <f t="shared" si="11"/>
        <v>11.387949492257221</v>
      </c>
      <c r="U105">
        <f t="shared" si="11"/>
        <v>11.594507414017146</v>
      </c>
      <c r="V105">
        <f t="shared" si="11"/>
        <v>11.8677220155627</v>
      </c>
      <c r="W105">
        <f t="shared" si="11"/>
        <v>12.006384636828617</v>
      </c>
      <c r="X105">
        <f t="shared" si="11"/>
        <v>12.446347393233069</v>
      </c>
      <c r="Y105">
        <f t="shared" si="11"/>
        <v>12.646662153036411</v>
      </c>
      <c r="Z105">
        <f t="shared" si="11"/>
        <v>12.897473826217679</v>
      </c>
      <c r="AA105">
        <f t="shared" si="11"/>
        <v>13.232963045937597</v>
      </c>
      <c r="AB105">
        <f t="shared" si="11"/>
        <v>13.295480479928566</v>
      </c>
      <c r="AC105">
        <f t="shared" si="11"/>
        <v>13.544790725724448</v>
      </c>
      <c r="AD105">
        <f t="shared" si="11"/>
        <v>13.780448676610977</v>
      </c>
      <c r="AE105">
        <f t="shared" si="11"/>
        <v>13.934620955003197</v>
      </c>
      <c r="AF105">
        <f t="shared" si="11"/>
        <v>14.098841972557979</v>
      </c>
      <c r="AG105">
        <f t="shared" si="11"/>
        <v>14.469045727685973</v>
      </c>
      <c r="AH105">
        <f t="shared" si="11"/>
        <v>14.647046949151225</v>
      </c>
      <c r="AI105">
        <f t="shared" si="11"/>
        <v>14.855208202926399</v>
      </c>
      <c r="AJ105">
        <f t="shared" si="11"/>
        <v>15.172252522114501</v>
      </c>
      <c r="AK105">
        <f t="shared" si="11"/>
        <v>15.285826451047358</v>
      </c>
      <c r="AL105">
        <f t="shared" si="11"/>
        <v>15.670225504861991</v>
      </c>
      <c r="AM105">
        <f t="shared" si="11"/>
        <v>15.965992884961192</v>
      </c>
      <c r="AN105">
        <f t="shared" si="11"/>
        <v>16.206104897061898</v>
      </c>
      <c r="AO105">
        <f t="shared" si="11"/>
        <v>16.370311124630533</v>
      </c>
    </row>
    <row r="106" spans="9:41" x14ac:dyDescent="0.25">
      <c r="I106" t="s">
        <v>232</v>
      </c>
      <c r="J106">
        <f>+J104*(100%+$M$75)</f>
        <v>7.5540357537510738</v>
      </c>
      <c r="K106">
        <f t="shared" ref="K106:AO106" si="12">+K104*(100%+$M$75)</f>
        <v>7.1345530913769002</v>
      </c>
      <c r="L106">
        <f t="shared" si="12"/>
        <v>7.8186630383632059</v>
      </c>
      <c r="M106">
        <f t="shared" si="12"/>
        <v>8.0076061674085715</v>
      </c>
      <c r="N106">
        <f t="shared" si="12"/>
        <v>8.1642278368612686</v>
      </c>
      <c r="O106">
        <f t="shared" si="12"/>
        <v>8.4593177789250227</v>
      </c>
      <c r="P106">
        <f t="shared" si="12"/>
        <v>8.668048342810911</v>
      </c>
      <c r="Q106">
        <f t="shared" si="12"/>
        <v>8.8876962139843165</v>
      </c>
      <c r="R106">
        <f t="shared" si="12"/>
        <v>9.0999521107953179</v>
      </c>
      <c r="S106">
        <f t="shared" si="12"/>
        <v>9.2016987025072687</v>
      </c>
      <c r="T106">
        <f t="shared" si="12"/>
        <v>9.4078575027258964</v>
      </c>
      <c r="U106">
        <f t="shared" si="12"/>
        <v>9.5784999432546165</v>
      </c>
      <c r="V106">
        <f t="shared" si="12"/>
        <v>9.8042090615425241</v>
      </c>
      <c r="W106">
        <f t="shared" si="12"/>
        <v>9.9187615701140768</v>
      </c>
      <c r="X106">
        <f t="shared" si="12"/>
        <v>10.282225328148286</v>
      </c>
      <c r="Y106">
        <f t="shared" si="12"/>
        <v>10.447710143233209</v>
      </c>
      <c r="Z106">
        <f t="shared" si="12"/>
        <v>10.65491166646739</v>
      </c>
      <c r="AA106">
        <f t="shared" si="12"/>
        <v>10.932067336587954</v>
      </c>
      <c r="AB106">
        <f t="shared" si="12"/>
        <v>10.983714484375447</v>
      </c>
      <c r="AC106">
        <f t="shared" si="12"/>
        <v>11.189675642528805</v>
      </c>
      <c r="AD106">
        <f t="shared" si="12"/>
        <v>11.384358313261776</v>
      </c>
      <c r="AE106">
        <f t="shared" si="12"/>
        <v>11.511723720613711</v>
      </c>
      <c r="AF106">
        <f t="shared" si="12"/>
        <v>11.647390631777874</v>
      </c>
      <c r="AG106">
        <f t="shared" si="12"/>
        <v>11.953224810054323</v>
      </c>
      <c r="AH106">
        <f t="shared" si="12"/>
        <v>12.100275877324583</v>
      </c>
      <c r="AI106">
        <f t="shared" si="12"/>
        <v>12.272242868786664</v>
      </c>
      <c r="AJ106">
        <f t="shared" si="12"/>
        <v>12.534160765331462</v>
      </c>
      <c r="AK106">
        <f t="shared" si="12"/>
        <v>12.627986904984743</v>
      </c>
      <c r="AL106">
        <f t="shared" si="12"/>
        <v>12.945548159091949</v>
      </c>
      <c r="AM106">
        <f t="shared" si="12"/>
        <v>13.189888667259792</v>
      </c>
      <c r="AN106">
        <f t="shared" si="12"/>
        <v>13.388250944513667</v>
      </c>
      <c r="AO106">
        <f t="shared" si="12"/>
        <v>13.52390563731646</v>
      </c>
    </row>
    <row r="107" spans="9:41" x14ac:dyDescent="0.25">
      <c r="I107" t="s">
        <v>218</v>
      </c>
      <c r="J107">
        <v>9.9389069659747609</v>
      </c>
      <c r="K107">
        <v>9.3869901772428523</v>
      </c>
      <c r="L107">
        <v>10.287079260646848</v>
      </c>
      <c r="M107">
        <v>10.535673289409495</v>
      </c>
      <c r="N107">
        <v>10.74174170797278</v>
      </c>
      <c r="O107">
        <v>11.129993971580372</v>
      </c>
      <c r="P107">
        <v>11.404622491095539</v>
      </c>
      <c r="Q107">
        <v>11.693615001593368</v>
      </c>
      <c r="R107">
        <v>11.97288183063062</v>
      </c>
      <c r="S107">
        <v>12.106750658115047</v>
      </c>
      <c r="T107">
        <v>12.377995487022886</v>
      </c>
      <c r="U107">
        <v>12.602511149398413</v>
      </c>
      <c r="V107">
        <v>12.89947849257279</v>
      </c>
      <c r="W107">
        <v>13.05019617018589</v>
      </c>
      <c r="X107">
        <v>13.528408425775462</v>
      </c>
      <c r="Y107">
        <v>13.746138157938017</v>
      </c>
      <c r="Z107">
        <v>14.018754906092827</v>
      </c>
      <c r="AA107">
        <v>14.383410900612422</v>
      </c>
      <c r="AB107">
        <v>14.451363477705129</v>
      </c>
      <c r="AC107">
        <v>14.722348267322275</v>
      </c>
      <c r="AD107">
        <v>14.97849385828558</v>
      </c>
      <c r="AE107">
        <v>15.146069572197943</v>
      </c>
      <c r="AF107">
        <v>15.324567642948036</v>
      </c>
      <c r="AG107">
        <v>15.726956186501802</v>
      </c>
      <c r="AH107">
        <v>15.920432485064548</v>
      </c>
      <c r="AI107">
        <v>16.14669086999627</v>
      </c>
      <c r="AJ107">
        <v>16.491298400506025</v>
      </c>
      <c r="AK107">
        <v>16.614746224078669</v>
      </c>
      <c r="AL107">
        <v>17.032564177747016</v>
      </c>
      <c r="AM107">
        <v>17.354044993811897</v>
      </c>
      <c r="AN107">
        <v>17.615031873336019</v>
      </c>
      <c r="AO107">
        <v>17.793513868287572</v>
      </c>
    </row>
    <row r="113" spans="9:17" x14ac:dyDescent="0.25">
      <c r="I113" t="s">
        <v>245</v>
      </c>
    </row>
    <row r="114" spans="9:17" x14ac:dyDescent="0.25">
      <c r="J114">
        <v>2019</v>
      </c>
      <c r="K114">
        <v>2020</v>
      </c>
      <c r="L114">
        <v>2025</v>
      </c>
      <c r="M114">
        <v>2030</v>
      </c>
      <c r="N114">
        <v>2035</v>
      </c>
      <c r="O114">
        <v>2040</v>
      </c>
      <c r="P114">
        <v>2045</v>
      </c>
      <c r="Q114">
        <v>2050</v>
      </c>
    </row>
    <row r="115" spans="9:17" x14ac:dyDescent="0.25">
      <c r="I115" t="s">
        <v>46</v>
      </c>
      <c r="J115" s="72">
        <f>+J96*$R$3/1000000</f>
        <v>20.996445954041999</v>
      </c>
      <c r="K115" s="72">
        <f t="shared" ref="K115:Q115" si="13">+K96*$R$3/1000000</f>
        <v>20.795929580790002</v>
      </c>
      <c r="L115" s="72">
        <f>+P96*$R$3/1000000</f>
        <v>20.716882590807003</v>
      </c>
      <c r="M115" s="72">
        <f>+U96*$R$3/1000000</f>
        <v>22.202066334591002</v>
      </c>
      <c r="N115" s="72">
        <f>+Z96*$R$3/1000000</f>
        <v>23.568165402677998</v>
      </c>
      <c r="O115" s="72">
        <f>+AE96*$R$3/1000000</f>
        <v>24.597135442035</v>
      </c>
      <c r="P115" s="72">
        <f>+AJ96*$R$3/1000000</f>
        <v>25.886116327734001</v>
      </c>
      <c r="Q115" s="72">
        <f>+AO96*$R$3/1000000</f>
        <v>27.153960894333</v>
      </c>
    </row>
    <row r="116" spans="9:17" x14ac:dyDescent="0.25">
      <c r="I116" t="s">
        <v>50</v>
      </c>
      <c r="J116" s="72">
        <f t="shared" ref="J116:K126" si="14">+J97*$R$3/1000000</f>
        <v>20.905026160941002</v>
      </c>
      <c r="K116" s="72">
        <f t="shared" si="14"/>
        <v>20.219447377232999</v>
      </c>
      <c r="L116" s="72">
        <f t="shared" ref="L116:L126" si="15">+P97*$R$3/1000000</f>
        <v>20.630671999937999</v>
      </c>
      <c r="M116" s="72">
        <f t="shared" ref="M116:M126" si="16">+U97*$R$3/1000000</f>
        <v>21.930071290101001</v>
      </c>
      <c r="N116" s="72">
        <f t="shared" ref="N116:N126" si="17">+Z97*$R$3/1000000</f>
        <v>23.082531458571001</v>
      </c>
      <c r="O116" s="72">
        <f t="shared" ref="O116:O126" si="18">+AE97*$R$3/1000000</f>
        <v>23.875429665555</v>
      </c>
      <c r="P116" s="72">
        <f t="shared" ref="P116:P126" si="19">+AJ97*$R$3/1000000</f>
        <v>25.090517790116998</v>
      </c>
      <c r="Q116" s="72">
        <f t="shared" ref="Q116:Q126" si="20">+AO97*$R$3/1000000</f>
        <v>25.880965890156002</v>
      </c>
    </row>
    <row r="117" spans="9:17" x14ac:dyDescent="0.25">
      <c r="I117" t="s">
        <v>51</v>
      </c>
      <c r="J117" s="72">
        <f t="shared" si="14"/>
        <v>13.877034192216</v>
      </c>
      <c r="K117" s="72">
        <f t="shared" si="14"/>
        <v>13.695434350650002</v>
      </c>
      <c r="L117" s="72">
        <f t="shared" si="15"/>
        <v>14.458260219857999</v>
      </c>
      <c r="M117" s="72">
        <f t="shared" si="16"/>
        <v>15.795199697939999</v>
      </c>
      <c r="N117" s="72">
        <f t="shared" si="17"/>
        <v>17.191836481949998</v>
      </c>
      <c r="O117" s="72">
        <f t="shared" si="18"/>
        <v>18.196136740431001</v>
      </c>
      <c r="P117" s="72">
        <f t="shared" si="19"/>
        <v>19.62033319935</v>
      </c>
      <c r="Q117" s="72">
        <f t="shared" si="20"/>
        <v>20.718097692200999</v>
      </c>
    </row>
    <row r="118" spans="9:17" x14ac:dyDescent="0.25">
      <c r="I118" t="s">
        <v>52</v>
      </c>
      <c r="J118" s="72">
        <f t="shared" si="14"/>
        <v>17.551047751146001</v>
      </c>
      <c r="K118" s="72">
        <f t="shared" si="14"/>
        <v>16.867144707893999</v>
      </c>
      <c r="L118" s="72">
        <f t="shared" si="15"/>
        <v>19.872932116751997</v>
      </c>
      <c r="M118" s="72">
        <f t="shared" si="16"/>
        <v>22.022557377326997</v>
      </c>
      <c r="N118" s="72">
        <f t="shared" si="17"/>
        <v>22.891725470484001</v>
      </c>
      <c r="O118" s="72">
        <f t="shared" si="18"/>
        <v>24.412499742618003</v>
      </c>
      <c r="P118" s="72">
        <f t="shared" si="19"/>
        <v>25.877700660591003</v>
      </c>
      <c r="Q118" s="72">
        <f t="shared" si="20"/>
        <v>27.425805235919999</v>
      </c>
    </row>
    <row r="119" spans="9:17" x14ac:dyDescent="0.25">
      <c r="I119" t="s">
        <v>53</v>
      </c>
      <c r="J119" s="72">
        <f t="shared" si="14"/>
        <v>9.2415067298189992</v>
      </c>
      <c r="K119" s="72">
        <f t="shared" si="14"/>
        <v>9.6605963379900004</v>
      </c>
      <c r="L119" s="72">
        <f t="shared" si="15"/>
        <v>9.3615136314569991</v>
      </c>
      <c r="M119" s="72">
        <f t="shared" si="16"/>
        <v>10.777456499940001</v>
      </c>
      <c r="N119" s="72">
        <f t="shared" si="17"/>
        <v>12.03505800822</v>
      </c>
      <c r="O119" s="72">
        <f t="shared" si="18"/>
        <v>13.376972577735</v>
      </c>
      <c r="P119" s="72">
        <f t="shared" si="19"/>
        <v>14.299692331392</v>
      </c>
      <c r="Q119" s="72">
        <f t="shared" si="20"/>
        <v>15.089726235401999</v>
      </c>
    </row>
    <row r="120" spans="9:17" x14ac:dyDescent="0.25">
      <c r="I120" t="s">
        <v>44</v>
      </c>
      <c r="J120" s="72">
        <f t="shared" si="14"/>
        <v>15.484369752577541</v>
      </c>
      <c r="K120" s="72">
        <f t="shared" si="14"/>
        <v>15.076841521470868</v>
      </c>
      <c r="L120" s="72">
        <f t="shared" si="15"/>
        <v>16.842423718223472</v>
      </c>
      <c r="M120" s="72">
        <f t="shared" si="16"/>
        <v>19.600166238545455</v>
      </c>
      <c r="N120" s="72">
        <f t="shared" si="17"/>
        <v>19.747825616593868</v>
      </c>
      <c r="O120" s="72">
        <f t="shared" si="18"/>
        <v>20.304548193105546</v>
      </c>
      <c r="P120" s="72">
        <f t="shared" si="19"/>
        <v>21.409220503499576</v>
      </c>
      <c r="Q120" s="72">
        <f t="shared" si="20"/>
        <v>24.151142776321418</v>
      </c>
    </row>
    <row r="121" spans="9:17" x14ac:dyDescent="0.25">
      <c r="I121" t="s">
        <v>45</v>
      </c>
      <c r="J121" s="72">
        <f t="shared" si="14"/>
        <v>27.015813128159731</v>
      </c>
      <c r="K121" s="72">
        <f>+K102*$R$3/1000000</f>
        <v>26.129831538723028</v>
      </c>
      <c r="L121" s="72">
        <f t="shared" si="15"/>
        <v>26.661261993541277</v>
      </c>
      <c r="M121" s="72">
        <f t="shared" si="16"/>
        <v>28.340491100056148</v>
      </c>
      <c r="N121" s="72">
        <f t="shared" si="17"/>
        <v>29.829829037705093</v>
      </c>
      <c r="O121" s="72">
        <f t="shared" si="18"/>
        <v>30.854500790068418</v>
      </c>
      <c r="P121" s="72">
        <f t="shared" si="19"/>
        <v>32.424773577803386</v>
      </c>
      <c r="Q121" s="72">
        <f t="shared" si="20"/>
        <v>33.446279027916688</v>
      </c>
    </row>
    <row r="122" spans="9:17" x14ac:dyDescent="0.25">
      <c r="I122" t="s">
        <v>54</v>
      </c>
      <c r="J122" s="72">
        <f t="shared" si="14"/>
        <v>4.769127007632</v>
      </c>
      <c r="K122" s="72">
        <f t="shared" si="14"/>
        <v>4.5122894526059998</v>
      </c>
      <c r="L122" s="72">
        <f t="shared" si="15"/>
        <v>4.9274484636779992</v>
      </c>
      <c r="M122" s="72">
        <f t="shared" si="16"/>
        <v>5.3827086642029993</v>
      </c>
      <c r="N122" s="72">
        <f t="shared" si="17"/>
        <v>5.4401245746119997</v>
      </c>
      <c r="O122" s="72">
        <f t="shared" si="18"/>
        <v>5.4800854871490001</v>
      </c>
      <c r="P122" s="72">
        <f t="shared" si="19"/>
        <v>5.5431115263809998</v>
      </c>
      <c r="Q122" s="72">
        <f t="shared" si="20"/>
        <v>5.7037579775280003</v>
      </c>
    </row>
    <row r="123" spans="9:17" x14ac:dyDescent="0.25">
      <c r="I123" t="s">
        <v>55</v>
      </c>
      <c r="J123" s="72">
        <f t="shared" si="14"/>
        <v>9.4202649837693002</v>
      </c>
      <c r="K123" s="72">
        <f t="shared" si="14"/>
        <v>8.8971488688237894</v>
      </c>
      <c r="L123" s="72">
        <f t="shared" si="15"/>
        <v>10.809495075642701</v>
      </c>
      <c r="M123" s="72">
        <f t="shared" si="16"/>
        <v>11.944874310089356</v>
      </c>
      <c r="N123" s="72">
        <f t="shared" si="17"/>
        <v>13.287214218828185</v>
      </c>
      <c r="O123" s="72">
        <f t="shared" si="18"/>
        <v>14.355702223711937</v>
      </c>
      <c r="P123" s="72">
        <f t="shared" si="19"/>
        <v>15.630732976072419</v>
      </c>
      <c r="Q123" s="72">
        <f t="shared" si="20"/>
        <v>16.864994934098721</v>
      </c>
    </row>
    <row r="124" spans="9:17" x14ac:dyDescent="0.25">
      <c r="I124" t="s">
        <v>70</v>
      </c>
      <c r="J124" s="72">
        <f t="shared" si="14"/>
        <v>8.6667911578505592</v>
      </c>
      <c r="K124" s="72">
        <f t="shared" si="14"/>
        <v>8.1855161483523844</v>
      </c>
      <c r="L124" s="72">
        <f t="shared" si="15"/>
        <v>9.9449045758078007</v>
      </c>
      <c r="M124" s="72">
        <f t="shared" si="16"/>
        <v>10.989471233631489</v>
      </c>
      <c r="N124" s="72">
        <f t="shared" si="17"/>
        <v>12.224444949544161</v>
      </c>
      <c r="O124" s="72">
        <f t="shared" si="18"/>
        <v>13.207470629708267</v>
      </c>
      <c r="P124" s="72">
        <f t="shared" si="19"/>
        <v>14.380518868753001</v>
      </c>
      <c r="Q124" s="72">
        <f t="shared" si="20"/>
        <v>15.516059179213938</v>
      </c>
    </row>
    <row r="125" spans="9:17" x14ac:dyDescent="0.25">
      <c r="I125" t="s">
        <v>232</v>
      </c>
      <c r="J125" s="72">
        <f t="shared" si="14"/>
        <v>7.1598435060130816</v>
      </c>
      <c r="K125" s="72">
        <f t="shared" si="14"/>
        <v>6.7622507074095797</v>
      </c>
      <c r="L125" s="72">
        <f t="shared" si="15"/>
        <v>8.215723576138009</v>
      </c>
      <c r="M125" s="72">
        <f t="shared" si="16"/>
        <v>9.0786650807157603</v>
      </c>
      <c r="N125" s="72">
        <f t="shared" si="17"/>
        <v>10.098906410976124</v>
      </c>
      <c r="O125" s="72">
        <f t="shared" si="18"/>
        <v>10.911007441700926</v>
      </c>
      <c r="P125" s="72">
        <f t="shared" si="19"/>
        <v>11.88009065411417</v>
      </c>
      <c r="Q125" s="72">
        <f t="shared" si="20"/>
        <v>12.818187669444375</v>
      </c>
    </row>
    <row r="126" spans="9:17" x14ac:dyDescent="0.25">
      <c r="I126" t="s">
        <v>218</v>
      </c>
      <c r="J126" s="72">
        <f>+J107*$R$3/1000000</f>
        <v>9.4202649837693002</v>
      </c>
      <c r="K126" s="72">
        <f t="shared" ref="K126" si="21">+K107*$R$3/1000000</f>
        <v>8.8971488688237894</v>
      </c>
      <c r="L126" s="72">
        <f t="shared" si="15"/>
        <v>10.809495075642701</v>
      </c>
      <c r="M126" s="72">
        <f t="shared" si="16"/>
        <v>11.944874310089356</v>
      </c>
      <c r="N126" s="72">
        <f>+Z107*$R$3/1000000</f>
        <v>13.287214218828185</v>
      </c>
      <c r="O126" s="72">
        <f t="shared" si="18"/>
        <v>14.355702223711937</v>
      </c>
      <c r="P126" s="72">
        <f t="shared" si="19"/>
        <v>15.630732976072419</v>
      </c>
      <c r="Q126" s="72">
        <f t="shared" si="20"/>
        <v>16.864994934098721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A78E-F7FE-438A-B26E-4E2AFA28C187}">
  <dimension ref="B4:T73"/>
  <sheetViews>
    <sheetView showGridLines="0" zoomScale="85" zoomScaleNormal="85" workbookViewId="0">
      <selection activeCell="C5" sqref="C5"/>
    </sheetView>
  </sheetViews>
  <sheetFormatPr baseColWidth="10" defaultRowHeight="15" x14ac:dyDescent="0.25"/>
  <cols>
    <col min="3" max="3" width="16.140625" customWidth="1"/>
    <col min="8" max="8" width="21.7109375" customWidth="1"/>
    <col min="9" max="9" width="20.28515625" bestFit="1" customWidth="1"/>
    <col min="11" max="11" width="14.7109375" customWidth="1"/>
    <col min="16" max="16" width="15.140625" customWidth="1"/>
    <col min="17" max="17" width="55.5703125" customWidth="1"/>
  </cols>
  <sheetData>
    <row r="4" spans="2:19" x14ac:dyDescent="0.25">
      <c r="B4" s="35"/>
      <c r="C4" s="44"/>
      <c r="D4" s="44"/>
      <c r="E4" s="35"/>
      <c r="H4" s="36" t="s">
        <v>0</v>
      </c>
      <c r="I4" s="27"/>
      <c r="J4" s="27"/>
      <c r="K4" s="37"/>
      <c r="L4" s="37"/>
      <c r="M4" s="38"/>
      <c r="O4" s="28" t="s">
        <v>31</v>
      </c>
      <c r="P4" s="38"/>
      <c r="Q4" s="38"/>
      <c r="R4" s="38"/>
      <c r="S4" s="38"/>
    </row>
    <row r="5" spans="2:19" x14ac:dyDescent="0.25">
      <c r="B5" s="45" t="s">
        <v>1</v>
      </c>
      <c r="C5" s="45" t="s">
        <v>2</v>
      </c>
      <c r="D5" s="45" t="s">
        <v>3</v>
      </c>
      <c r="E5" s="45">
        <v>2019</v>
      </c>
      <c r="H5" s="29" t="s">
        <v>11</v>
      </c>
      <c r="I5" s="29" t="s">
        <v>12</v>
      </c>
      <c r="J5" s="29" t="s">
        <v>13</v>
      </c>
      <c r="K5" s="30" t="s">
        <v>32</v>
      </c>
      <c r="L5" s="31"/>
      <c r="M5" s="38"/>
      <c r="O5" s="32" t="s">
        <v>33</v>
      </c>
      <c r="P5" s="32" t="s">
        <v>11</v>
      </c>
      <c r="Q5" s="32" t="s">
        <v>34</v>
      </c>
      <c r="R5" s="32" t="s">
        <v>35</v>
      </c>
      <c r="S5" s="32" t="s">
        <v>36</v>
      </c>
    </row>
    <row r="6" spans="2:19" ht="20.25" customHeight="1" x14ac:dyDescent="0.25">
      <c r="B6" s="48" t="s">
        <v>4</v>
      </c>
      <c r="C6" s="48" t="s">
        <v>5</v>
      </c>
      <c r="D6" s="48" t="s">
        <v>6</v>
      </c>
      <c r="E6" s="48" t="s">
        <v>7</v>
      </c>
      <c r="H6" s="27" t="str">
        <f>+"FTE-"&amp;J6</f>
        <v>FTE-DKER</v>
      </c>
      <c r="I6" s="33" t="s">
        <v>51</v>
      </c>
      <c r="J6" s="67" t="str">
        <f>+C10</f>
        <v>DKER</v>
      </c>
      <c r="K6" s="34">
        <v>1</v>
      </c>
      <c r="L6" s="39"/>
      <c r="M6" s="38"/>
      <c r="O6" s="35" t="s">
        <v>47</v>
      </c>
      <c r="P6" s="38" t="str">
        <f>+H6</f>
        <v>FTE-DKER</v>
      </c>
      <c r="Q6" s="38" t="s">
        <v>141</v>
      </c>
      <c r="R6" s="38" t="s">
        <v>9</v>
      </c>
      <c r="S6" s="38" t="s">
        <v>43</v>
      </c>
    </row>
    <row r="7" spans="2:19" x14ac:dyDescent="0.25">
      <c r="B7" s="49" t="s">
        <v>8</v>
      </c>
      <c r="C7" s="49"/>
      <c r="D7" s="49"/>
      <c r="E7" s="49" t="s">
        <v>9</v>
      </c>
      <c r="H7" s="27" t="str">
        <f>+"FTE-"&amp;J7</f>
        <v>FTE-DLPG</v>
      </c>
      <c r="I7" s="33" t="s">
        <v>52</v>
      </c>
      <c r="J7" s="67" t="str">
        <f>+C11</f>
        <v>DLPG</v>
      </c>
      <c r="K7" s="34">
        <v>1</v>
      </c>
      <c r="L7" s="40"/>
      <c r="M7" s="38"/>
      <c r="O7" s="38"/>
      <c r="P7" s="38" t="str">
        <f>+H7</f>
        <v>FTE-DLPG</v>
      </c>
      <c r="Q7" s="38" t="s">
        <v>142</v>
      </c>
      <c r="R7" s="38" t="s">
        <v>9</v>
      </c>
      <c r="S7" s="38" t="s">
        <v>43</v>
      </c>
    </row>
    <row r="8" spans="2:19" x14ac:dyDescent="0.25">
      <c r="B8" s="46" t="s">
        <v>10</v>
      </c>
      <c r="C8" s="46" t="str" cm="1">
        <f t="array" ref="C8:C14">+Com!Z20:Z26</f>
        <v>DGSL</v>
      </c>
      <c r="D8" s="46" t="s">
        <v>9</v>
      </c>
      <c r="E8" s="50">
        <v>249.2398</v>
      </c>
      <c r="H8" s="27" t="str">
        <f>+"FTE-"&amp;J8</f>
        <v>FTE-DHFO</v>
      </c>
      <c r="I8" s="33" t="s">
        <v>53</v>
      </c>
      <c r="J8" s="67" t="str">
        <f>+C12</f>
        <v>DHFO</v>
      </c>
      <c r="K8" s="34">
        <v>1</v>
      </c>
      <c r="L8" s="34"/>
      <c r="M8" s="38"/>
      <c r="O8" s="38"/>
      <c r="P8" s="38" t="str">
        <f>+H8</f>
        <v>FTE-DHFO</v>
      </c>
      <c r="Q8" s="38" t="s">
        <v>143</v>
      </c>
      <c r="R8" s="38" t="s">
        <v>9</v>
      </c>
      <c r="S8" s="38" t="s">
        <v>43</v>
      </c>
    </row>
    <row r="9" spans="2:19" x14ac:dyDescent="0.25">
      <c r="B9" s="46" t="s">
        <v>10</v>
      </c>
      <c r="C9" s="46" t="str">
        <v>DDSL</v>
      </c>
      <c r="D9" s="46" t="s">
        <v>9</v>
      </c>
      <c r="E9" s="50">
        <v>269.4325</v>
      </c>
      <c r="H9" s="27" t="str">
        <f>+"FTE-"&amp;J9</f>
        <v>FTE-DGAS</v>
      </c>
      <c r="I9" s="33" t="s">
        <v>54</v>
      </c>
      <c r="J9" s="67" t="str">
        <f>+C13</f>
        <v>DGAS</v>
      </c>
      <c r="K9" s="34">
        <v>1</v>
      </c>
      <c r="L9" s="34"/>
      <c r="M9" s="38"/>
      <c r="O9" s="38"/>
      <c r="P9" s="38" t="str">
        <f>+H9</f>
        <v>FTE-DGAS</v>
      </c>
      <c r="Q9" s="38" t="s">
        <v>144</v>
      </c>
      <c r="R9" s="38" t="s">
        <v>9</v>
      </c>
      <c r="S9" s="38" t="s">
        <v>43</v>
      </c>
    </row>
    <row r="10" spans="2:19" x14ac:dyDescent="0.25">
      <c r="B10" s="46" t="s">
        <v>10</v>
      </c>
      <c r="C10" s="46" t="str">
        <v>DKER</v>
      </c>
      <c r="D10" s="46" t="s">
        <v>9</v>
      </c>
      <c r="E10" s="50">
        <v>59.134499999999996</v>
      </c>
      <c r="H10" s="27" t="str">
        <f>+"FTE-"&amp;J10</f>
        <v>FTE-DLOIL</v>
      </c>
      <c r="I10" s="33" t="s">
        <v>55</v>
      </c>
      <c r="J10" s="67" t="str">
        <f>+C14</f>
        <v>DLOIL</v>
      </c>
      <c r="K10" s="34">
        <v>1</v>
      </c>
      <c r="L10" s="34"/>
      <c r="M10" s="38"/>
      <c r="O10" s="38"/>
      <c r="P10" s="38" t="str">
        <f>+H10</f>
        <v>FTE-DLOIL</v>
      </c>
      <c r="Q10" s="38" t="s">
        <v>145</v>
      </c>
      <c r="R10" s="38" t="s">
        <v>9</v>
      </c>
      <c r="S10" s="38" t="s">
        <v>43</v>
      </c>
    </row>
    <row r="11" spans="2:19" x14ac:dyDescent="0.25">
      <c r="B11" s="46" t="s">
        <v>10</v>
      </c>
      <c r="C11" s="46" t="str">
        <v>DLPG</v>
      </c>
      <c r="D11" s="46" t="s">
        <v>9</v>
      </c>
      <c r="E11" s="50">
        <v>25.486199999999997</v>
      </c>
      <c r="H11" s="38"/>
      <c r="I11" s="38"/>
      <c r="J11" s="38"/>
      <c r="K11" s="38"/>
      <c r="L11" s="34"/>
      <c r="M11" s="38"/>
      <c r="O11" s="38"/>
      <c r="P11" s="38"/>
      <c r="Q11" s="38"/>
      <c r="R11" s="38"/>
      <c r="S11" s="38"/>
    </row>
    <row r="12" spans="2:19" x14ac:dyDescent="0.25">
      <c r="B12" s="46" t="s">
        <v>10</v>
      </c>
      <c r="C12" s="46" t="str">
        <v>DHFO</v>
      </c>
      <c r="D12" s="46" t="s">
        <v>9</v>
      </c>
      <c r="E12" s="50">
        <v>1.1855</v>
      </c>
      <c r="H12" s="38"/>
      <c r="I12" s="38"/>
      <c r="J12" s="38"/>
      <c r="K12" s="38"/>
      <c r="L12" s="34"/>
      <c r="M12" s="38"/>
      <c r="O12" s="38"/>
      <c r="P12" s="38"/>
      <c r="Q12" s="38"/>
      <c r="R12" s="38"/>
      <c r="S12" s="38"/>
    </row>
    <row r="13" spans="2:19" x14ac:dyDescent="0.25">
      <c r="B13" s="46" t="s">
        <v>10</v>
      </c>
      <c r="C13" s="46" t="str">
        <v>DGAS</v>
      </c>
      <c r="D13" s="46" t="s">
        <v>9</v>
      </c>
      <c r="E13" s="50">
        <v>238.81580000000002</v>
      </c>
      <c r="H13" s="38"/>
      <c r="I13" s="38"/>
      <c r="J13" s="38"/>
      <c r="K13" s="38"/>
      <c r="L13" s="38"/>
      <c r="M13" s="38"/>
      <c r="O13" s="38"/>
      <c r="P13" s="38"/>
      <c r="Q13" s="38"/>
      <c r="R13" s="38"/>
      <c r="S13" s="38"/>
    </row>
    <row r="14" spans="2:19" x14ac:dyDescent="0.25">
      <c r="B14" s="46" t="s">
        <v>10</v>
      </c>
      <c r="C14" s="46" t="str">
        <v>DLOIL</v>
      </c>
      <c r="D14" s="46" t="s">
        <v>9</v>
      </c>
      <c r="E14" s="50">
        <v>7.3300000000000004E-2</v>
      </c>
      <c r="H14" s="36" t="s">
        <v>0</v>
      </c>
      <c r="I14" s="38"/>
      <c r="J14" s="38"/>
      <c r="K14" s="38"/>
      <c r="L14" s="38"/>
      <c r="M14" s="38"/>
      <c r="O14" s="28" t="s">
        <v>31</v>
      </c>
      <c r="P14" s="38"/>
      <c r="Q14" s="38"/>
      <c r="R14" s="38"/>
      <c r="S14" s="38"/>
    </row>
    <row r="15" spans="2:19" x14ac:dyDescent="0.25">
      <c r="B15" s="46"/>
      <c r="C15" s="46"/>
      <c r="D15" s="46"/>
      <c r="E15" s="47"/>
      <c r="H15" s="29" t="s">
        <v>11</v>
      </c>
      <c r="I15" s="29" t="s">
        <v>12</v>
      </c>
      <c r="J15" s="29" t="s">
        <v>13</v>
      </c>
      <c r="K15" s="29" t="s">
        <v>159</v>
      </c>
      <c r="L15" s="30" t="s">
        <v>32</v>
      </c>
      <c r="M15" s="38"/>
      <c r="O15" s="32" t="s">
        <v>33</v>
      </c>
      <c r="P15" s="32" t="s">
        <v>11</v>
      </c>
      <c r="Q15" s="32" t="s">
        <v>34</v>
      </c>
      <c r="R15" s="32" t="s">
        <v>35</v>
      </c>
      <c r="S15" s="32" t="s">
        <v>36</v>
      </c>
    </row>
    <row r="16" spans="2:19" s="18" customFormat="1" x14ac:dyDescent="0.25">
      <c r="B16" s="58"/>
      <c r="C16" s="58"/>
      <c r="D16" s="58"/>
      <c r="E16" s="59"/>
      <c r="H16" s="60" t="str">
        <f>+P16</f>
        <v>BLE-GSL</v>
      </c>
      <c r="I16" s="61" t="s">
        <v>46</v>
      </c>
      <c r="J16" s="61" t="s">
        <v>57</v>
      </c>
      <c r="K16" s="62">
        <v>0.9</v>
      </c>
      <c r="L16" s="62">
        <v>1</v>
      </c>
      <c r="M16" s="61"/>
      <c r="O16" s="43" t="s">
        <v>47</v>
      </c>
      <c r="P16" s="43" t="s">
        <v>48</v>
      </c>
      <c r="Q16" s="43" t="s">
        <v>146</v>
      </c>
      <c r="R16" s="43" t="s">
        <v>9</v>
      </c>
      <c r="S16" s="43" t="s">
        <v>43</v>
      </c>
    </row>
    <row r="17" spans="2:19" s="18" customFormat="1" x14ac:dyDescent="0.25">
      <c r="E17" s="15"/>
      <c r="H17" s="61"/>
      <c r="I17" s="61" t="s">
        <v>44</v>
      </c>
      <c r="J17" s="61"/>
      <c r="K17" s="62">
        <v>0.1</v>
      </c>
      <c r="L17" s="61"/>
      <c r="M17" s="61"/>
      <c r="O17" s="43"/>
      <c r="P17" s="43" t="s">
        <v>49</v>
      </c>
      <c r="Q17" s="43" t="s">
        <v>147</v>
      </c>
      <c r="R17" s="43" t="s">
        <v>9</v>
      </c>
      <c r="S17" s="43" t="s">
        <v>43</v>
      </c>
    </row>
    <row r="18" spans="2:19" x14ac:dyDescent="0.25">
      <c r="H18" s="41" t="str">
        <f>+P17</f>
        <v>BLE-DSL</v>
      </c>
      <c r="I18" s="38" t="s">
        <v>50</v>
      </c>
      <c r="J18" s="38" t="s">
        <v>58</v>
      </c>
      <c r="K18" s="42">
        <v>0.9</v>
      </c>
      <c r="L18" s="42">
        <v>1</v>
      </c>
      <c r="M18" s="38"/>
      <c r="O18" s="38"/>
      <c r="P18" s="38"/>
      <c r="Q18" s="38"/>
      <c r="R18" s="38"/>
      <c r="S18" s="38"/>
    </row>
    <row r="19" spans="2:19" x14ac:dyDescent="0.25">
      <c r="B19" t="s">
        <v>10</v>
      </c>
      <c r="C19" t="s">
        <v>152</v>
      </c>
      <c r="D19" t="s">
        <v>9</v>
      </c>
      <c r="E19">
        <v>249.2398</v>
      </c>
      <c r="H19" s="38"/>
      <c r="I19" s="38" t="str">
        <f>+Com!F9</f>
        <v>BDSL</v>
      </c>
      <c r="J19" s="38"/>
      <c r="K19" s="42">
        <v>0.1</v>
      </c>
      <c r="L19" s="38"/>
      <c r="M19" s="38"/>
      <c r="O19" s="38"/>
      <c r="P19" s="38"/>
      <c r="Q19" s="38"/>
      <c r="R19" s="38"/>
      <c r="S19" s="38"/>
    </row>
    <row r="20" spans="2:19" x14ac:dyDescent="0.25">
      <c r="B20" t="s">
        <v>10</v>
      </c>
      <c r="C20" t="s">
        <v>153</v>
      </c>
      <c r="D20" t="s">
        <v>9</v>
      </c>
      <c r="E20">
        <v>269.4325</v>
      </c>
      <c r="H20" s="38"/>
      <c r="I20" s="38"/>
      <c r="J20" s="38"/>
      <c r="K20" s="38"/>
      <c r="L20" s="38"/>
      <c r="M20" s="38"/>
      <c r="O20" s="38"/>
      <c r="P20" s="38"/>
      <c r="Q20" s="38"/>
      <c r="R20" s="38"/>
      <c r="S20" s="38"/>
    </row>
    <row r="21" spans="2:19" x14ac:dyDescent="0.25">
      <c r="B21" t="s">
        <v>10</v>
      </c>
      <c r="C21" t="s">
        <v>154</v>
      </c>
      <c r="D21" t="s">
        <v>9</v>
      </c>
      <c r="E21">
        <v>59.134499999999996</v>
      </c>
      <c r="H21" s="38"/>
      <c r="I21" s="38"/>
      <c r="J21" s="38"/>
      <c r="K21" s="38"/>
      <c r="L21" s="38"/>
      <c r="M21" s="38"/>
      <c r="O21" s="38"/>
      <c r="P21" s="38"/>
      <c r="Q21" s="38"/>
      <c r="R21" s="38"/>
      <c r="S21" s="38"/>
    </row>
    <row r="22" spans="2:19" x14ac:dyDescent="0.25">
      <c r="B22" t="s">
        <v>10</v>
      </c>
      <c r="C22" t="s">
        <v>155</v>
      </c>
      <c r="D22" t="s">
        <v>9</v>
      </c>
      <c r="E22">
        <v>25.486199999999997</v>
      </c>
      <c r="H22" s="36" t="s">
        <v>0</v>
      </c>
      <c r="I22" s="27"/>
      <c r="J22" s="27"/>
      <c r="K22" s="37"/>
      <c r="L22" s="38"/>
      <c r="M22" s="38"/>
      <c r="O22" s="28" t="s">
        <v>31</v>
      </c>
      <c r="P22" s="38"/>
      <c r="Q22" s="38"/>
      <c r="R22" s="38"/>
      <c r="S22" s="38"/>
    </row>
    <row r="23" spans="2:19" x14ac:dyDescent="0.25">
      <c r="B23" t="s">
        <v>10</v>
      </c>
      <c r="C23" t="s">
        <v>156</v>
      </c>
      <c r="D23" t="s">
        <v>9</v>
      </c>
      <c r="E23">
        <v>1.1855</v>
      </c>
      <c r="H23" s="29" t="s">
        <v>11</v>
      </c>
      <c r="I23" s="29" t="s">
        <v>12</v>
      </c>
      <c r="J23" s="29" t="s">
        <v>13</v>
      </c>
      <c r="K23" s="30" t="s">
        <v>32</v>
      </c>
      <c r="L23" s="38"/>
      <c r="M23" s="38"/>
      <c r="O23" s="32" t="s">
        <v>33</v>
      </c>
      <c r="P23" s="32" t="s">
        <v>11</v>
      </c>
      <c r="Q23" s="32" t="s">
        <v>34</v>
      </c>
      <c r="R23" s="32" t="s">
        <v>35</v>
      </c>
      <c r="S23" s="32" t="s">
        <v>36</v>
      </c>
    </row>
    <row r="24" spans="2:19" x14ac:dyDescent="0.25">
      <c r="B24" t="s">
        <v>10</v>
      </c>
      <c r="C24" t="s">
        <v>157</v>
      </c>
      <c r="D24" t="s">
        <v>9</v>
      </c>
      <c r="E24">
        <v>238.81580000000002</v>
      </c>
      <c r="H24" s="38" t="s">
        <v>148</v>
      </c>
      <c r="I24" s="38" t="str">
        <f>+J16</f>
        <v>GSL-E10</v>
      </c>
      <c r="J24" s="38" t="str">
        <f>+C8</f>
        <v>DGSL</v>
      </c>
      <c r="K24" s="38">
        <v>1</v>
      </c>
      <c r="L24" s="38"/>
      <c r="M24" s="38"/>
      <c r="O24" s="35" t="s">
        <v>47</v>
      </c>
      <c r="P24" s="38" t="str">
        <f>+H24</f>
        <v>FTE-DGSL</v>
      </c>
      <c r="Q24" s="38" t="s">
        <v>150</v>
      </c>
      <c r="R24" s="38" t="s">
        <v>9</v>
      </c>
      <c r="S24" s="38" t="s">
        <v>43</v>
      </c>
    </row>
    <row r="25" spans="2:19" x14ac:dyDescent="0.25">
      <c r="B25" t="s">
        <v>10</v>
      </c>
      <c r="C25" t="s">
        <v>158</v>
      </c>
      <c r="D25" t="s">
        <v>9</v>
      </c>
      <c r="E25">
        <v>7.3300000000000004E-2</v>
      </c>
      <c r="H25" s="38" t="s">
        <v>149</v>
      </c>
      <c r="I25" s="38" t="str">
        <f>+J18</f>
        <v>DSL-B10</v>
      </c>
      <c r="J25" s="38" t="str">
        <f>+C9</f>
        <v>DDSL</v>
      </c>
      <c r="K25" s="38">
        <v>1</v>
      </c>
      <c r="L25" s="38"/>
      <c r="M25" s="38"/>
      <c r="O25" s="38"/>
      <c r="P25" s="38" t="str">
        <f>+H25</f>
        <v>FTE-DDSL</v>
      </c>
      <c r="Q25" s="38" t="s">
        <v>151</v>
      </c>
      <c r="R25" s="38" t="s">
        <v>9</v>
      </c>
      <c r="S25" s="38" t="s">
        <v>43</v>
      </c>
    </row>
    <row r="26" spans="2:19" x14ac:dyDescent="0.25">
      <c r="H26" s="38"/>
      <c r="I26" s="38"/>
      <c r="J26" s="38"/>
      <c r="K26" s="38"/>
      <c r="L26" s="38"/>
      <c r="M26" s="38"/>
      <c r="O26" s="38"/>
      <c r="P26" s="38"/>
      <c r="Q26" s="38"/>
      <c r="R26" s="38"/>
      <c r="S26" s="38"/>
    </row>
    <row r="28" spans="2:19" x14ac:dyDescent="0.25">
      <c r="H28" s="28" t="s">
        <v>31</v>
      </c>
      <c r="I28" s="38"/>
      <c r="J28" s="38"/>
      <c r="K28" s="38"/>
      <c r="L28" s="38"/>
    </row>
    <row r="29" spans="2:19" x14ac:dyDescent="0.25">
      <c r="H29" s="32" t="s">
        <v>33</v>
      </c>
      <c r="I29" s="32" t="s">
        <v>11</v>
      </c>
      <c r="J29" s="32" t="s">
        <v>34</v>
      </c>
      <c r="K29" s="32" t="s">
        <v>35</v>
      </c>
      <c r="L29" s="32" t="s">
        <v>36</v>
      </c>
    </row>
    <row r="30" spans="2:19" x14ac:dyDescent="0.25">
      <c r="H30" t="s">
        <v>42</v>
      </c>
      <c r="I30" t="str">
        <f>+H40</f>
        <v>FTD-AGR</v>
      </c>
      <c r="J30" t="s">
        <v>185</v>
      </c>
      <c r="K30" t="s">
        <v>9</v>
      </c>
      <c r="L30" t="s">
        <v>190</v>
      </c>
    </row>
    <row r="31" spans="2:19" x14ac:dyDescent="0.25">
      <c r="I31" t="str">
        <f>+H43</f>
        <v>FTD-TER</v>
      </c>
      <c r="J31" t="s">
        <v>186</v>
      </c>
      <c r="K31" t="s">
        <v>9</v>
      </c>
      <c r="L31" t="s">
        <v>190</v>
      </c>
    </row>
    <row r="32" spans="2:19" x14ac:dyDescent="0.25">
      <c r="I32" t="str">
        <f>+H45</f>
        <v>FTD-RSD</v>
      </c>
      <c r="J32" t="s">
        <v>187</v>
      </c>
      <c r="K32" t="s">
        <v>9</v>
      </c>
      <c r="L32" t="s">
        <v>190</v>
      </c>
    </row>
    <row r="33" spans="8:20" x14ac:dyDescent="0.25">
      <c r="I33" t="str">
        <f>+H47</f>
        <v>FTD-IND</v>
      </c>
      <c r="J33" t="s">
        <v>188</v>
      </c>
      <c r="K33" t="s">
        <v>9</v>
      </c>
      <c r="L33" t="s">
        <v>190</v>
      </c>
    </row>
    <row r="34" spans="8:20" x14ac:dyDescent="0.25">
      <c r="I34" t="str">
        <f>+H55</f>
        <v>FTD-TRA</v>
      </c>
      <c r="J34" t="s">
        <v>189</v>
      </c>
      <c r="K34" t="s">
        <v>9</v>
      </c>
      <c r="L34" t="s">
        <v>190</v>
      </c>
    </row>
    <row r="38" spans="8:20" x14ac:dyDescent="0.25">
      <c r="H38" s="36" t="s">
        <v>0</v>
      </c>
    </row>
    <row r="39" spans="8:20" x14ac:dyDescent="0.25">
      <c r="H39" s="29" t="s">
        <v>11</v>
      </c>
      <c r="I39" s="29" t="s">
        <v>12</v>
      </c>
      <c r="J39" s="29" t="s">
        <v>13</v>
      </c>
      <c r="K39" s="52" t="s">
        <v>15</v>
      </c>
      <c r="L39" s="30" t="s">
        <v>32</v>
      </c>
      <c r="M39" s="29" t="s">
        <v>175</v>
      </c>
      <c r="N39" s="29" t="s">
        <v>191</v>
      </c>
      <c r="O39" s="29" t="s">
        <v>192</v>
      </c>
      <c r="P39" s="29" t="s">
        <v>193</v>
      </c>
      <c r="Q39" s="29" t="s">
        <v>194</v>
      </c>
      <c r="R39" s="29" t="s">
        <v>195</v>
      </c>
      <c r="S39" s="29" t="s">
        <v>196</v>
      </c>
      <c r="T39" s="29" t="s">
        <v>197</v>
      </c>
    </row>
    <row r="40" spans="8:20" x14ac:dyDescent="0.25">
      <c r="H40" t="s">
        <v>174</v>
      </c>
      <c r="I40" t="s">
        <v>153</v>
      </c>
      <c r="J40" t="s">
        <v>173</v>
      </c>
      <c r="K40" t="s">
        <v>181</v>
      </c>
      <c r="L40" s="22">
        <v>1</v>
      </c>
      <c r="M40" s="63">
        <v>0.70492284759636947</v>
      </c>
      <c r="N40" s="63">
        <v>0.71393822850931155</v>
      </c>
      <c r="O40" s="63">
        <v>0.71446486124964681</v>
      </c>
      <c r="P40" s="63">
        <v>0.71752787053189593</v>
      </c>
      <c r="Q40" s="63">
        <v>0.71924314150809932</v>
      </c>
      <c r="R40" s="63">
        <v>0.71947452206965223</v>
      </c>
      <c r="S40" s="63">
        <v>0.71849531385010945</v>
      </c>
      <c r="T40" s="63">
        <v>0.71650902714452402</v>
      </c>
    </row>
    <row r="41" spans="8:20" x14ac:dyDescent="0.25">
      <c r="I41" t="s">
        <v>152</v>
      </c>
      <c r="K41" t="s">
        <v>181</v>
      </c>
      <c r="L41" s="22">
        <v>1</v>
      </c>
      <c r="M41" s="63">
        <v>6.6920156894449958E-3</v>
      </c>
      <c r="N41" s="63">
        <v>7.1142331301549495E-3</v>
      </c>
      <c r="O41" s="63">
        <v>6.884185400222554E-3</v>
      </c>
      <c r="P41" s="63">
        <v>6.7217875799148548E-3</v>
      </c>
      <c r="Q41" s="63">
        <v>6.6017020910173795E-3</v>
      </c>
      <c r="R41" s="63">
        <v>6.5185070900598899E-3</v>
      </c>
      <c r="S41" s="63">
        <v>6.4624611243749045E-3</v>
      </c>
      <c r="T41" s="63">
        <v>6.4287265996042856E-3</v>
      </c>
    </row>
    <row r="42" spans="8:20" x14ac:dyDescent="0.25">
      <c r="I42" t="s">
        <v>157</v>
      </c>
      <c r="K42" t="s">
        <v>181</v>
      </c>
      <c r="L42" s="22">
        <v>1</v>
      </c>
      <c r="M42" s="63">
        <v>0.28838513671418559</v>
      </c>
      <c r="N42" s="63">
        <v>0.27894753836053338</v>
      </c>
      <c r="O42" s="63">
        <v>0.27865095335013057</v>
      </c>
      <c r="P42" s="63">
        <v>0.27575034188818925</v>
      </c>
      <c r="Q42" s="63">
        <v>0.27415515640088323</v>
      </c>
      <c r="R42" s="63">
        <v>0.2740069708402878</v>
      </c>
      <c r="S42" s="63">
        <v>0.27504222502551567</v>
      </c>
      <c r="T42" s="63">
        <v>0.27706224625587167</v>
      </c>
    </row>
    <row r="43" spans="8:20" x14ac:dyDescent="0.25">
      <c r="H43" t="s">
        <v>176</v>
      </c>
      <c r="I43" t="s">
        <v>157</v>
      </c>
      <c r="J43" t="s">
        <v>182</v>
      </c>
      <c r="K43" t="s">
        <v>181</v>
      </c>
      <c r="L43" s="22">
        <v>1</v>
      </c>
      <c r="M43" s="63">
        <v>0.94914717262718429</v>
      </c>
      <c r="N43" s="63">
        <v>0.94909397992018851</v>
      </c>
      <c r="O43" s="63">
        <v>0.94381625559454663</v>
      </c>
      <c r="P43" s="63">
        <v>0.94089342504252638</v>
      </c>
      <c r="Q43" s="63">
        <v>0.93845062398555323</v>
      </c>
      <c r="R43" s="63">
        <v>0.93558574737128919</v>
      </c>
      <c r="S43" s="63">
        <v>0.93394802666463828</v>
      </c>
      <c r="T43" s="63">
        <v>0.933269906252853</v>
      </c>
    </row>
    <row r="44" spans="8:20" x14ac:dyDescent="0.25">
      <c r="I44" t="s">
        <v>155</v>
      </c>
      <c r="K44" t="s">
        <v>181</v>
      </c>
      <c r="L44" s="22">
        <v>1</v>
      </c>
      <c r="M44" s="63">
        <v>5.0852827372815664E-2</v>
      </c>
      <c r="N44" s="63">
        <v>5.0906020079811459E-2</v>
      </c>
      <c r="O44" s="63">
        <v>5.6183744405453408E-2</v>
      </c>
      <c r="P44" s="63">
        <v>5.9106574957473554E-2</v>
      </c>
      <c r="Q44" s="63">
        <v>6.1549376014446808E-2</v>
      </c>
      <c r="R44" s="63">
        <v>6.4414252628710852E-2</v>
      </c>
      <c r="S44" s="63">
        <v>6.6051973335361724E-2</v>
      </c>
      <c r="T44" s="63">
        <v>6.6730093747146987E-2</v>
      </c>
    </row>
    <row r="45" spans="8:20" x14ac:dyDescent="0.25">
      <c r="H45" t="s">
        <v>177</v>
      </c>
      <c r="I45" t="s">
        <v>157</v>
      </c>
      <c r="J45" t="s">
        <v>183</v>
      </c>
      <c r="K45" t="s">
        <v>181</v>
      </c>
      <c r="L45" s="22">
        <v>1</v>
      </c>
      <c r="M45" s="63">
        <v>0.73862618670258562</v>
      </c>
      <c r="N45" s="63">
        <v>0.74554154285971541</v>
      </c>
      <c r="O45" s="63">
        <v>0.75129509265895111</v>
      </c>
      <c r="P45" s="63">
        <v>0.75734173890202261</v>
      </c>
      <c r="Q45" s="63">
        <v>0.76288003210832334</v>
      </c>
      <c r="R45" s="63">
        <v>0.76798679968770389</v>
      </c>
      <c r="S45" s="63">
        <v>0.77271043225491287</v>
      </c>
      <c r="T45" s="63">
        <v>0.7770943916548716</v>
      </c>
    </row>
    <row r="46" spans="8:20" x14ac:dyDescent="0.25">
      <c r="I46" t="s">
        <v>155</v>
      </c>
      <c r="K46" t="s">
        <v>181</v>
      </c>
      <c r="L46" s="22">
        <v>1</v>
      </c>
      <c r="M46" s="63">
        <v>0.26137381329741433</v>
      </c>
      <c r="N46" s="63">
        <v>0.25445845714028453</v>
      </c>
      <c r="O46" s="63">
        <v>0.24870490734104891</v>
      </c>
      <c r="P46" s="63">
        <v>0.24265826109797739</v>
      </c>
      <c r="Q46" s="63">
        <v>0.23711996789167664</v>
      </c>
      <c r="R46" s="63">
        <v>0.23201320031229605</v>
      </c>
      <c r="S46" s="63">
        <v>0.22728956774508716</v>
      </c>
      <c r="T46" s="63">
        <v>0.22290560834512835</v>
      </c>
    </row>
    <row r="47" spans="8:20" x14ac:dyDescent="0.25">
      <c r="H47" t="s">
        <v>178</v>
      </c>
      <c r="I47" t="s">
        <v>153</v>
      </c>
      <c r="J47" t="s">
        <v>184</v>
      </c>
      <c r="K47" t="s">
        <v>181</v>
      </c>
      <c r="L47" s="22">
        <v>1</v>
      </c>
      <c r="M47" s="63">
        <v>2.3815208477444158E-2</v>
      </c>
      <c r="N47" s="63">
        <v>2.2130945027794936E-2</v>
      </c>
      <c r="O47" s="63">
        <v>2.2932665713608379E-2</v>
      </c>
      <c r="P47" s="63">
        <v>2.2896265372607132E-2</v>
      </c>
      <c r="Q47" s="63">
        <v>2.2391833159756083E-2</v>
      </c>
      <c r="R47" s="63">
        <v>2.177574009314618E-2</v>
      </c>
      <c r="S47" s="63">
        <v>2.1387985767026867E-2</v>
      </c>
      <c r="T47" s="63">
        <v>2.1105475060029102E-2</v>
      </c>
    </row>
    <row r="48" spans="8:20" x14ac:dyDescent="0.25">
      <c r="I48" t="s">
        <v>152</v>
      </c>
      <c r="K48" t="s">
        <v>181</v>
      </c>
      <c r="L48" s="22">
        <v>1</v>
      </c>
      <c r="M48" s="63">
        <v>2.0733084888629265E-3</v>
      </c>
      <c r="N48" s="63">
        <v>1.605929586164299E-3</v>
      </c>
      <c r="O48" s="63">
        <v>1.6549809268611576E-3</v>
      </c>
      <c r="P48" s="63">
        <v>1.6409824262324721E-3</v>
      </c>
      <c r="Q48" s="63">
        <v>1.58464374956299E-3</v>
      </c>
      <c r="R48" s="63">
        <v>1.5202058455406398E-3</v>
      </c>
      <c r="S48" s="63">
        <v>1.4820495625786701E-3</v>
      </c>
      <c r="T48" s="63">
        <v>1.4573539790034261E-3</v>
      </c>
    </row>
    <row r="49" spans="8:20" x14ac:dyDescent="0.25">
      <c r="I49" t="s">
        <v>157</v>
      </c>
      <c r="K49" t="s">
        <v>181</v>
      </c>
      <c r="L49" s="22">
        <v>1</v>
      </c>
      <c r="M49" s="63">
        <v>0.92987932910492899</v>
      </c>
      <c r="N49" s="63">
        <v>0.93058884084826032</v>
      </c>
      <c r="O49" s="63">
        <v>0.93376663960747408</v>
      </c>
      <c r="P49" s="63">
        <v>0.93688069662246576</v>
      </c>
      <c r="Q49" s="63">
        <v>0.94004040731158889</v>
      </c>
      <c r="R49" s="63">
        <v>0.94314873307226621</v>
      </c>
      <c r="S49" s="63">
        <v>0.94608397598622218</v>
      </c>
      <c r="T49" s="63">
        <v>0.94882285301864444</v>
      </c>
    </row>
    <row r="50" spans="8:20" x14ac:dyDescent="0.25">
      <c r="I50" t="s">
        <v>154</v>
      </c>
      <c r="K50" t="s">
        <v>181</v>
      </c>
      <c r="L50" s="22">
        <v>1</v>
      </c>
      <c r="M50" s="63">
        <v>3.7747992514573081E-5</v>
      </c>
      <c r="N50" s="63">
        <v>3.9118797611694459E-5</v>
      </c>
      <c r="O50" s="63">
        <v>3.9511210407971213E-5</v>
      </c>
      <c r="P50" s="63">
        <v>3.7937124462826458E-5</v>
      </c>
      <c r="Q50" s="63">
        <v>3.6800830226729914E-5</v>
      </c>
      <c r="R50" s="63">
        <v>3.4916388678495262E-5</v>
      </c>
      <c r="S50" s="63">
        <v>3.3710306866127345E-5</v>
      </c>
      <c r="T50" s="63">
        <v>3.2563587076633333E-5</v>
      </c>
    </row>
    <row r="51" spans="8:20" x14ac:dyDescent="0.25">
      <c r="I51" t="s">
        <v>155</v>
      </c>
      <c r="K51" t="s">
        <v>181</v>
      </c>
      <c r="L51" s="22">
        <v>1</v>
      </c>
      <c r="M51" s="63">
        <v>3.934284519831379E-2</v>
      </c>
      <c r="N51" s="63">
        <v>4.1462837142268893E-2</v>
      </c>
      <c r="O51" s="63">
        <v>3.7275235091701928E-2</v>
      </c>
      <c r="P51" s="63">
        <v>3.4209600191138528E-2</v>
      </c>
      <c r="Q51" s="63">
        <v>3.1685514825214457E-2</v>
      </c>
      <c r="R51" s="63">
        <v>2.9354610843418796E-2</v>
      </c>
      <c r="S51" s="63">
        <v>2.6908650486120688E-2</v>
      </c>
      <c r="T51" s="63">
        <v>2.4527320849557291E-2</v>
      </c>
    </row>
    <row r="52" spans="8:20" x14ac:dyDescent="0.25">
      <c r="I52" t="s">
        <v>156</v>
      </c>
      <c r="K52" t="s">
        <v>181</v>
      </c>
      <c r="L52" s="22">
        <v>1</v>
      </c>
      <c r="M52" s="63">
        <v>4.1598287751059542E-3</v>
      </c>
      <c r="N52" s="63">
        <v>3.4764257772287419E-3</v>
      </c>
      <c r="O52" s="63">
        <v>3.6098878600010062E-3</v>
      </c>
      <c r="P52" s="63">
        <v>3.6177487626040034E-3</v>
      </c>
      <c r="Q52" s="63">
        <v>3.5682084987837324E-3</v>
      </c>
      <c r="R52" s="63">
        <v>3.5017109030452461E-3</v>
      </c>
      <c r="S52" s="63">
        <v>3.4559084235435194E-3</v>
      </c>
      <c r="T52" s="63">
        <v>3.4159736672684702E-3</v>
      </c>
    </row>
    <row r="53" spans="8:20" x14ac:dyDescent="0.25">
      <c r="I53" t="s">
        <v>158</v>
      </c>
      <c r="K53" t="s">
        <v>181</v>
      </c>
      <c r="L53" s="22">
        <v>1</v>
      </c>
      <c r="M53" s="63">
        <v>6.9173196282955177E-4</v>
      </c>
      <c r="N53" s="63">
        <v>6.9590282067119613E-4</v>
      </c>
      <c r="O53" s="63">
        <v>7.2107958994547454E-4</v>
      </c>
      <c r="P53" s="63">
        <v>7.1676950048914668E-4</v>
      </c>
      <c r="Q53" s="63">
        <v>6.9259162486705697E-4</v>
      </c>
      <c r="R53" s="63">
        <v>6.6408285390445808E-4</v>
      </c>
      <c r="S53" s="63">
        <v>6.4771946764201826E-4</v>
      </c>
      <c r="T53" s="63">
        <v>6.3845983842054856E-4</v>
      </c>
    </row>
    <row r="54" spans="8:20" x14ac:dyDescent="0.25">
      <c r="I54" t="s">
        <v>179</v>
      </c>
      <c r="K54" t="s">
        <v>181</v>
      </c>
      <c r="L54" s="22">
        <v>1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</row>
    <row r="55" spans="8:20" x14ac:dyDescent="0.25">
      <c r="H55" t="s">
        <v>171</v>
      </c>
      <c r="I55" t="s">
        <v>153</v>
      </c>
      <c r="J55" t="s">
        <v>172</v>
      </c>
      <c r="K55" t="s">
        <v>181</v>
      </c>
      <c r="L55" s="22">
        <v>1</v>
      </c>
      <c r="M55" s="63">
        <v>0.42556332971371874</v>
      </c>
      <c r="N55" s="63">
        <v>0.42885227003017673</v>
      </c>
      <c r="O55" s="63">
        <v>0.4301288355256343</v>
      </c>
      <c r="P55" s="63">
        <v>0.42782773669978968</v>
      </c>
      <c r="Q55" s="63">
        <v>0.41668817229295235</v>
      </c>
      <c r="R55" s="63">
        <v>0.39409044952974615</v>
      </c>
      <c r="S55" s="63">
        <v>0.36101605214575999</v>
      </c>
      <c r="T55" s="63">
        <v>0.32619321607544083</v>
      </c>
    </row>
    <row r="56" spans="8:20" x14ac:dyDescent="0.25">
      <c r="I56" t="s">
        <v>152</v>
      </c>
      <c r="K56" t="s">
        <v>181</v>
      </c>
      <c r="L56" s="22">
        <v>1</v>
      </c>
      <c r="M56" s="63">
        <v>0.43290649023408723</v>
      </c>
      <c r="N56" s="63">
        <v>0.43334520055606424</v>
      </c>
      <c r="O56" s="63">
        <v>0.42676689042599353</v>
      </c>
      <c r="P56" s="63">
        <v>0.41280956616074077</v>
      </c>
      <c r="Q56" s="63">
        <v>0.39470185013541281</v>
      </c>
      <c r="R56" s="63">
        <v>0.37375110178859372</v>
      </c>
      <c r="S56" s="63">
        <v>0.35412901955996318</v>
      </c>
      <c r="T56" s="63">
        <v>0.33610432900293752</v>
      </c>
    </row>
    <row r="57" spans="8:20" x14ac:dyDescent="0.25">
      <c r="I57" t="s">
        <v>157</v>
      </c>
      <c r="K57" t="s">
        <v>181</v>
      </c>
      <c r="L57" s="22">
        <v>1</v>
      </c>
      <c r="M57" s="63">
        <v>3.638539169699493E-2</v>
      </c>
      <c r="N57" s="63">
        <v>3.4195910894110469E-2</v>
      </c>
      <c r="O57" s="63">
        <v>2.7821777272638556E-2</v>
      </c>
      <c r="P57" s="63">
        <v>2.934035639254148E-2</v>
      </c>
      <c r="Q57" s="63">
        <v>4.0087103729669921E-2</v>
      </c>
      <c r="R57" s="63">
        <v>6.3024887052906611E-2</v>
      </c>
      <c r="S57" s="63">
        <v>9.4953571196556966E-2</v>
      </c>
      <c r="T57" s="63">
        <v>0.1300448131911226</v>
      </c>
    </row>
    <row r="58" spans="8:20" x14ac:dyDescent="0.25">
      <c r="I58" t="s">
        <v>154</v>
      </c>
      <c r="K58" t="s">
        <v>181</v>
      </c>
      <c r="L58" s="22">
        <v>1</v>
      </c>
      <c r="M58" s="63">
        <v>0.10288236971605716</v>
      </c>
      <c r="N58" s="63">
        <v>0.1011779066219103</v>
      </c>
      <c r="O58" s="63">
        <v>0.11262576139978951</v>
      </c>
      <c r="P58" s="63">
        <v>0.12700802912736228</v>
      </c>
      <c r="Q58" s="63">
        <v>0.14454567570501695</v>
      </c>
      <c r="R58" s="63">
        <v>0.16327899835227158</v>
      </c>
      <c r="S58" s="63">
        <v>0.18201419157065585</v>
      </c>
      <c r="T58" s="63">
        <v>0.19787361201483947</v>
      </c>
    </row>
    <row r="59" spans="8:20" x14ac:dyDescent="0.25">
      <c r="I59" t="s">
        <v>155</v>
      </c>
      <c r="K59" t="s">
        <v>181</v>
      </c>
      <c r="L59" s="22">
        <v>1</v>
      </c>
      <c r="M59" s="63">
        <v>5.4111527860738156E-5</v>
      </c>
      <c r="N59" s="63">
        <v>5.1707184755704752E-5</v>
      </c>
      <c r="O59" s="63">
        <v>5.5852249779668886E-5</v>
      </c>
      <c r="P59" s="63">
        <v>1.2206842866928591E-4</v>
      </c>
      <c r="Q59" s="63">
        <v>7.216381291188117E-4</v>
      </c>
      <c r="R59" s="63">
        <v>2.2095540563750854E-3</v>
      </c>
      <c r="S59" s="63">
        <v>3.8226339316975969E-3</v>
      </c>
      <c r="T59" s="63">
        <v>5.3272777283629074E-3</v>
      </c>
    </row>
    <row r="60" spans="8:20" x14ac:dyDescent="0.25">
      <c r="I60" t="s">
        <v>156</v>
      </c>
      <c r="K60" t="s">
        <v>181</v>
      </c>
      <c r="L60" s="22">
        <v>1</v>
      </c>
      <c r="M60" s="63">
        <v>1.2957188037907301E-3</v>
      </c>
      <c r="N60" s="63">
        <v>1.4795036110263455E-3</v>
      </c>
      <c r="O60" s="63">
        <v>1.6018485292991595E-3</v>
      </c>
      <c r="P60" s="63">
        <v>1.7656822825739534E-3</v>
      </c>
      <c r="Q60" s="63">
        <v>1.9734108574841298E-3</v>
      </c>
      <c r="R60" s="63">
        <v>2.1965936880489674E-3</v>
      </c>
      <c r="S60" s="63">
        <v>2.4499520724434688E-3</v>
      </c>
      <c r="T60" s="63">
        <v>2.7014653486442395E-3</v>
      </c>
    </row>
    <row r="61" spans="8:20" x14ac:dyDescent="0.25">
      <c r="I61" t="s">
        <v>179</v>
      </c>
      <c r="K61" t="s">
        <v>181</v>
      </c>
      <c r="L61" s="22">
        <v>1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</row>
    <row r="65" spans="8:18" x14ac:dyDescent="0.25">
      <c r="H65" s="53" t="s">
        <v>0</v>
      </c>
      <c r="J65" s="53"/>
      <c r="K65" s="54"/>
    </row>
    <row r="66" spans="8:18" x14ac:dyDescent="0.25">
      <c r="H66" s="55" t="s">
        <v>1</v>
      </c>
      <c r="I66" s="55" t="s">
        <v>2</v>
      </c>
      <c r="J66" s="55" t="s">
        <v>3</v>
      </c>
      <c r="K66" s="56">
        <v>2019</v>
      </c>
      <c r="L66" s="56">
        <v>2020</v>
      </c>
      <c r="M66" s="56">
        <v>2025</v>
      </c>
      <c r="N66" s="56">
        <v>2030</v>
      </c>
      <c r="O66" s="56">
        <v>2035</v>
      </c>
      <c r="P66" s="56">
        <v>2040</v>
      </c>
      <c r="Q66" s="56">
        <v>2045</v>
      </c>
      <c r="R66" s="56">
        <v>2050</v>
      </c>
    </row>
    <row r="67" spans="8:18" x14ac:dyDescent="0.25">
      <c r="H67" t="s">
        <v>10</v>
      </c>
      <c r="I67" t="str" cm="1">
        <f t="array" ref="I67:I71">+_xlfn.ANCHORARRAY(Com!Z30)</f>
        <v>DAGR</v>
      </c>
      <c r="J67" t="s">
        <v>9</v>
      </c>
      <c r="K67" s="64">
        <v>31.6646</v>
      </c>
      <c r="L67" s="65">
        <v>27.873699999999999</v>
      </c>
      <c r="M67" s="65">
        <v>34.688200000000002</v>
      </c>
      <c r="N67" s="65">
        <v>41.387799999999999</v>
      </c>
      <c r="O67" s="65">
        <v>48.775300000000001</v>
      </c>
      <c r="P67" s="65">
        <v>57.037600000000005</v>
      </c>
      <c r="Q67" s="65">
        <v>66.4298</v>
      </c>
      <c r="R67" s="65">
        <v>76.873699999999999</v>
      </c>
    </row>
    <row r="68" spans="8:18" x14ac:dyDescent="0.25">
      <c r="H68" t="s">
        <v>10</v>
      </c>
      <c r="I68" t="str">
        <v>DTER</v>
      </c>
      <c r="J68" s="54" t="s">
        <v>9</v>
      </c>
      <c r="K68" s="65">
        <v>62.181400000000004</v>
      </c>
      <c r="L68" s="65">
        <v>54.353099999999998</v>
      </c>
      <c r="M68" s="65">
        <v>60.013800000000003</v>
      </c>
      <c r="N68" s="65">
        <v>67.605000000000004</v>
      </c>
      <c r="O68" s="65">
        <v>74.424799999999991</v>
      </c>
      <c r="P68" s="65">
        <v>80.742999999999995</v>
      </c>
      <c r="Q68" s="65">
        <v>90.7119</v>
      </c>
      <c r="R68" s="65">
        <v>104.0565</v>
      </c>
    </row>
    <row r="69" spans="8:18" x14ac:dyDescent="0.25">
      <c r="H69" s="54" t="s">
        <v>10</v>
      </c>
      <c r="I69" s="54" t="str">
        <v>DRSD</v>
      </c>
      <c r="J69" s="54" t="s">
        <v>9</v>
      </c>
      <c r="K69" s="65">
        <v>69.341300000000004</v>
      </c>
      <c r="L69" s="65">
        <v>71.078400000000002</v>
      </c>
      <c r="M69" s="65">
        <v>80.650599999999997</v>
      </c>
      <c r="N69" s="65">
        <v>89.464500000000001</v>
      </c>
      <c r="O69" s="65">
        <v>94.679500000000004</v>
      </c>
      <c r="P69" s="65">
        <v>98.240100000000012</v>
      </c>
      <c r="Q69" s="65">
        <v>103.37649999999999</v>
      </c>
      <c r="R69" s="65">
        <v>109.43870000000001</v>
      </c>
    </row>
    <row r="70" spans="8:18" x14ac:dyDescent="0.25">
      <c r="H70" t="s">
        <v>10</v>
      </c>
      <c r="I70" t="str">
        <v>DIND</v>
      </c>
      <c r="J70" s="54" t="s">
        <v>9</v>
      </c>
      <c r="K70" s="65">
        <v>105.9659</v>
      </c>
      <c r="L70" s="65">
        <v>97.14</v>
      </c>
      <c r="M70" s="65">
        <v>111.3608</v>
      </c>
      <c r="N70" s="65">
        <v>123.88920000000002</v>
      </c>
      <c r="O70" s="65">
        <v>135.8665</v>
      </c>
      <c r="P70" s="65">
        <v>148.9272</v>
      </c>
      <c r="Q70" s="65">
        <v>166.12129999999999</v>
      </c>
      <c r="R70" s="65">
        <v>187.32580000000002</v>
      </c>
    </row>
    <row r="71" spans="8:18" x14ac:dyDescent="0.25">
      <c r="H71" t="s">
        <v>10</v>
      </c>
      <c r="I71" t="str">
        <v>DTRA</v>
      </c>
      <c r="J71" s="54" t="s">
        <v>9</v>
      </c>
      <c r="K71" s="64">
        <v>574.73889999999994</v>
      </c>
      <c r="L71" s="65">
        <v>589.8599999999999</v>
      </c>
      <c r="M71" s="65">
        <v>666.04299999999989</v>
      </c>
      <c r="N71" s="65">
        <v>719.26869999999997</v>
      </c>
      <c r="O71" s="65">
        <v>757.1662</v>
      </c>
      <c r="P71" s="65">
        <v>794.73050000000012</v>
      </c>
      <c r="Q71" s="65">
        <v>829.68970000000013</v>
      </c>
      <c r="R71" s="65">
        <v>871.08279999999991</v>
      </c>
    </row>
    <row r="72" spans="8:18" x14ac:dyDescent="0.25">
      <c r="K72" s="66"/>
      <c r="L72" s="66"/>
      <c r="M72" s="66"/>
      <c r="N72" s="66"/>
      <c r="O72" s="66"/>
      <c r="P72" s="66"/>
      <c r="Q72" s="66"/>
      <c r="R72" s="66"/>
    </row>
    <row r="73" spans="8:18" x14ac:dyDescent="0.25">
      <c r="K73" s="5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36E9-D7C2-4376-8388-EADC71BAF303}">
  <dimension ref="A1:AU1"/>
  <sheetViews>
    <sheetView workbookViewId="0">
      <selection activeCell="B2" sqref="B2"/>
    </sheetView>
  </sheetViews>
  <sheetFormatPr baseColWidth="10" defaultRowHeight="15" x14ac:dyDescent="0.25"/>
  <cols>
    <col min="1" max="47" width="11.425781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9C3FB-2EDD-4FE0-B565-0029E9F71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</vt:lpstr>
      <vt:lpstr>Proc</vt:lpstr>
      <vt:lpstr>1. EXP_IMP</vt:lpstr>
      <vt:lpstr>1. DEM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2022-11-03T03:08:03Z</dcterms:modified>
</cp:coreProperties>
</file>