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Music\TIMES-UIS-v1-Nov\SubRES_TMPL\"/>
    </mc:Choice>
  </mc:AlternateContent>
  <xr:revisionPtr revIDLastSave="0" documentId="13_ncr:1_{531D3233-6AE0-4373-BFC9-F15273AC3E12}" xr6:coauthVersionLast="47" xr6:coauthVersionMax="47" xr10:uidLastSave="{00000000-0000-0000-0000-000000000000}"/>
  <bookViews>
    <workbookView xWindow="-28920" yWindow="-120" windowWidth="29040" windowHeight="15840" activeTab="3" xr2:uid="{FC596A1D-735D-47D8-8E25-30449B5B17D4}"/>
  </bookViews>
  <sheets>
    <sheet name="6. Reservas" sheetId="1" r:id="rId1"/>
    <sheet name="Probables Gas" sheetId="2" r:id="rId2"/>
    <sheet name="Posibles Gas" sheetId="3" r:id="rId3"/>
    <sheet name="Posibles" sheetId="4" r:id="rId4"/>
  </sheets>
  <externalReferences>
    <externalReference r:id="rId5"/>
    <externalReference r:id="rId6"/>
    <externalReference r:id="rId7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4" l="1"/>
  <c r="F38" i="4"/>
  <c r="F39" i="4"/>
  <c r="F40" i="4"/>
  <c r="F41" i="4"/>
  <c r="F42" i="4"/>
  <c r="F43" i="4"/>
  <c r="F37" i="4"/>
  <c r="F30" i="4"/>
  <c r="F29" i="4"/>
  <c r="F28" i="4"/>
  <c r="F27" i="4"/>
  <c r="F26" i="4"/>
  <c r="F25" i="4"/>
  <c r="F24" i="4"/>
  <c r="N10" i="4"/>
  <c r="N20" i="4"/>
  <c r="K20" i="4"/>
  <c r="K19" i="4"/>
  <c r="L21" i="2"/>
  <c r="L21" i="3"/>
  <c r="K21" i="3"/>
  <c r="C24" i="4" a="1"/>
  <c r="C24" i="4" s="1"/>
  <c r="C37" i="4" l="1"/>
  <c r="C143" i="4"/>
  <c r="C129" i="4"/>
  <c r="C115" i="4"/>
  <c r="C101" i="4"/>
  <c r="C87" i="4"/>
  <c r="C73" i="4"/>
  <c r="C38" i="4"/>
  <c r="C39" i="4"/>
  <c r="C40" i="4"/>
  <c r="C41" i="4"/>
  <c r="C42" i="4"/>
  <c r="C43" i="4"/>
  <c r="N14" i="4" l="1"/>
  <c r="K21" i="4"/>
  <c r="K17" i="4"/>
  <c r="J17" i="4"/>
  <c r="T14" i="2"/>
  <c r="U14" i="2"/>
  <c r="T15" i="2"/>
  <c r="U15" i="2"/>
  <c r="X15" i="2" s="1"/>
  <c r="T16" i="2"/>
  <c r="W16" i="2" s="1"/>
  <c r="U16" i="2"/>
  <c r="X16" i="2" s="1"/>
  <c r="W15" i="2"/>
  <c r="Y14" i="2"/>
  <c r="F19" i="4"/>
  <c r="E24" i="4" a="1"/>
  <c r="E24" i="4" s="1"/>
  <c r="D24" i="4" a="1"/>
  <c r="D24" i="4" s="1"/>
  <c r="L11" i="4"/>
  <c r="L12" i="4"/>
  <c r="L13" i="4"/>
  <c r="L14" i="4"/>
  <c r="L15" i="4"/>
  <c r="L16" i="4"/>
  <c r="L10" i="4"/>
  <c r="T14" i="3"/>
  <c r="U14" i="3"/>
  <c r="T15" i="3"/>
  <c r="W15" i="3" s="1"/>
  <c r="U15" i="3"/>
  <c r="T16" i="3"/>
  <c r="W16" i="3" s="1"/>
  <c r="Y16" i="3" s="1"/>
  <c r="U16" i="3"/>
  <c r="X16" i="3"/>
  <c r="X15" i="3"/>
  <c r="Y14" i="3"/>
  <c r="N28" i="3"/>
  <c r="M28" i="3"/>
  <c r="L27" i="3"/>
  <c r="L26" i="3"/>
  <c r="K26" i="3" s="1"/>
  <c r="M26" i="3" s="1"/>
  <c r="L25" i="3"/>
  <c r="L22" i="3"/>
  <c r="K22" i="3" s="1"/>
  <c r="M22" i="3" s="1"/>
  <c r="M21" i="3"/>
  <c r="V68" i="3"/>
  <c r="W68" i="3" s="1"/>
  <c r="R68" i="3"/>
  <c r="S68" i="3" s="1"/>
  <c r="V67" i="3"/>
  <c r="W67" i="3" s="1"/>
  <c r="R67" i="3"/>
  <c r="S67" i="3" s="1"/>
  <c r="V66" i="3"/>
  <c r="W66" i="3" s="1"/>
  <c r="R66" i="3"/>
  <c r="S66" i="3" s="1"/>
  <c r="V65" i="3"/>
  <c r="W65" i="3" s="1"/>
  <c r="R65" i="3"/>
  <c r="S65" i="3" s="1"/>
  <c r="V64" i="3"/>
  <c r="W64" i="3" s="1"/>
  <c r="R64" i="3"/>
  <c r="S64" i="3" s="1"/>
  <c r="V63" i="3"/>
  <c r="W63" i="3" s="1"/>
  <c r="R63" i="3"/>
  <c r="S63" i="3" s="1"/>
  <c r="W62" i="3"/>
  <c r="V62" i="3"/>
  <c r="R62" i="3"/>
  <c r="S62" i="3" s="1"/>
  <c r="V55" i="3"/>
  <c r="K49" i="3"/>
  <c r="K50" i="3" s="1"/>
  <c r="J49" i="3"/>
  <c r="J50" i="3" s="1"/>
  <c r="I49" i="3"/>
  <c r="I28" i="3"/>
  <c r="K27" i="3"/>
  <c r="M27" i="3" s="1"/>
  <c r="J27" i="3"/>
  <c r="N27" i="3" s="1"/>
  <c r="J26" i="3"/>
  <c r="K25" i="3"/>
  <c r="M25" i="3" s="1"/>
  <c r="J25" i="3"/>
  <c r="N25" i="3" s="1"/>
  <c r="K24" i="3"/>
  <c r="M24" i="3" s="1"/>
  <c r="J24" i="3"/>
  <c r="N24" i="3" s="1"/>
  <c r="K23" i="3"/>
  <c r="M23" i="3" s="1"/>
  <c r="J23" i="3"/>
  <c r="N23" i="3" s="1"/>
  <c r="J22" i="3"/>
  <c r="J21" i="3"/>
  <c r="J28" i="3" s="1"/>
  <c r="C21" i="3"/>
  <c r="Y12" i="3"/>
  <c r="X12" i="3"/>
  <c r="W12" i="3"/>
  <c r="N12" i="3"/>
  <c r="O12" i="3" s="1"/>
  <c r="M12" i="3"/>
  <c r="L12" i="3"/>
  <c r="X11" i="3"/>
  <c r="Y11" i="3" s="1"/>
  <c r="W11" i="3"/>
  <c r="N11" i="3"/>
  <c r="M11" i="3"/>
  <c r="O11" i="3" s="1"/>
  <c r="L11" i="3"/>
  <c r="Y10" i="3"/>
  <c r="O10" i="3"/>
  <c r="J6" i="3"/>
  <c r="J16" i="3" s="1"/>
  <c r="N22" i="2"/>
  <c r="N23" i="2"/>
  <c r="N24" i="2"/>
  <c r="N25" i="2"/>
  <c r="N26" i="2"/>
  <c r="N27" i="2"/>
  <c r="N21" i="2"/>
  <c r="M21" i="2"/>
  <c r="M22" i="2"/>
  <c r="M23" i="2"/>
  <c r="M24" i="2"/>
  <c r="M25" i="2"/>
  <c r="M26" i="2"/>
  <c r="M27" i="2"/>
  <c r="K21" i="2"/>
  <c r="K22" i="2"/>
  <c r="K23" i="2"/>
  <c r="K24" i="2"/>
  <c r="K25" i="2"/>
  <c r="K26" i="2"/>
  <c r="K27" i="2"/>
  <c r="K28" i="2"/>
  <c r="L28" i="2"/>
  <c r="L27" i="2"/>
  <c r="L26" i="2"/>
  <c r="L25" i="2"/>
  <c r="L22" i="2"/>
  <c r="J26" i="2"/>
  <c r="J22" i="2"/>
  <c r="J23" i="2"/>
  <c r="J24" i="2"/>
  <c r="J25" i="2"/>
  <c r="J27" i="2"/>
  <c r="J21" i="2"/>
  <c r="J28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W63" i="2" s="1"/>
  <c r="V62" i="2"/>
  <c r="W62" i="2" s="1"/>
  <c r="J6" i="2"/>
  <c r="J14" i="2" s="1"/>
  <c r="I28" i="2"/>
  <c r="V55" i="2"/>
  <c r="X12" i="2"/>
  <c r="W12" i="2"/>
  <c r="X11" i="2"/>
  <c r="W11" i="2"/>
  <c r="Y11" i="2" s="1"/>
  <c r="Y10" i="2"/>
  <c r="K49" i="2"/>
  <c r="J49" i="2"/>
  <c r="I49" i="2"/>
  <c r="R63" i="2"/>
  <c r="S63" i="2" s="1"/>
  <c r="R64" i="2"/>
  <c r="S64" i="2" s="1"/>
  <c r="R65" i="2"/>
  <c r="S65" i="2" s="1"/>
  <c r="R66" i="2"/>
  <c r="S66" i="2" s="1"/>
  <c r="R67" i="2"/>
  <c r="S67" i="2" s="1"/>
  <c r="R68" i="2"/>
  <c r="S68" i="2" s="1"/>
  <c r="R62" i="2"/>
  <c r="C21" i="2"/>
  <c r="O10" i="2"/>
  <c r="L12" i="2"/>
  <c r="M12" i="2"/>
  <c r="N12" i="2"/>
  <c r="M11" i="2"/>
  <c r="L11" i="2"/>
  <c r="N11" i="2"/>
  <c r="AB22" i="1"/>
  <c r="Y20" i="1"/>
  <c r="Y18" i="1" a="1"/>
  <c r="Y18" i="1" s="1"/>
  <c r="I5" i="1"/>
  <c r="AF27" i="1"/>
  <c r="H7" i="1"/>
  <c r="AE27" i="1"/>
  <c r="AC33" i="1"/>
  <c r="AB33" i="1"/>
  <c r="AC32" i="1"/>
  <c r="AB32" i="1"/>
  <c r="AB27" i="1"/>
  <c r="AC27" i="1"/>
  <c r="AC26" i="1"/>
  <c r="AB26" i="1"/>
  <c r="N11" i="4" l="1"/>
  <c r="F32" i="4"/>
  <c r="N12" i="4"/>
  <c r="N13" i="4"/>
  <c r="N16" i="4"/>
  <c r="N15" i="4"/>
  <c r="Y16" i="2"/>
  <c r="Y15" i="2"/>
  <c r="Y15" i="3"/>
  <c r="N26" i="3"/>
  <c r="N22" i="3"/>
  <c r="M16" i="3"/>
  <c r="I14" i="3"/>
  <c r="J15" i="3"/>
  <c r="M15" i="3" s="1"/>
  <c r="N21" i="3"/>
  <c r="L28" i="3"/>
  <c r="K28" i="3" s="1"/>
  <c r="J14" i="3"/>
  <c r="K15" i="3"/>
  <c r="I16" i="3"/>
  <c r="L16" i="3" s="1"/>
  <c r="I15" i="3"/>
  <c r="L15" i="3" s="1"/>
  <c r="K16" i="3"/>
  <c r="K14" i="3"/>
  <c r="J15" i="2"/>
  <c r="M15" i="2" s="1"/>
  <c r="I14" i="2"/>
  <c r="I16" i="2"/>
  <c r="L16" i="2" s="1"/>
  <c r="K14" i="2"/>
  <c r="K16" i="2"/>
  <c r="N16" i="2" s="1"/>
  <c r="Y12" i="2"/>
  <c r="J16" i="2"/>
  <c r="M16" i="2" s="1"/>
  <c r="I15" i="2"/>
  <c r="K15" i="2"/>
  <c r="N15" i="2" s="1"/>
  <c r="S62" i="2"/>
  <c r="K50" i="2"/>
  <c r="J50" i="2"/>
  <c r="O12" i="2"/>
  <c r="O11" i="2"/>
  <c r="Z20" i="1"/>
  <c r="Z19" i="1" s="1"/>
  <c r="AA20" i="1"/>
  <c r="AA19" i="1" s="1"/>
  <c r="AB20" i="1"/>
  <c r="AB19" i="1" s="1"/>
  <c r="Y19" i="1"/>
  <c r="O7" i="1"/>
  <c r="O8" i="1"/>
  <c r="O9" i="1"/>
  <c r="O6" i="1"/>
  <c r="N7" i="1"/>
  <c r="N6" i="1"/>
  <c r="K71" i="1"/>
  <c r="K70" i="1"/>
  <c r="S57" i="1"/>
  <c r="K57" i="1"/>
  <c r="K58" i="1" s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4" i="1"/>
  <c r="Q24" i="1"/>
  <c r="P24" i="1"/>
  <c r="O24" i="1"/>
  <c r="N24" i="1"/>
  <c r="M24" i="1"/>
  <c r="L24" i="1"/>
  <c r="K24" i="1"/>
  <c r="U23" i="1"/>
  <c r="T23" i="1"/>
  <c r="T26" i="1" s="1"/>
  <c r="U22" i="1"/>
  <c r="U30" i="1" s="1"/>
  <c r="T22" i="1"/>
  <c r="C22" i="1"/>
  <c r="U21" i="1"/>
  <c r="U29" i="1" s="1"/>
  <c r="T21" i="1"/>
  <c r="U20" i="1"/>
  <c r="U28" i="1" s="1"/>
  <c r="T20" i="1"/>
  <c r="U19" i="1"/>
  <c r="U27" i="1" s="1"/>
  <c r="T19" i="1"/>
  <c r="U18" i="1"/>
  <c r="T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H9" i="1" s="1"/>
  <c r="C8" i="1"/>
  <c r="B8" i="1"/>
  <c r="E7" i="1"/>
  <c r="D7" i="1"/>
  <c r="W68" i="1" s="1"/>
  <c r="C7" i="1"/>
  <c r="B7" i="1"/>
  <c r="E6" i="1"/>
  <c r="D6" i="1"/>
  <c r="C6" i="1"/>
  <c r="E5" i="1"/>
  <c r="E4" i="1"/>
  <c r="D4" i="1"/>
  <c r="R57" i="1" l="1"/>
  <c r="N15" i="3"/>
  <c r="N16" i="3"/>
  <c r="L15" i="2"/>
  <c r="H10" i="1"/>
  <c r="H11" i="1" s="1"/>
  <c r="T27" i="1"/>
  <c r="T29" i="1"/>
  <c r="T30" i="1"/>
  <c r="U24" i="1"/>
  <c r="T24" i="1"/>
  <c r="K75" i="1"/>
  <c r="T28" i="1"/>
  <c r="U26" i="1"/>
  <c r="R58" i="1"/>
  <c r="R54" i="1"/>
  <c r="S54" i="1" s="1"/>
  <c r="X64" i="1"/>
  <c r="Y65" i="1"/>
  <c r="W67" i="1"/>
  <c r="X68" i="1"/>
  <c r="Y64" i="1"/>
  <c r="W66" i="1"/>
  <c r="X67" i="1"/>
  <c r="Y68" i="1"/>
  <c r="W65" i="1"/>
  <c r="X66" i="1"/>
  <c r="Y67" i="1"/>
  <c r="W64" i="1"/>
  <c r="X65" i="1"/>
  <c r="Y66" i="1"/>
  <c r="Y70" i="1" l="1"/>
  <c r="X70" i="1"/>
  <c r="W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7" authorId="0" shapeId="0" xr:uid="{EBD1C0AD-8BD7-4A41-8B7F-20FBAD45341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file:///C:/Users/JULIAN/Desktop/El+Grupo+Ecopetrol+increment%C3%B3+sus+reservas+probadas+de+hidrocarburos+a+1.727+millones+de+barriles+equivalentes+al+cierre+de+2018.pdf</t>
        </r>
      </text>
    </comment>
    <comment ref="P17" authorId="0" shapeId="0" xr:uid="{525A8863-FA20-4202-A4DA-29B4246886F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Q17" authorId="0" shapeId="0" xr:uid="{1F460F06-D733-4D04-9190-26AEE1529BD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R17" authorId="0" shapeId="0" xr:uid="{82C88550-FFB6-4154-A07B-8483BA4E9D9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Z17" authorId="0" shapeId="0" xr:uid="{7A8A23D7-0DF0-4C4F-9259-9462F4C94A2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AA17" authorId="0" shapeId="0" xr:uid="{740CD038-8CC1-41B7-B809-FD2E6E8AC8A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AB17" authorId="0" shapeId="0" xr:uid="{CCCFE97B-E710-40F4-8E19-535E14E5B46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G10" authorId="0" shapeId="0" xr:uid="{42742B9A-4C05-4027-9728-CD8C5AEE16B3}">
      <text>
        <r>
          <rPr>
            <b/>
            <sz val="9"/>
            <color indexed="81"/>
            <rFont val="Tahoma"/>
            <family val="2"/>
          </rPr>
          <t>JULIAN
Valor ficticio, ayuda a que el modelo no produzca todas las reservas en el primer año.
Esto sucede porque es una commodity importante que no tendría ningún costo.</t>
        </r>
      </text>
    </comment>
    <comment ref="D35" authorId="1" shapeId="0" xr:uid="{0A8AD994-3777-423F-8C28-69A5960F321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57" authorId="1" shapeId="0" xr:uid="{5339B964-84F1-4604-B6A3-DAD635F6054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<sst xmlns="http://schemas.openxmlformats.org/spreadsheetml/2006/main" count="511" uniqueCount="180">
  <si>
    <t>Reportes de ECP</t>
  </si>
  <si>
    <t>2014-2019</t>
  </si>
  <si>
    <t>2014-2021</t>
  </si>
  <si>
    <t>RI</t>
  </si>
  <si>
    <t>Revisiones</t>
  </si>
  <si>
    <t>Recobro Mejorado</t>
  </si>
  <si>
    <t>Boe</t>
  </si>
  <si>
    <t>J/bl</t>
  </si>
  <si>
    <t>Extensiones, Descrubrimientos</t>
  </si>
  <si>
    <t>TJ/kbl</t>
  </si>
  <si>
    <t>Compras</t>
  </si>
  <si>
    <t>Pc</t>
  </si>
  <si>
    <t>Producción</t>
  </si>
  <si>
    <t>I/R</t>
  </si>
  <si>
    <t>I/R Revisiones</t>
  </si>
  <si>
    <t>I/R Recobro Mejorado</t>
  </si>
  <si>
    <t>I/R Extensiones</t>
  </si>
  <si>
    <t>I/R Compras</t>
  </si>
  <si>
    <t>TIMES</t>
  </si>
  <si>
    <t>PEN, Bajo</t>
  </si>
  <si>
    <t>PEN, Medio</t>
  </si>
  <si>
    <t>ECP</t>
  </si>
  <si>
    <t>O</t>
  </si>
  <si>
    <t>G</t>
  </si>
  <si>
    <t>Reservas, PJ</t>
  </si>
  <si>
    <t>Reservas, Mboe</t>
  </si>
  <si>
    <t>Abastecimiento Gas natural, 2020, GPC</t>
  </si>
  <si>
    <t>Abastecimiento Gas natural, 2020, PJ</t>
  </si>
  <si>
    <t>Escenario Bajo</t>
  </si>
  <si>
    <t>Escenario Medio</t>
  </si>
  <si>
    <t>Probadas</t>
  </si>
  <si>
    <t>Probables</t>
  </si>
  <si>
    <t>Posibles</t>
  </si>
  <si>
    <t>Reservas probadas</t>
  </si>
  <si>
    <t>LLO</t>
  </si>
  <si>
    <t>Reservas probables</t>
  </si>
  <si>
    <t>VIM</t>
  </si>
  <si>
    <t>Reservas posibles</t>
  </si>
  <si>
    <t>Guajira</t>
  </si>
  <si>
    <t>Yet To Find</t>
  </si>
  <si>
    <t>VMM</t>
  </si>
  <si>
    <t>YNC</t>
  </si>
  <si>
    <t>CO</t>
  </si>
  <si>
    <t>Cusiana</t>
  </si>
  <si>
    <t>Cupiagua</t>
  </si>
  <si>
    <t>Pauto</t>
  </si>
  <si>
    <t>Floreña</t>
  </si>
  <si>
    <t xml:space="preserve">Reservas </t>
  </si>
  <si>
    <t>Colombia, PEN, 2020</t>
  </si>
  <si>
    <t>Modelo</t>
  </si>
  <si>
    <t>Porcentaje que es de gas</t>
  </si>
  <si>
    <t>-</t>
  </si>
  <si>
    <t>ECP, Oil</t>
  </si>
  <si>
    <t>ECP, Gas</t>
  </si>
  <si>
    <t>ECO, T</t>
  </si>
  <si>
    <t>ECP, Oil, ANH</t>
  </si>
  <si>
    <t>66% del pais</t>
  </si>
  <si>
    <t>ECP, GAS, ANH</t>
  </si>
  <si>
    <t>58,2% del pais</t>
  </si>
  <si>
    <t>ANH P1</t>
  </si>
  <si>
    <t>ANH P2</t>
  </si>
  <si>
    <t>ANH P3</t>
  </si>
  <si>
    <t>Mpc</t>
  </si>
  <si>
    <t>PJ</t>
  </si>
  <si>
    <t>Gpc</t>
  </si>
  <si>
    <t>Reservas</t>
  </si>
  <si>
    <t>~FI_T</t>
  </si>
  <si>
    <t>TechName</t>
  </si>
  <si>
    <t>Comm-OUT</t>
  </si>
  <si>
    <t>LimType</t>
  </si>
  <si>
    <t>CUM</t>
  </si>
  <si>
    <t>COST</t>
  </si>
  <si>
    <t>EFF</t>
  </si>
  <si>
    <t>UP</t>
  </si>
  <si>
    <t>PROMEDIO</t>
  </si>
  <si>
    <t>PCI</t>
  </si>
  <si>
    <t>F.E. CO2eq</t>
  </si>
  <si>
    <t>kt/PJ</t>
  </si>
  <si>
    <t>Energético</t>
  </si>
  <si>
    <t>TJ/kbl*</t>
  </si>
  <si>
    <t>t/TJ</t>
  </si>
  <si>
    <t>GAS</t>
  </si>
  <si>
    <t>Gas Natural</t>
  </si>
  <si>
    <t>LOIL</t>
  </si>
  <si>
    <t>Petróleo liviano</t>
  </si>
  <si>
    <t>MOIL</t>
  </si>
  <si>
    <t>Petróleo mediano</t>
  </si>
  <si>
    <t>HOIL</t>
  </si>
  <si>
    <t>Petróleo pesado</t>
  </si>
  <si>
    <t>GSL</t>
  </si>
  <si>
    <t>Gasolina antes de blending</t>
  </si>
  <si>
    <t>DSL</t>
  </si>
  <si>
    <t>Diesel antes de blending</t>
  </si>
  <si>
    <t>KER</t>
  </si>
  <si>
    <t>Keroseno-Jet</t>
  </si>
  <si>
    <t>LPG</t>
  </si>
  <si>
    <t>Gas licuado de Petróleo</t>
  </si>
  <si>
    <t>HFO</t>
  </si>
  <si>
    <t>Fuel Oil (Combustoleo</t>
  </si>
  <si>
    <t>AVG</t>
  </si>
  <si>
    <t>Gasolina de aviación</t>
  </si>
  <si>
    <t>RFG</t>
  </si>
  <si>
    <t>Refinery Gas</t>
  </si>
  <si>
    <t>*Para todos, menos gas natural, las unidades son TJ/Mpc; PJ/kpc</t>
  </si>
  <si>
    <t>GU - Gas</t>
  </si>
  <si>
    <t>LLO - Ligth</t>
  </si>
  <si>
    <t>LLO - Heavy</t>
  </si>
  <si>
    <t>PU - Ligth</t>
  </si>
  <si>
    <t>VMM - Medium</t>
  </si>
  <si>
    <t>VSM - Medium</t>
  </si>
  <si>
    <t>VIM - GAS</t>
  </si>
  <si>
    <t>Type of Oil producing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</si>
  <si>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</si>
  <si>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R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</si>
  <si>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t>Roil</t>
  </si>
  <si>
    <t>Rgas</t>
  </si>
  <si>
    <t>Rtotales</t>
  </si>
  <si>
    <t>Reservas de Gas Natural de Colombia por cuenca, 2018 ANH</t>
  </si>
  <si>
    <t>VSM</t>
  </si>
  <si>
    <t>PU</t>
  </si>
  <si>
    <t>Sinu San Jacinto</t>
  </si>
  <si>
    <t>Catatumbo</t>
  </si>
  <si>
    <t>Cesar Rancheria</t>
  </si>
  <si>
    <t>Total, 2018</t>
  </si>
  <si>
    <t>GOR</t>
  </si>
  <si>
    <t>ECOPETROL</t>
  </si>
  <si>
    <t xml:space="preserve">ECOPETROL </t>
  </si>
  <si>
    <t>Reservas de Gas Natural de COLOMBIA</t>
  </si>
  <si>
    <t>Reservas de Gas Natural DE COLOMBIA</t>
  </si>
  <si>
    <t>COL</t>
  </si>
  <si>
    <t>GPC</t>
  </si>
  <si>
    <t>Probabl GAS</t>
  </si>
  <si>
    <t>P2, gas</t>
  </si>
  <si>
    <t>Caso base</t>
  </si>
  <si>
    <t>MIN-CAM2</t>
  </si>
  <si>
    <t>R-CAM2</t>
  </si>
  <si>
    <t>MIN-CAM3</t>
  </si>
  <si>
    <t>R-CAM3</t>
  </si>
  <si>
    <t>MIN-CAM4</t>
  </si>
  <si>
    <t>R-CAM4</t>
  </si>
  <si>
    <t>MIN-CAM5</t>
  </si>
  <si>
    <t>R-CAM5</t>
  </si>
  <si>
    <t>MIN-CAM6</t>
  </si>
  <si>
    <t>R-CAM6</t>
  </si>
  <si>
    <t>MIN-CAM7</t>
  </si>
  <si>
    <t>R-CAM7</t>
  </si>
  <si>
    <t>MIN-CAM1</t>
  </si>
  <si>
    <t>R-CAM1</t>
  </si>
  <si>
    <t>Adicionaré</t>
  </si>
  <si>
    <t>Gas</t>
  </si>
  <si>
    <t>Petróleo</t>
  </si>
  <si>
    <t>Total</t>
  </si>
  <si>
    <t>Probables Oil</t>
  </si>
  <si>
    <t>Adicion</t>
  </si>
  <si>
    <t>Incrementa</t>
  </si>
  <si>
    <t>~FI_Process</t>
  </si>
  <si>
    <t>Sets</t>
  </si>
  <si>
    <t>TechDesc</t>
  </si>
  <si>
    <t>Tact</t>
  </si>
  <si>
    <t>Tcap</t>
  </si>
  <si>
    <t>MIN</t>
  </si>
  <si>
    <t>Pja</t>
  </si>
  <si>
    <t>ACT_BND</t>
  </si>
  <si>
    <t>Attribute</t>
  </si>
  <si>
    <t>Year</t>
  </si>
  <si>
    <t>MIN-P3-CAM1</t>
  </si>
  <si>
    <t>MIN-P3-CAM2</t>
  </si>
  <si>
    <t>MIN-P3-CAM3</t>
  </si>
  <si>
    <t>MIN-P3-CAM4</t>
  </si>
  <si>
    <t>MIN-P3-CAM5</t>
  </si>
  <si>
    <t>MIN-P3-CAM6</t>
  </si>
  <si>
    <t>MIN-P3-CAM7</t>
  </si>
  <si>
    <t>Reservas Posibles del CAM1</t>
  </si>
  <si>
    <t>Reservas Posibles del CAM2</t>
  </si>
  <si>
    <t>Reservas Posibles del CAM3</t>
  </si>
  <si>
    <t>Reservas Posibles del CAM4</t>
  </si>
  <si>
    <t>Reservas Posibles del CAM5</t>
  </si>
  <si>
    <t>Reservas Posibles del CAM6</t>
  </si>
  <si>
    <t>Reservas Posibles del CAM7</t>
  </si>
  <si>
    <t>Posibles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</si>
</sst>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E+00"/>
    <numFmt numFmtId="166" formatCode="_-* #,##0.0_-;\-* #,##0.0_-;_-* &quot;-&quot;??_-;_-@_-"/>
    <numFmt numFmtId="167" formatCode="_-* #,##0_-;\-* #,##0_-;_-* &quot;-&quot;??_-;_-@_-"/>
    <numFmt numFmtId="168" formatCode="0.000000"/>
    <numFmt numFmtId="169" formatCode="\Te\x\t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1"/>
      <color indexed="8"/>
      <name val="Calibri"/>
      <family val="2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1" fontId="26" fillId="0" borderId="0" applyNumberFormat="0" applyAlignment="0" applyProtection="0">
      <alignment horizontal="center"/>
    </xf>
    <xf numFmtId="0" fontId="6" fillId="0" borderId="16" applyNumberFormat="0" applyFill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24" fillId="0" borderId="0"/>
    <xf numFmtId="0" fontId="11" fillId="5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0" xfId="0" applyNumberFormat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165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7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9" fontId="0" fillId="0" borderId="15" xfId="2" applyFont="1" applyBorder="1" applyAlignment="1">
      <alignment horizontal="center" vertical="center"/>
    </xf>
    <xf numFmtId="1" fontId="0" fillId="0" borderId="0" xfId="0" applyNumberFormat="1"/>
    <xf numFmtId="166" fontId="0" fillId="0" borderId="0" xfId="1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2" xfId="0" applyBorder="1"/>
    <xf numFmtId="167" fontId="0" fillId="0" borderId="0" xfId="1" applyNumberFormat="1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left"/>
    </xf>
    <xf numFmtId="168" fontId="13" fillId="7" borderId="0" xfId="3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4" xfId="2" applyFont="1" applyBorder="1"/>
    <xf numFmtId="9" fontId="0" fillId="0" borderId="6" xfId="2" applyFont="1" applyBorder="1"/>
    <xf numFmtId="0" fontId="0" fillId="0" borderId="5" xfId="0" applyBorder="1"/>
    <xf numFmtId="0" fontId="0" fillId="0" borderId="8" xfId="0" applyBorder="1"/>
    <xf numFmtId="9" fontId="0" fillId="0" borderId="0" xfId="2" applyFont="1" applyBorder="1"/>
    <xf numFmtId="9" fontId="0" fillId="0" borderId="7" xfId="2" applyFont="1" applyBorder="1"/>
    <xf numFmtId="9" fontId="0" fillId="0" borderId="13" xfId="0" applyNumberFormat="1" applyBorder="1"/>
    <xf numFmtId="9" fontId="0" fillId="0" borderId="14" xfId="2" applyFont="1" applyBorder="1"/>
    <xf numFmtId="9" fontId="0" fillId="0" borderId="15" xfId="2" applyFont="1" applyBorder="1"/>
    <xf numFmtId="0" fontId="0" fillId="0" borderId="0" xfId="0" applyAlignment="1">
      <alignment wrapText="1"/>
    </xf>
    <xf numFmtId="0" fontId="16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8" borderId="0" xfId="0" applyFont="1" applyFill="1" applyAlignment="1">
      <alignment horizontal="center" vertical="center" wrapText="1"/>
    </xf>
    <xf numFmtId="1" fontId="0" fillId="8" borderId="11" xfId="0" applyNumberForma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5" xfId="2" applyFont="1" applyBorder="1"/>
    <xf numFmtId="9" fontId="0" fillId="0" borderId="8" xfId="2" applyFont="1" applyBorder="1"/>
    <xf numFmtId="9" fontId="0" fillId="0" borderId="0" xfId="2" applyFont="1" applyAlignment="1">
      <alignment horizontal="center"/>
    </xf>
    <xf numFmtId="9" fontId="0" fillId="0" borderId="0" xfId="2" applyFont="1" applyFill="1" applyBorder="1"/>
    <xf numFmtId="9" fontId="0" fillId="0" borderId="5" xfId="2" applyFont="1" applyFill="1" applyBorder="1"/>
    <xf numFmtId="1" fontId="0" fillId="0" borderId="4" xfId="0" applyNumberFormat="1" applyBorder="1"/>
    <xf numFmtId="1" fontId="0" fillId="0" borderId="6" xfId="0" applyNumberFormat="1" applyBorder="1"/>
    <xf numFmtId="0" fontId="14" fillId="3" borderId="0" xfId="0" applyFont="1" applyFill="1" applyAlignment="1">
      <alignment horizontal="center" vertical="center" wrapText="1"/>
    </xf>
    <xf numFmtId="1" fontId="0" fillId="3" borderId="0" xfId="0" applyNumberFormat="1" applyFill="1"/>
    <xf numFmtId="2" fontId="0" fillId="3" borderId="0" xfId="0" applyNumberFormat="1" applyFill="1"/>
    <xf numFmtId="1" fontId="0" fillId="8" borderId="11" xfId="0" applyNumberFormat="1" applyFill="1" applyBorder="1" applyAlignment="1">
      <alignment horizontal="center"/>
    </xf>
    <xf numFmtId="9" fontId="0" fillId="8" borderId="0" xfId="2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4" fillId="9" borderId="0" xfId="0" applyFont="1" applyFill="1" applyAlignment="1">
      <alignment horizontal="center" vertical="center" wrapText="1"/>
    </xf>
    <xf numFmtId="0" fontId="0" fillId="9" borderId="0" xfId="0" applyFill="1"/>
    <xf numFmtId="164" fontId="0" fillId="0" borderId="0" xfId="0" applyNumberFormat="1" applyAlignment="1">
      <alignment horizontal="center"/>
    </xf>
    <xf numFmtId="0" fontId="14" fillId="10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9" borderId="0" xfId="0" applyNumberFormat="1" applyFill="1"/>
    <xf numFmtId="1" fontId="0" fillId="10" borderId="0" xfId="0" applyNumberFormat="1" applyFill="1"/>
    <xf numFmtId="1" fontId="0" fillId="8" borderId="0" xfId="0" applyNumberFormat="1" applyFill="1"/>
    <xf numFmtId="9" fontId="7" fillId="0" borderId="0" xfId="2" applyFont="1"/>
    <xf numFmtId="169" fontId="19" fillId="0" borderId="0" xfId="4" applyNumberFormat="1" applyFont="1"/>
    <xf numFmtId="0" fontId="20" fillId="0" borderId="0" xfId="0" applyFont="1"/>
    <xf numFmtId="169" fontId="21" fillId="6" borderId="11" xfId="4" applyNumberFormat="1" applyFont="1" applyFill="1" applyBorder="1" applyAlignment="1">
      <alignment horizontal="left"/>
    </xf>
    <xf numFmtId="0" fontId="12" fillId="2" borderId="11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center"/>
    </xf>
    <xf numFmtId="0" fontId="22" fillId="0" borderId="0" xfId="3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56">
    <cellStyle name="calculated" xfId="5" xr:uid="{15A83603-360F-4ABB-B999-FC28A9F8FF90}"/>
    <cellStyle name="Calculation 2" xfId="6" xr:uid="{52178CC7-1616-4390-90FF-D051C9973259}"/>
    <cellStyle name="Comma 10" xfId="7" xr:uid="{7DA8C19C-8953-488F-8079-DA0498EED723}"/>
    <cellStyle name="Comma 11" xfId="8" xr:uid="{3D9002C4-FC8B-4CDD-95B9-D0308E0DDA8A}"/>
    <cellStyle name="Comma 2" xfId="9" xr:uid="{772C47F4-54BE-4E80-A630-B1C1BD506F3B}"/>
    <cellStyle name="Comma 2 2" xfId="10" xr:uid="{B5DA61C1-03BD-4995-81B4-9389BF11279E}"/>
    <cellStyle name="Comma 2 3" xfId="11" xr:uid="{235B8909-5195-4FDD-98DA-237962B3A81A}"/>
    <cellStyle name="Comma 2 4" xfId="12" xr:uid="{5D833E95-7C1C-4784-8D32-E686670FE957}"/>
    <cellStyle name="Comma 2 5" xfId="13" xr:uid="{89862F8A-A283-42D4-9998-B2E189A14CC8}"/>
    <cellStyle name="Comma 3" xfId="14" xr:uid="{6D15EDD3-B501-4A7A-AFE4-04A939E98321}"/>
    <cellStyle name="Hyperlink 3" xfId="15" xr:uid="{612C67FA-4094-4271-96E8-F11D4F6BA4C2}"/>
    <cellStyle name="Millares" xfId="1" builtinId="3"/>
    <cellStyle name="Neutral 2" xfId="16" xr:uid="{272BFC4F-CFF6-411F-82A9-9220B3756542}"/>
    <cellStyle name="Normal" xfId="0" builtinId="0"/>
    <cellStyle name="Normal 10" xfId="4" xr:uid="{10C07CC9-FB10-40BD-8B17-9D683D348BFB}"/>
    <cellStyle name="Normal 11" xfId="17" xr:uid="{513C53B3-268A-4886-8F0C-F2BB9BFF034B}"/>
    <cellStyle name="Normal 11 2" xfId="18" xr:uid="{D368E9E1-8389-476E-8B3F-40C45A964052}"/>
    <cellStyle name="Normal 11 3" xfId="19" xr:uid="{4BC34470-F487-41A4-808C-8BAF694647E0}"/>
    <cellStyle name="Normal 11 4" xfId="20" xr:uid="{BD83A7DA-A4AD-4362-9DA0-CCBEC1268F40}"/>
    <cellStyle name="Normal 12" xfId="21" xr:uid="{A29C4035-EA1B-43A4-8703-C5037771439D}"/>
    <cellStyle name="Normal 12 2" xfId="22" xr:uid="{76F1BD0B-3057-4AA9-B668-4A32BA2401BD}"/>
    <cellStyle name="Normal 12 3" xfId="23" xr:uid="{1512970C-E024-4280-8B74-81A5D058A5E7}"/>
    <cellStyle name="Normal 12 4" xfId="24" xr:uid="{76FF89A0-1A8B-48DE-BAA7-83A8A4C86F58}"/>
    <cellStyle name="Normal 2" xfId="3" xr:uid="{AF67F3C8-C8BB-42B8-AB11-C302F255A71F}"/>
    <cellStyle name="Normal 2 2" xfId="25" xr:uid="{D725A23F-5DB3-4758-AE3F-4D8CFA4366F3}"/>
    <cellStyle name="Normal 2 3" xfId="26" xr:uid="{5303CE8D-EE07-40AB-9FA0-FDCC2B0AED14}"/>
    <cellStyle name="Normal 2 4" xfId="27" xr:uid="{7FC6A6E4-FED8-4620-9389-A97A255B6CEF}"/>
    <cellStyle name="Normal 3" xfId="28" xr:uid="{06153683-76A8-49DD-A118-CA2619C34864}"/>
    <cellStyle name="Normal 39" xfId="29" xr:uid="{BC14904D-3C3A-4C32-8834-407B567D31CC}"/>
    <cellStyle name="Normal 4" xfId="30" xr:uid="{47E3A038-71C8-42DA-9B05-D902AA1C7748}"/>
    <cellStyle name="Normal 4 2" xfId="31" xr:uid="{EE8A2A2B-BF03-4FE3-98E8-A5AB9A735F06}"/>
    <cellStyle name="Normal 8" xfId="32" xr:uid="{6491E157-1232-4F67-BF7B-D03CE6992E84}"/>
    <cellStyle name="Normal 9 2" xfId="33" xr:uid="{4FB6754F-0A9F-42BD-B351-08AAD42449D0}"/>
    <cellStyle name="Normale_B2020" xfId="34" xr:uid="{0EFFC41E-B1C0-4DA1-ADE1-E9D60DC01B6F}"/>
    <cellStyle name="Note 2" xfId="35" xr:uid="{6DBE2A77-30C0-4524-B362-59A7DB96E942}"/>
    <cellStyle name="Percent 2" xfId="36" xr:uid="{75A18F66-EC8C-431B-85C2-AF4EB1F4B01F}"/>
    <cellStyle name="Percent 2 2" xfId="37" xr:uid="{43BA5858-0A40-4C21-9B59-BF5C1EF41113}"/>
    <cellStyle name="Percent 2 2 2" xfId="38" xr:uid="{285B954A-BDBD-47C1-8D67-E6B74FCC744C}"/>
    <cellStyle name="Percent 2 3" xfId="39" xr:uid="{4BBBE3AA-C86E-4F0F-BB7B-AC5A33EB9E77}"/>
    <cellStyle name="Percent 3" xfId="40" xr:uid="{D4441ABD-7CD1-410D-8063-E91CB005962A}"/>
    <cellStyle name="Percent 3 2" xfId="41" xr:uid="{F8A3F794-8956-436D-946E-2750F96637A2}"/>
    <cellStyle name="Percent 3 2 2" xfId="42" xr:uid="{F02284B1-CB29-42DA-8170-A9B40BD794DA}"/>
    <cellStyle name="Percent 3 3" xfId="43" xr:uid="{38B9DDA7-F8D2-4906-B8CA-9AACEA7D9FE3}"/>
    <cellStyle name="Percent 3 4" xfId="44" xr:uid="{589B367C-295B-4B58-A3E1-BDF51D5AA668}"/>
    <cellStyle name="Percent 4" xfId="45" xr:uid="{0663B224-9AD3-4E2C-9C96-63039A0B18B2}"/>
    <cellStyle name="Percent 4 2" xfId="46" xr:uid="{B6295D5C-90F6-4275-98BF-70D6DBB24E77}"/>
    <cellStyle name="Percent 4 3" xfId="47" xr:uid="{95A93BD6-75E6-4E52-A3EB-4A68754ADE7E}"/>
    <cellStyle name="Percent 4 4" xfId="48" xr:uid="{663BFB51-1630-43E4-B5C7-719FEF7DA53F}"/>
    <cellStyle name="Percent 5" xfId="49" xr:uid="{67B844B1-78AA-4419-80B9-638AE72C87A6}"/>
    <cellStyle name="Percent 5 2" xfId="50" xr:uid="{342E137C-A038-4FCC-93D2-CF37B36A79B6}"/>
    <cellStyle name="Percent 6" xfId="51" xr:uid="{5F7E8076-6B4E-4152-9590-8709F79030A4}"/>
    <cellStyle name="Percent 6 2" xfId="52" xr:uid="{02B5CA1B-BEDA-4621-8B87-D6D5475B57AE}"/>
    <cellStyle name="Percent 7" xfId="53" xr:uid="{D95A48A6-6689-43A0-A52F-72934C911180}"/>
    <cellStyle name="Percent 8" xfId="54" xr:uid="{40586014-7B5D-4842-AB7D-BB85EEC45DAB}"/>
    <cellStyle name="Porcentaje" xfId="2" builtinId="5"/>
    <cellStyle name="Standard_Sce_D_Extraction" xfId="55" xr:uid="{CA494550-4D91-4496-8440-6811E3867BE1}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56933508311463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 Reservas'!$J$26</c:f>
              <c:strCache>
                <c:ptCount val="1"/>
                <c:pt idx="0">
                  <c:v>I/R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Reservas'!$L$26:$R$26</c:f>
              <c:numCache>
                <c:formatCode>0%</c:formatCode>
                <c:ptCount val="7"/>
                <c:pt idx="0">
                  <c:v>5.9760956175298807E-2</c:v>
                </c:pt>
                <c:pt idx="1">
                  <c:v>-6.8085106382978725E-2</c:v>
                </c:pt>
                <c:pt idx="2">
                  <c:v>1.2606837606837606</c:v>
                </c:pt>
                <c:pt idx="3">
                  <c:v>1.2845188284518829</c:v>
                </c:pt>
                <c:pt idx="4">
                  <c:v>1.6859504132231404</c:v>
                </c:pt>
                <c:pt idx="5">
                  <c:v>0.48050847457627122</c:v>
                </c:pt>
                <c:pt idx="6">
                  <c:v>2.002164502164502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2-4E0B-AF1F-02A21229DABD}"/>
            </c:ext>
          </c:extLst>
        </c:ser>
        <c:ser>
          <c:idx val="1"/>
          <c:order val="1"/>
          <c:tx>
            <c:strRef>
              <c:f>'6. Reservas'!$J$27</c:f>
              <c:strCache>
                <c:ptCount val="1"/>
                <c:pt idx="0">
                  <c:v>I/R Revisiones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Reservas'!$L$27:$R$27</c:f>
              <c:numCache>
                <c:formatCode>0%</c:formatCode>
                <c:ptCount val="7"/>
                <c:pt idx="0">
                  <c:v>-9.9601593625498003E-2</c:v>
                </c:pt>
                <c:pt idx="1">
                  <c:v>-0.22978723404255319</c:v>
                </c:pt>
                <c:pt idx="2">
                  <c:v>0.74358974358974361</c:v>
                </c:pt>
                <c:pt idx="3">
                  <c:v>0.50627615062761511</c:v>
                </c:pt>
                <c:pt idx="4">
                  <c:v>0.34297520661157027</c:v>
                </c:pt>
                <c:pt idx="5">
                  <c:v>-0.30296610169491528</c:v>
                </c:pt>
                <c:pt idx="6">
                  <c:v>1.3636363636363635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2-4E0B-AF1F-02A21229DABD}"/>
            </c:ext>
          </c:extLst>
        </c:ser>
        <c:ser>
          <c:idx val="2"/>
          <c:order val="2"/>
          <c:tx>
            <c:strRef>
              <c:f>'6. Reservas'!$J$28</c:f>
              <c:strCache>
                <c:ptCount val="1"/>
                <c:pt idx="0">
                  <c:v>I/R Recobro Mejorado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Reservas'!$L$28:$R$28</c:f>
              <c:numCache>
                <c:formatCode>0%</c:formatCode>
                <c:ptCount val="7"/>
                <c:pt idx="0">
                  <c:v>6.3745019920318724E-2</c:v>
                </c:pt>
                <c:pt idx="1">
                  <c:v>4.6808510638297871E-2</c:v>
                </c:pt>
                <c:pt idx="2">
                  <c:v>0.31196581196581197</c:v>
                </c:pt>
                <c:pt idx="3">
                  <c:v>0.53974895397489542</c:v>
                </c:pt>
                <c:pt idx="4">
                  <c:v>0.38842975206611569</c:v>
                </c:pt>
                <c:pt idx="5">
                  <c:v>0.4788135593220339</c:v>
                </c:pt>
                <c:pt idx="6">
                  <c:v>0.60173160173160178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2-4E0B-AF1F-02A21229DABD}"/>
            </c:ext>
          </c:extLst>
        </c:ser>
        <c:ser>
          <c:idx val="3"/>
          <c:order val="3"/>
          <c:tx>
            <c:strRef>
              <c:f>'6. Reservas'!$J$29</c:f>
              <c:strCache>
                <c:ptCount val="1"/>
                <c:pt idx="0">
                  <c:v>I/R Extensiones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Reservas'!$L$29:$R$29</c:f>
              <c:numCache>
                <c:formatCode>0%</c:formatCode>
                <c:ptCount val="7"/>
                <c:pt idx="0">
                  <c:v>9.5617529880478086E-2</c:v>
                </c:pt>
                <c:pt idx="1">
                  <c:v>0.1148936170212766</c:v>
                </c:pt>
                <c:pt idx="2">
                  <c:v>1.7094017094017096E-2</c:v>
                </c:pt>
                <c:pt idx="3">
                  <c:v>0</c:v>
                </c:pt>
                <c:pt idx="4">
                  <c:v>0.6776859504132231</c:v>
                </c:pt>
                <c:pt idx="5">
                  <c:v>0.18220338983050846</c:v>
                </c:pt>
                <c:pt idx="6">
                  <c:v>5.1948051948051951E-2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2-4E0B-AF1F-02A21229DABD}"/>
            </c:ext>
          </c:extLst>
        </c:ser>
        <c:ser>
          <c:idx val="4"/>
          <c:order val="4"/>
          <c:tx>
            <c:strRef>
              <c:f>'6. Reservas'!$J$30</c:f>
              <c:strCache>
                <c:ptCount val="1"/>
                <c:pt idx="0">
                  <c:v>I/R Compras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Reservas'!$L$30:$R$30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0.18803418803418803</c:v>
                </c:pt>
                <c:pt idx="3">
                  <c:v>0.2384937238493724</c:v>
                </c:pt>
                <c:pt idx="4">
                  <c:v>0.27685950413223143</c:v>
                </c:pt>
                <c:pt idx="5">
                  <c:v>0.12245762711864407</c:v>
                </c:pt>
                <c:pt idx="6">
                  <c:v>-1.5151515151515152E-2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2-4E0B-AF1F-02A21229D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235327"/>
        <c:axId val="1628249055"/>
      </c:lineChart>
      <c:catAx>
        <c:axId val="16282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49055"/>
        <c:crosses val="autoZero"/>
        <c:auto val="1"/>
        <c:lblAlgn val="ctr"/>
        <c:lblOffset val="100"/>
        <c:noMultiLvlLbl val="0"/>
      </c:catAx>
      <c:valAx>
        <c:axId val="16282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140074</xdr:colOff>
      <xdr:row>35</xdr:row>
      <xdr:rowOff>1120</xdr:rowOff>
    </xdr:from>
    <xdr:to>
      <xdr:col>12</xdr:col>
      <xdr:colOff>184897</xdr:colOff>
      <xdr:row>49</xdr:row>
      <xdr:rowOff>77320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8280D2-02EA-4626-921C-BB943C8A1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627530</xdr:colOff>
      <xdr:row>32</xdr:row>
      <xdr:rowOff>33618</xdr:rowOff>
    </xdr:from>
    <xdr:to>
      <xdr:col>18</xdr:col>
      <xdr:colOff>310654</xdr:colOff>
      <xdr:row>41</xdr:row>
      <xdr:rowOff>129121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D1F89-4D88-44AE-9C49-3FCF4A76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57605" y="6129618"/>
          <a:ext cx="5798174" cy="1810003"/>
        </a:xfrm>
        <a:prstGeom prst="rect">
          <a:avLst/>
        </a:prstGeom>
      </xdr:spPr>
    </xdr:pic>
    <xdr:clientData/>
  </xdr:twoCellAnchor>
  <xdr:twoCellAnchor editAs="oneCell">
    <xdr:from>
      <xdr:col>1</xdr:col>
      <xdr:colOff>467847</xdr:colOff>
      <xdr:row>85</xdr:row>
      <xdr:rowOff>121863</xdr:rowOff>
    </xdr:from>
    <xdr:to>
      <xdr:col>9</xdr:col>
      <xdr:colOff>1116860</xdr:colOff>
      <xdr:row>109</xdr:row>
      <xdr:rowOff>93922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7FA28E-1ED0-4AB6-8511-2074A1F4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847" y="16314363"/>
          <a:ext cx="7392713" cy="4544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21</xdr:row>
      <xdr:rowOff>85725</xdr:rowOff>
    </xdr:from>
    <xdr:to>
      <xdr:col>11</xdr:col>
      <xdr:colOff>485895</xdr:colOff>
      <xdr:row>34</xdr:row>
      <xdr:rowOff>76544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6392F1-C569-AC77-8ACD-7C0E63F79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3100" y="4238625"/>
          <a:ext cx="857370" cy="24673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General_SEC_SGC"/>
      <sheetName val="6. a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D4" t="str">
            <v>PCI</v>
          </cell>
          <cell r="E4" t="str">
            <v>F.E. CO2eq</v>
          </cell>
        </row>
        <row r="5">
          <cell r="E5" t="str">
            <v>kt/PJ</v>
          </cell>
        </row>
        <row r="6">
          <cell r="C6" t="str">
            <v>Energético</v>
          </cell>
          <cell r="D6" t="str">
            <v>TJ/kbl*</v>
          </cell>
          <cell r="E6" t="str">
            <v>t/TJ</v>
          </cell>
        </row>
        <row r="7">
          <cell r="B7" t="str">
            <v>GAS</v>
          </cell>
          <cell r="C7" t="str">
            <v>Gas Natural</v>
          </cell>
          <cell r="D7">
            <v>1.0095573442026637</v>
          </cell>
          <cell r="E7">
            <v>55.539114956987063</v>
          </cell>
        </row>
        <row r="8">
          <cell r="B8" t="str">
            <v>LOIL</v>
          </cell>
          <cell r="C8" t="str">
            <v>Petróleo liviano</v>
          </cell>
          <cell r="D8">
            <v>6.0871741676095334</v>
          </cell>
          <cell r="E8">
            <v>77.841777688967127</v>
          </cell>
        </row>
        <row r="9">
          <cell r="B9" t="str">
            <v>MOIL</v>
          </cell>
          <cell r="C9" t="str">
            <v>Petróleo mediano</v>
          </cell>
          <cell r="D9">
            <v>6.0871741676095334</v>
          </cell>
          <cell r="E9">
            <v>77.841777688967127</v>
          </cell>
        </row>
        <row r="10">
          <cell r="B10" t="str">
            <v>HOIL</v>
          </cell>
          <cell r="C10" t="str">
            <v>Petróleo pesado</v>
          </cell>
          <cell r="D10">
            <v>6.0871741676095334</v>
          </cell>
          <cell r="E10">
            <v>77.841777688967127</v>
          </cell>
        </row>
        <row r="11">
          <cell r="B11" t="str">
            <v>GSL</v>
          </cell>
          <cell r="C11" t="str">
            <v>Gasolina antes de blending</v>
          </cell>
          <cell r="D11">
            <v>5.3308987344700309</v>
          </cell>
          <cell r="E11">
            <v>69.193827140333724</v>
          </cell>
        </row>
        <row r="12">
          <cell r="B12" t="str">
            <v>DSL</v>
          </cell>
          <cell r="C12" t="str">
            <v>Diesel antes de blending</v>
          </cell>
          <cell r="D12">
            <v>5.6708498400612823</v>
          </cell>
          <cell r="E12">
            <v>75.166375708662926</v>
          </cell>
        </row>
        <row r="13">
          <cell r="B13" t="str">
            <v>KER</v>
          </cell>
          <cell r="C13" t="str">
            <v>Keroseno-Jet</v>
          </cell>
          <cell r="D13">
            <v>4.7117947967516214</v>
          </cell>
          <cell r="E13">
            <v>87.735056011523966</v>
          </cell>
        </row>
        <row r="14">
          <cell r="B14" t="str">
            <v>LPG</v>
          </cell>
          <cell r="C14" t="str">
            <v>Gas licuado de Petróleo</v>
          </cell>
          <cell r="D14">
            <v>4.0562660463586173</v>
          </cell>
          <cell r="E14">
            <v>47.28933824683137</v>
          </cell>
        </row>
        <row r="15">
          <cell r="B15" t="str">
            <v>HFO</v>
          </cell>
          <cell r="C15" t="str">
            <v>Fuel Oil (Combustoleo</v>
          </cell>
          <cell r="D15">
            <v>5.4608206169323079</v>
          </cell>
          <cell r="E15">
            <v>78.281203343664757</v>
          </cell>
        </row>
        <row r="16">
          <cell r="B16" t="str">
            <v>AVG</v>
          </cell>
          <cell r="C16" t="str">
            <v>Gasolina de aviación</v>
          </cell>
          <cell r="D16">
            <v>4.7615165047769556</v>
          </cell>
          <cell r="E16">
            <v>56.337812381502502</v>
          </cell>
        </row>
        <row r="17">
          <cell r="B17" t="str">
            <v>RFG</v>
          </cell>
          <cell r="C17" t="str">
            <v>Refinery Gas</v>
          </cell>
          <cell r="D17">
            <v>4.1867999999999999</v>
          </cell>
          <cell r="E17">
            <v>40.784041574326501</v>
          </cell>
        </row>
        <row r="18">
          <cell r="B18" t="str">
            <v>*Para todos, menos gas natural, las unidades son TJ/Mpc; PJ/kpc</v>
          </cell>
        </row>
        <row r="90">
          <cell r="P90"/>
          <cell r="AB90"/>
        </row>
        <row r="91">
          <cell r="P91"/>
          <cell r="AB91"/>
        </row>
        <row r="92">
          <cell r="P92"/>
          <cell r="AB92"/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CC8-2C56-4CAC-AD4A-B1AFE9FC8086}">
  <dimension ref="B3:AF79"/>
  <sheetViews>
    <sheetView showGridLines="0" topLeftCell="K4" zoomScaleNormal="100" workbookViewId="0">
      <selection activeCell="X24" sqref="X24:Z33"/>
    </sheetView>
  </sheetViews>
  <sheetFormatPr baseColWidth="10" defaultRowHeight="15" x14ac:dyDescent="0.25"/>
  <cols>
    <col min="8" max="9" width="16.28515625" customWidth="1"/>
    <col min="10" max="10" width="34.5703125" customWidth="1"/>
    <col min="11" max="11" width="16.28515625" customWidth="1"/>
    <col min="12" max="12" width="17" customWidth="1"/>
    <col min="13" max="13" width="19.140625" customWidth="1"/>
    <col min="14" max="14" width="15.28515625" customWidth="1"/>
    <col min="15" max="15" width="19.140625" customWidth="1"/>
    <col min="18" max="18" width="15.28515625" customWidth="1"/>
    <col min="19" max="19" width="10.5703125" customWidth="1"/>
    <col min="20" max="20" width="11.85546875" bestFit="1" customWidth="1"/>
  </cols>
  <sheetData>
    <row r="3" spans="2:21" x14ac:dyDescent="0.25">
      <c r="J3" s="108" t="s">
        <v>48</v>
      </c>
      <c r="K3" s="109"/>
      <c r="L3" s="110"/>
      <c r="M3" s="108" t="s">
        <v>48</v>
      </c>
      <c r="N3" s="109"/>
      <c r="O3" s="110"/>
    </row>
    <row r="4" spans="2:21" x14ac:dyDescent="0.25">
      <c r="D4" s="1" t="str">
        <f>'[3]5. Data'!D4</f>
        <v>PCI</v>
      </c>
      <c r="E4" s="1" t="str">
        <f>'[3]5. Data'!E4</f>
        <v>F.E. CO2eq</v>
      </c>
      <c r="H4" s="1" t="s">
        <v>49</v>
      </c>
      <c r="I4" s="1" t="s">
        <v>21</v>
      </c>
      <c r="J4" s="25"/>
      <c r="K4" s="32" t="s">
        <v>28</v>
      </c>
      <c r="L4" s="33" t="s">
        <v>29</v>
      </c>
      <c r="M4" s="25"/>
      <c r="N4" s="32" t="s">
        <v>28</v>
      </c>
      <c r="O4" s="32" t="s">
        <v>29</v>
      </c>
    </row>
    <row r="5" spans="2:21" x14ac:dyDescent="0.25">
      <c r="D5" s="1"/>
      <c r="E5" s="1" t="str">
        <f>'[3]5. Data'!E5</f>
        <v>kt/PJ</v>
      </c>
      <c r="H5" s="20">
        <v>1640</v>
      </c>
      <c r="I5" s="39">
        <f>1893*0.71</f>
        <v>1344.03</v>
      </c>
      <c r="J5" s="31" t="s">
        <v>33</v>
      </c>
      <c r="K5" s="34">
        <v>2037</v>
      </c>
      <c r="L5" s="35">
        <v>2037</v>
      </c>
      <c r="M5" s="31" t="s">
        <v>33</v>
      </c>
      <c r="N5" s="34">
        <v>2037</v>
      </c>
      <c r="O5" s="34">
        <v>2037</v>
      </c>
    </row>
    <row r="6" spans="2:21" x14ac:dyDescent="0.25">
      <c r="C6" t="str">
        <f>'[3]5. Data'!C6</f>
        <v>Energético</v>
      </c>
      <c r="D6" s="1" t="str">
        <f>'[3]5. Data'!D6</f>
        <v>TJ/kbl*</v>
      </c>
      <c r="E6" s="1" t="str">
        <f>'[3]5. Data'!E6</f>
        <v>t/TJ</v>
      </c>
      <c r="H6">
        <v>1949.911338725042</v>
      </c>
      <c r="J6" s="25" t="s">
        <v>35</v>
      </c>
      <c r="K6" s="27">
        <v>532</v>
      </c>
      <c r="L6" s="26">
        <v>638</v>
      </c>
      <c r="M6" s="25" t="s">
        <v>35</v>
      </c>
      <c r="N6" s="36">
        <f>+K6/K$5</f>
        <v>0.2611683848797251</v>
      </c>
      <c r="O6" s="36">
        <f>+L6/$L5</f>
        <v>0.31320569464899362</v>
      </c>
    </row>
    <row r="7" spans="2:21" x14ac:dyDescent="0.25">
      <c r="B7" s="1" t="str">
        <f>'[3]5. Data'!B7</f>
        <v>GAS</v>
      </c>
      <c r="C7" s="2" t="str">
        <f>'[3]5. Data'!C7</f>
        <v>Gas Natural</v>
      </c>
      <c r="D7" s="3">
        <f>'[3]5. Data'!D7</f>
        <v>1.0095573442026637</v>
      </c>
      <c r="E7" s="4">
        <f>'[3]5. Data'!E7</f>
        <v>55.539114956987063</v>
      </c>
      <c r="H7" s="38">
        <f>+H6-H5</f>
        <v>309.91133872504201</v>
      </c>
      <c r="J7" s="25" t="s">
        <v>37</v>
      </c>
      <c r="K7" s="27">
        <v>307</v>
      </c>
      <c r="L7" s="26">
        <v>461</v>
      </c>
      <c r="M7" s="25" t="s">
        <v>37</v>
      </c>
      <c r="N7" s="36">
        <f>+K7/K$5</f>
        <v>0.15071183112420225</v>
      </c>
      <c r="O7" s="36">
        <f t="shared" ref="O7:O9" si="0">+L7/$L6</f>
        <v>0.72257053291536055</v>
      </c>
    </row>
    <row r="8" spans="2:21" x14ac:dyDescent="0.25">
      <c r="B8" s="1" t="str">
        <f>'[3]5. Data'!B8</f>
        <v>LOIL</v>
      </c>
      <c r="C8" s="2" t="str">
        <f>'[3]5. Data'!C8</f>
        <v>Petróleo liviano</v>
      </c>
      <c r="D8" s="3">
        <f>'[3]5. Data'!D8</f>
        <v>6.0871741676095334</v>
      </c>
      <c r="E8" s="4">
        <f>'[3]5. Data'!E8</f>
        <v>77.841777688967127</v>
      </c>
      <c r="J8" s="25" t="s">
        <v>39</v>
      </c>
      <c r="K8" s="27"/>
      <c r="L8" s="26">
        <v>1691</v>
      </c>
      <c r="M8" s="25" t="s">
        <v>39</v>
      </c>
      <c r="N8" s="27"/>
      <c r="O8" s="36">
        <f t="shared" si="0"/>
        <v>3.6681127982646422</v>
      </c>
    </row>
    <row r="9" spans="2:21" x14ac:dyDescent="0.25">
      <c r="B9" s="1" t="str">
        <f>'[3]5. Data'!B9</f>
        <v>MOIL</v>
      </c>
      <c r="C9" s="5" t="str">
        <f>'[3]5. Data'!C9</f>
        <v>Petróleo mediano</v>
      </c>
      <c r="D9" s="6">
        <f>'[3]5. Data'!D9</f>
        <v>6.0871741676095334</v>
      </c>
      <c r="E9" s="7">
        <f>'[3]5. Data'!E9</f>
        <v>77.841777688967127</v>
      </c>
      <c r="H9" s="11">
        <f>+H7*1000*D8/1000</f>
        <v>1886.4842953363639</v>
      </c>
      <c r="I9" t="s">
        <v>63</v>
      </c>
      <c r="J9" s="28" t="s">
        <v>41</v>
      </c>
      <c r="K9" s="29"/>
      <c r="L9" s="30">
        <v>1809</v>
      </c>
      <c r="M9" s="28" t="s">
        <v>41</v>
      </c>
      <c r="N9" s="29"/>
      <c r="O9" s="37">
        <f t="shared" si="0"/>
        <v>1.0697811945594322</v>
      </c>
    </row>
    <row r="10" spans="2:21" x14ac:dyDescent="0.25">
      <c r="B10" s="1" t="str">
        <f>'[3]5. Data'!B10</f>
        <v>HOIL</v>
      </c>
      <c r="C10" s="8" t="str">
        <f>'[3]5. Data'!C10</f>
        <v>Petróleo pesado</v>
      </c>
      <c r="D10" s="9">
        <f>'[3]5. Data'!D10</f>
        <v>6.0871741676095334</v>
      </c>
      <c r="E10" s="10">
        <f>'[3]5. Data'!E10</f>
        <v>77.841777688967127</v>
      </c>
      <c r="H10" s="11">
        <f>+(H9*1000)/D7</f>
        <v>1868625.2011036444</v>
      </c>
      <c r="I10" t="s">
        <v>62</v>
      </c>
    </row>
    <row r="11" spans="2:21" x14ac:dyDescent="0.25">
      <c r="B11" s="1" t="str">
        <f>'[3]5. Data'!B11</f>
        <v>GSL</v>
      </c>
      <c r="C11" s="2" t="str">
        <f>'[3]5. Data'!C11</f>
        <v>Gasolina antes de blending</v>
      </c>
      <c r="D11" s="3">
        <f>'[3]5. Data'!D11</f>
        <v>5.3308987344700309</v>
      </c>
      <c r="E11" s="4">
        <f>'[3]5. Data'!E11</f>
        <v>69.193827140333724</v>
      </c>
      <c r="H11" s="11">
        <f>+H10/1000</f>
        <v>1868.6252011036445</v>
      </c>
      <c r="I11" t="s">
        <v>64</v>
      </c>
    </row>
    <row r="12" spans="2:21" x14ac:dyDescent="0.25">
      <c r="B12" s="1" t="str">
        <f>'[3]5. Data'!B12</f>
        <v>DSL</v>
      </c>
      <c r="C12" s="5" t="str">
        <f>'[3]5. Data'!C12</f>
        <v>Diesel antes de blending</v>
      </c>
      <c r="D12" s="6">
        <f>'[3]5. Data'!D12</f>
        <v>5.6708498400612823</v>
      </c>
      <c r="E12" s="7">
        <f>'[3]5. Data'!E12</f>
        <v>75.166375708662926</v>
      </c>
    </row>
    <row r="13" spans="2:21" x14ac:dyDescent="0.25">
      <c r="B13" s="1" t="str">
        <f>'[3]5. Data'!B13</f>
        <v>KER</v>
      </c>
      <c r="C13" s="8" t="str">
        <f>'[3]5. Data'!C13</f>
        <v>Keroseno-Jet</v>
      </c>
      <c r="D13" s="9">
        <f>'[3]5. Data'!D13</f>
        <v>4.7117947967516214</v>
      </c>
      <c r="E13" s="10">
        <f>'[3]5. Data'!E13</f>
        <v>87.735056011523966</v>
      </c>
      <c r="U13" s="11"/>
    </row>
    <row r="14" spans="2:21" x14ac:dyDescent="0.25">
      <c r="B14" s="1" t="str">
        <f>'[3]5. Data'!B14</f>
        <v>LPG</v>
      </c>
      <c r="C14" s="2" t="str">
        <f>'[3]5. Data'!C14</f>
        <v>Gas licuado de Petróleo</v>
      </c>
      <c r="D14" s="3">
        <f>'[3]5. Data'!D14</f>
        <v>4.0562660463586173</v>
      </c>
      <c r="E14" s="4">
        <f>'[3]5. Data'!E14</f>
        <v>47.28933824683137</v>
      </c>
    </row>
    <row r="15" spans="2:21" x14ac:dyDescent="0.25">
      <c r="B15" s="1" t="str">
        <f>'[3]5. Data'!B15</f>
        <v>HFO</v>
      </c>
      <c r="C15" s="5" t="str">
        <f>'[3]5. Data'!C15</f>
        <v>Fuel Oil (Combustoleo</v>
      </c>
      <c r="D15" s="6">
        <f>'[3]5. Data'!D15</f>
        <v>5.4608206169323079</v>
      </c>
      <c r="E15" s="7">
        <f>'[3]5. Data'!E15</f>
        <v>78.281203343664757</v>
      </c>
      <c r="J15" t="s">
        <v>50</v>
      </c>
    </row>
    <row r="16" spans="2:21" x14ac:dyDescent="0.25">
      <c r="B16" s="1" t="str">
        <f>'[3]5. Data'!B16</f>
        <v>AVG</v>
      </c>
      <c r="C16" s="5" t="str">
        <f>'[3]5. Data'!C16</f>
        <v>Gasolina de aviación</v>
      </c>
      <c r="D16" s="6">
        <f>'[3]5. Data'!D16</f>
        <v>4.7615165047769556</v>
      </c>
      <c r="E16" s="7">
        <f>'[3]5. Data'!E16</f>
        <v>56.337812381502502</v>
      </c>
      <c r="J16" t="s">
        <v>0</v>
      </c>
      <c r="K16" t="s">
        <v>51</v>
      </c>
      <c r="L16" s="41">
        <v>0.29699999999999999</v>
      </c>
      <c r="O16" s="40">
        <v>0.3</v>
      </c>
      <c r="P16" s="40">
        <v>0.27</v>
      </c>
      <c r="Q16" s="40">
        <v>0.28999999999999998</v>
      </c>
      <c r="R16" s="40">
        <v>0.28000000000000003</v>
      </c>
    </row>
    <row r="17" spans="2:32" x14ac:dyDescent="0.25">
      <c r="B17" s="1" t="str">
        <f>'[3]5. Data'!B17</f>
        <v>RFG</v>
      </c>
      <c r="C17" s="8" t="str">
        <f>'[3]5. Data'!C17</f>
        <v>Refinery Gas</v>
      </c>
      <c r="D17" s="9">
        <f>'[3]5. Data'!D17</f>
        <v>4.1867999999999999</v>
      </c>
      <c r="E17" s="10">
        <f>'[3]5. Data'!E17</f>
        <v>40.784041574326501</v>
      </c>
      <c r="J17" s="12"/>
      <c r="K17">
        <v>2014</v>
      </c>
      <c r="L17">
        <v>2015</v>
      </c>
      <c r="M17">
        <v>2016</v>
      </c>
      <c r="N17" s="12">
        <v>2017</v>
      </c>
      <c r="O17" s="12">
        <v>2018</v>
      </c>
      <c r="P17" s="12">
        <v>2019</v>
      </c>
      <c r="Q17" s="12">
        <v>2020</v>
      </c>
      <c r="R17" s="12">
        <v>2021</v>
      </c>
      <c r="T17" t="s">
        <v>1</v>
      </c>
      <c r="U17" t="s">
        <v>2</v>
      </c>
      <c r="X17" s="2"/>
      <c r="Y17" s="42">
        <v>2018</v>
      </c>
      <c r="Z17" s="42">
        <v>2019</v>
      </c>
      <c r="AA17" s="42">
        <v>2020</v>
      </c>
      <c r="AB17" s="43">
        <v>2021</v>
      </c>
    </row>
    <row r="18" spans="2:32" x14ac:dyDescent="0.25">
      <c r="B18" s="13" t="str">
        <f>'[3]5. Data'!B18</f>
        <v>*Para todos, menos gas natural, las unidades son TJ/Mpc; PJ/kpc</v>
      </c>
      <c r="J18" s="12" t="s">
        <v>3</v>
      </c>
      <c r="K18">
        <v>1972</v>
      </c>
      <c r="L18">
        <v>2084</v>
      </c>
      <c r="M18">
        <v>1849</v>
      </c>
      <c r="N18" s="12">
        <v>1598</v>
      </c>
      <c r="O18" s="12">
        <v>1659</v>
      </c>
      <c r="P18" s="12">
        <v>1727</v>
      </c>
      <c r="Q18" s="12">
        <v>1893</v>
      </c>
      <c r="R18" s="12">
        <v>1770</v>
      </c>
      <c r="T18" s="11">
        <f>+AVERAGE(K18:P18)</f>
        <v>1814.8333333333333</v>
      </c>
      <c r="U18" s="11">
        <f>+AVERAGE(K18:R18)</f>
        <v>1819</v>
      </c>
      <c r="X18" s="5" t="s">
        <v>54</v>
      </c>
      <c r="Y18" s="38" cm="1">
        <f t="array" ref="Y18:AB18">+O24:R24</f>
        <v>1727</v>
      </c>
      <c r="Z18" s="38">
        <v>1893</v>
      </c>
      <c r="AA18" s="38">
        <v>1770.4</v>
      </c>
      <c r="AB18" s="44">
        <v>2001.5</v>
      </c>
      <c r="AE18" s="48"/>
    </row>
    <row r="19" spans="2:32" x14ac:dyDescent="0.25">
      <c r="J19" s="14" t="s">
        <v>4</v>
      </c>
      <c r="K19">
        <v>271</v>
      </c>
      <c r="L19">
        <v>-25</v>
      </c>
      <c r="M19">
        <v>-54</v>
      </c>
      <c r="N19">
        <v>174</v>
      </c>
      <c r="O19">
        <v>121</v>
      </c>
      <c r="P19">
        <v>83</v>
      </c>
      <c r="Q19">
        <v>-71.5</v>
      </c>
      <c r="R19">
        <v>315</v>
      </c>
      <c r="T19" s="11">
        <f t="shared" ref="T19:T24" si="1">+AVERAGE(K19:P19)</f>
        <v>95</v>
      </c>
      <c r="U19" s="11">
        <f t="shared" ref="U19:U24" si="2">+AVERAGE(K19:R19)</f>
        <v>101.6875</v>
      </c>
      <c r="X19" s="5" t="s">
        <v>52</v>
      </c>
      <c r="Y19" s="38">
        <f>+Y18-Y20</f>
        <v>1208.9000000000001</v>
      </c>
      <c r="Z19" s="38">
        <f t="shared" ref="Z19:AB19" si="3">+Z18-Z20</f>
        <v>1381.8899999999999</v>
      </c>
      <c r="AA19" s="38">
        <f t="shared" si="3"/>
        <v>1256.9840000000002</v>
      </c>
      <c r="AB19" s="44">
        <f t="shared" si="3"/>
        <v>1441.08</v>
      </c>
    </row>
    <row r="20" spans="2:32" x14ac:dyDescent="0.25">
      <c r="J20" s="14" t="s">
        <v>5</v>
      </c>
      <c r="K20">
        <v>34</v>
      </c>
      <c r="L20">
        <v>16</v>
      </c>
      <c r="M20">
        <v>11</v>
      </c>
      <c r="N20">
        <v>73</v>
      </c>
      <c r="O20">
        <v>129</v>
      </c>
      <c r="P20">
        <v>94</v>
      </c>
      <c r="Q20">
        <v>113</v>
      </c>
      <c r="R20">
        <v>139</v>
      </c>
      <c r="T20" s="11">
        <f t="shared" si="1"/>
        <v>59.5</v>
      </c>
      <c r="U20" s="11">
        <f t="shared" si="2"/>
        <v>76.125</v>
      </c>
      <c r="X20" s="8" t="s">
        <v>53</v>
      </c>
      <c r="Y20" s="45">
        <f>+Y18*O16</f>
        <v>518.1</v>
      </c>
      <c r="Z20" s="45">
        <f t="shared" ref="Z20:AB20" si="4">+Z18*P16</f>
        <v>511.11</v>
      </c>
      <c r="AA20" s="45">
        <f t="shared" si="4"/>
        <v>513.41599999999994</v>
      </c>
      <c r="AB20" s="46">
        <f t="shared" si="4"/>
        <v>560.42000000000007</v>
      </c>
    </row>
    <row r="21" spans="2:32" x14ac:dyDescent="0.25">
      <c r="B21" t="s">
        <v>6</v>
      </c>
      <c r="C21" s="15">
        <v>6117863200</v>
      </c>
      <c r="D21" t="s">
        <v>7</v>
      </c>
      <c r="J21" s="14" t="s">
        <v>8</v>
      </c>
      <c r="K21">
        <v>50</v>
      </c>
      <c r="L21">
        <v>24</v>
      </c>
      <c r="M21">
        <v>27</v>
      </c>
      <c r="N21">
        <v>4</v>
      </c>
      <c r="O21">
        <v>0</v>
      </c>
      <c r="P21">
        <v>164</v>
      </c>
      <c r="Q21">
        <v>43</v>
      </c>
      <c r="R21">
        <v>12</v>
      </c>
      <c r="T21" s="11">
        <f t="shared" si="1"/>
        <v>44.833333333333336</v>
      </c>
      <c r="U21" s="11">
        <f t="shared" si="2"/>
        <v>40.5</v>
      </c>
      <c r="X21" s="2" t="s">
        <v>55</v>
      </c>
      <c r="Y21" s="47"/>
      <c r="Z21" s="47"/>
      <c r="AA21" s="47"/>
      <c r="AB21" s="24">
        <v>1339</v>
      </c>
      <c r="AC21" t="s">
        <v>56</v>
      </c>
    </row>
    <row r="22" spans="2:32" x14ac:dyDescent="0.25">
      <c r="B22" t="s">
        <v>6</v>
      </c>
      <c r="C22" s="15">
        <f>+C21*1000/(1000000000000)</f>
        <v>6.1178632000000004</v>
      </c>
      <c r="D22" t="s">
        <v>9</v>
      </c>
      <c r="J22" t="s">
        <v>10</v>
      </c>
      <c r="K22">
        <v>0</v>
      </c>
      <c r="L22">
        <v>0</v>
      </c>
      <c r="M22">
        <v>0</v>
      </c>
      <c r="N22">
        <v>44</v>
      </c>
      <c r="O22">
        <v>57</v>
      </c>
      <c r="P22">
        <v>67</v>
      </c>
      <c r="Q22">
        <v>28.9</v>
      </c>
      <c r="R22">
        <v>-3.5</v>
      </c>
      <c r="T22" s="11">
        <f t="shared" si="1"/>
        <v>28</v>
      </c>
      <c r="U22" s="11">
        <f t="shared" si="2"/>
        <v>24.175000000000001</v>
      </c>
      <c r="X22" s="8" t="s">
        <v>57</v>
      </c>
      <c r="Y22" s="23"/>
      <c r="Z22" s="23"/>
      <c r="AA22" s="23"/>
      <c r="AB22" s="46">
        <f>(1840*(1000000000)/C23)/1000000</f>
        <v>317.24137931034483</v>
      </c>
      <c r="AC22" t="s">
        <v>58</v>
      </c>
    </row>
    <row r="23" spans="2:32" x14ac:dyDescent="0.25">
      <c r="C23">
        <v>5800</v>
      </c>
      <c r="D23" t="s">
        <v>11</v>
      </c>
      <c r="J23" t="s">
        <v>12</v>
      </c>
      <c r="K23">
        <v>-243</v>
      </c>
      <c r="L23">
        <v>-251</v>
      </c>
      <c r="M23">
        <v>-235</v>
      </c>
      <c r="N23">
        <v>-234</v>
      </c>
      <c r="O23">
        <v>-239</v>
      </c>
      <c r="P23">
        <v>-242</v>
      </c>
      <c r="Q23">
        <v>-236</v>
      </c>
      <c r="R23">
        <v>-231</v>
      </c>
      <c r="T23" s="11">
        <f t="shared" si="1"/>
        <v>-240.66666666666666</v>
      </c>
      <c r="U23" s="11">
        <f t="shared" si="2"/>
        <v>-238.875</v>
      </c>
    </row>
    <row r="24" spans="2:32" x14ac:dyDescent="0.25">
      <c r="K24" s="12">
        <f t="shared" ref="K24:M24" si="5">+SUM(K18:K23)</f>
        <v>2084</v>
      </c>
      <c r="L24" s="12">
        <f t="shared" si="5"/>
        <v>1848</v>
      </c>
      <c r="M24" s="12">
        <f t="shared" si="5"/>
        <v>1598</v>
      </c>
      <c r="N24" s="12">
        <f>+SUM(N18:N23)</f>
        <v>1659</v>
      </c>
      <c r="O24" s="12">
        <f t="shared" ref="O24:Q24" si="6">+SUM(O18:O23)</f>
        <v>1727</v>
      </c>
      <c r="P24" s="12">
        <f t="shared" si="6"/>
        <v>1893</v>
      </c>
      <c r="Q24" s="12">
        <f t="shared" si="6"/>
        <v>1770.4</v>
      </c>
      <c r="R24" s="12">
        <f>+SUM(R18:R23)</f>
        <v>2001.5</v>
      </c>
      <c r="T24" s="11">
        <f t="shared" si="1"/>
        <v>1801.5</v>
      </c>
      <c r="U24" s="11">
        <f t="shared" si="2"/>
        <v>1822.6125</v>
      </c>
      <c r="Y24">
        <v>2020</v>
      </c>
      <c r="Z24">
        <v>2021</v>
      </c>
      <c r="AE24" s="1" t="s">
        <v>49</v>
      </c>
    </row>
    <row r="25" spans="2:32" x14ac:dyDescent="0.25">
      <c r="X25" t="s">
        <v>59</v>
      </c>
      <c r="Y25">
        <v>1816</v>
      </c>
      <c r="Z25">
        <v>2039</v>
      </c>
      <c r="AE25">
        <v>1000</v>
      </c>
    </row>
    <row r="26" spans="2:32" x14ac:dyDescent="0.25">
      <c r="J26" t="s">
        <v>13</v>
      </c>
      <c r="K26" s="16">
        <f>-SUM(K19:K22)/K23</f>
        <v>1.4609053497942386</v>
      </c>
      <c r="L26" s="16">
        <f>-SUM(L19:L22)/L23</f>
        <v>5.9760956175298807E-2</v>
      </c>
      <c r="M26" s="16">
        <f t="shared" ref="M26" si="7">-SUM(M19:M22)/M23</f>
        <v>-6.8085106382978725E-2</v>
      </c>
      <c r="N26" s="16">
        <f>-SUM(N19:N22)/N23</f>
        <v>1.2606837606837606</v>
      </c>
      <c r="O26" s="16">
        <f t="shared" ref="O26:R26" si="8">-SUM(O19:O22)/O23</f>
        <v>1.2845188284518829</v>
      </c>
      <c r="P26" s="16">
        <f t="shared" si="8"/>
        <v>1.6859504132231404</v>
      </c>
      <c r="Q26" s="16">
        <f t="shared" si="8"/>
        <v>0.48050847457627122</v>
      </c>
      <c r="R26" s="16">
        <f t="shared" si="8"/>
        <v>2.002164502164502</v>
      </c>
      <c r="S26" s="16"/>
      <c r="T26" s="16">
        <f t="shared" ref="T26:U26" si="9">-SUM(T19:T22)/T23</f>
        <v>0.94459833795013859</v>
      </c>
      <c r="U26" s="16">
        <f t="shared" si="9"/>
        <v>1.0151229722658295</v>
      </c>
      <c r="X26" t="s">
        <v>60</v>
      </c>
      <c r="Y26">
        <v>2513</v>
      </c>
      <c r="Z26">
        <v>2821</v>
      </c>
      <c r="AB26" s="16">
        <f>+(Y26-$Y25)/$Y25</f>
        <v>0.38381057268722468</v>
      </c>
      <c r="AC26" s="16">
        <f>+(Z26-$Z25)/$Z25</f>
        <v>0.38352133398724864</v>
      </c>
    </row>
    <row r="27" spans="2:32" x14ac:dyDescent="0.25">
      <c r="J27" t="s">
        <v>14</v>
      </c>
      <c r="K27" s="16">
        <f t="shared" ref="K27:M27" si="10">-K19/K23</f>
        <v>1.1152263374485596</v>
      </c>
      <c r="L27" s="16">
        <f t="shared" si="10"/>
        <v>-9.9601593625498003E-2</v>
      </c>
      <c r="M27" s="16">
        <f t="shared" si="10"/>
        <v>-0.22978723404255319</v>
      </c>
      <c r="N27" s="16">
        <f>-N19/N23</f>
        <v>0.74358974358974361</v>
      </c>
      <c r="O27" s="16">
        <f t="shared" ref="O27:R27" si="11">-O19/O23</f>
        <v>0.50627615062761511</v>
      </c>
      <c r="P27" s="16">
        <f t="shared" si="11"/>
        <v>0.34297520661157027</v>
      </c>
      <c r="Q27" s="16">
        <f t="shared" si="11"/>
        <v>-0.30296610169491528</v>
      </c>
      <c r="R27" s="16">
        <f t="shared" si="11"/>
        <v>1.3636363636363635</v>
      </c>
      <c r="S27" s="16"/>
      <c r="T27" s="16">
        <f t="shared" ref="T27:U27" si="12">-T19/T23</f>
        <v>0.39473684210526316</v>
      </c>
      <c r="U27" s="16">
        <f t="shared" si="12"/>
        <v>0.42569335426478283</v>
      </c>
      <c r="X27" t="s">
        <v>61</v>
      </c>
      <c r="Y27">
        <v>3066</v>
      </c>
      <c r="Z27">
        <v>3462</v>
      </c>
      <c r="AB27" s="16">
        <f>+(Y27-$Y25)/$Y25</f>
        <v>0.68832599118942728</v>
      </c>
      <c r="AC27" s="16">
        <f>+(Z27-$Z25)/$Z25</f>
        <v>0.69789112309955859</v>
      </c>
      <c r="AE27" s="20">
        <f>+H5</f>
        <v>1640</v>
      </c>
      <c r="AF27">
        <f>+AE25*(100%+AB27)</f>
        <v>1688.3259911894272</v>
      </c>
    </row>
    <row r="28" spans="2:32" x14ac:dyDescent="0.25">
      <c r="J28" t="s">
        <v>15</v>
      </c>
      <c r="K28" s="16">
        <f t="shared" ref="K28:M28" si="13">-K20/K23</f>
        <v>0.13991769547325103</v>
      </c>
      <c r="L28" s="16">
        <f t="shared" si="13"/>
        <v>6.3745019920318724E-2</v>
      </c>
      <c r="M28" s="16">
        <f t="shared" si="13"/>
        <v>4.6808510638297871E-2</v>
      </c>
      <c r="N28" s="16">
        <f>-N20/N23</f>
        <v>0.31196581196581197</v>
      </c>
      <c r="O28" s="16">
        <f t="shared" ref="O28:R28" si="14">-O20/O23</f>
        <v>0.53974895397489542</v>
      </c>
      <c r="P28" s="16">
        <f t="shared" si="14"/>
        <v>0.38842975206611569</v>
      </c>
      <c r="Q28" s="16">
        <f t="shared" si="14"/>
        <v>0.4788135593220339</v>
      </c>
      <c r="R28" s="16">
        <f t="shared" si="14"/>
        <v>0.60173160173160178</v>
      </c>
      <c r="S28" s="16"/>
      <c r="T28" s="16">
        <f t="shared" ref="T28:U28" si="15">-T20/T23</f>
        <v>0.24722991689750692</v>
      </c>
      <c r="U28" s="16">
        <f t="shared" si="15"/>
        <v>0.31868131868131866</v>
      </c>
    </row>
    <row r="29" spans="2:32" x14ac:dyDescent="0.25">
      <c r="J29" t="s">
        <v>16</v>
      </c>
      <c r="K29" s="16">
        <f t="shared" ref="K29:M29" si="16">-K21/K23</f>
        <v>0.20576131687242799</v>
      </c>
      <c r="L29" s="16">
        <f t="shared" si="16"/>
        <v>9.5617529880478086E-2</v>
      </c>
      <c r="M29" s="16">
        <f t="shared" si="16"/>
        <v>0.1148936170212766</v>
      </c>
      <c r="N29" s="16">
        <f>-N21/N23</f>
        <v>1.7094017094017096E-2</v>
      </c>
      <c r="O29" s="16">
        <f t="shared" ref="O29:R29" si="17">-O21/O23</f>
        <v>0</v>
      </c>
      <c r="P29" s="16">
        <f t="shared" si="17"/>
        <v>0.6776859504132231</v>
      </c>
      <c r="Q29" s="16">
        <f t="shared" si="17"/>
        <v>0.18220338983050846</v>
      </c>
      <c r="R29" s="16">
        <f t="shared" si="17"/>
        <v>5.1948051948051951E-2</v>
      </c>
      <c r="S29" s="16"/>
      <c r="T29" s="16">
        <f t="shared" ref="T29:U29" si="18">-T21/T23</f>
        <v>0.18628808864265931</v>
      </c>
      <c r="U29" s="16">
        <f t="shared" si="18"/>
        <v>0.1695447409733124</v>
      </c>
    </row>
    <row r="30" spans="2:32" x14ac:dyDescent="0.25">
      <c r="J30" t="s">
        <v>17</v>
      </c>
      <c r="K30" s="16">
        <f t="shared" ref="K30:M30" si="19">-K22/K23</f>
        <v>0</v>
      </c>
      <c r="L30" s="16">
        <f t="shared" si="19"/>
        <v>0</v>
      </c>
      <c r="M30" s="16">
        <f t="shared" si="19"/>
        <v>0</v>
      </c>
      <c r="N30" s="16">
        <f>-N22/N23</f>
        <v>0.18803418803418803</v>
      </c>
      <c r="O30" s="16">
        <f t="shared" ref="O30:R30" si="20">-O22/O23</f>
        <v>0.2384937238493724</v>
      </c>
      <c r="P30" s="16">
        <f t="shared" si="20"/>
        <v>0.27685950413223143</v>
      </c>
      <c r="Q30" s="16">
        <f t="shared" si="20"/>
        <v>0.12245762711864407</v>
      </c>
      <c r="R30" s="16">
        <f t="shared" si="20"/>
        <v>-1.5151515151515152E-2</v>
      </c>
      <c r="S30" s="16"/>
      <c r="T30" s="16">
        <f t="shared" ref="T30:U30" si="21">-T22/T23</f>
        <v>0.11634349030470914</v>
      </c>
      <c r="U30" s="16">
        <f t="shared" si="21"/>
        <v>0.10120355834641549</v>
      </c>
      <c r="Y30">
        <v>2020</v>
      </c>
      <c r="Z30">
        <v>2021</v>
      </c>
    </row>
    <row r="31" spans="2:32" x14ac:dyDescent="0.25">
      <c r="X31" t="s">
        <v>59</v>
      </c>
      <c r="Y31">
        <v>2949</v>
      </c>
      <c r="Z31">
        <v>3164</v>
      </c>
    </row>
    <row r="32" spans="2:32" x14ac:dyDescent="0.25">
      <c r="X32" t="s">
        <v>60</v>
      </c>
      <c r="Y32">
        <v>3581</v>
      </c>
      <c r="Z32">
        <v>3852</v>
      </c>
      <c r="AB32" s="16">
        <f>+(Y32-$Y31)/$Y31</f>
        <v>0.21430993557138012</v>
      </c>
      <c r="AC32" s="16">
        <f>+(Z32-$Z31)/$Z31</f>
        <v>0.21744627054361568</v>
      </c>
    </row>
    <row r="33" spans="24:29" x14ac:dyDescent="0.25">
      <c r="X33" t="s">
        <v>61</v>
      </c>
      <c r="Y33">
        <v>4031</v>
      </c>
      <c r="Z33">
        <v>4493</v>
      </c>
      <c r="AB33" s="16">
        <f>+(Y33-$Y31)/$Y31</f>
        <v>0.36690403526619192</v>
      </c>
      <c r="AC33" s="16">
        <f>+(Z33-$Z31)/$Z31</f>
        <v>0.42003792667509482</v>
      </c>
    </row>
    <row r="54" spans="10:25" x14ac:dyDescent="0.25">
      <c r="R54" s="17" t="e">
        <f>+R57/(R57+S57)</f>
        <v>#DIV/0!</v>
      </c>
      <c r="S54" s="18" t="e">
        <f>100%-R54</f>
        <v>#DIV/0!</v>
      </c>
    </row>
    <row r="55" spans="10:25" x14ac:dyDescent="0.25">
      <c r="Q55" s="1"/>
      <c r="R55" s="19" t="s">
        <v>18</v>
      </c>
      <c r="S55" s="19"/>
    </row>
    <row r="56" spans="10:25" x14ac:dyDescent="0.25">
      <c r="J56" s="1"/>
      <c r="K56" s="1" t="s">
        <v>18</v>
      </c>
      <c r="L56" s="1" t="s">
        <v>19</v>
      </c>
      <c r="M56" t="s">
        <v>20</v>
      </c>
      <c r="N56" s="1" t="s">
        <v>21</v>
      </c>
      <c r="Q56" s="1"/>
      <c r="R56" s="19" t="s">
        <v>22</v>
      </c>
      <c r="S56" s="19" t="s">
        <v>23</v>
      </c>
    </row>
    <row r="57" spans="10:25" x14ac:dyDescent="0.25">
      <c r="J57" s="1" t="s">
        <v>24</v>
      </c>
      <c r="K57" s="20">
        <f>+SUM('[3]5. Data'!AB90:AB95)</f>
        <v>0</v>
      </c>
      <c r="Q57" s="1" t="s">
        <v>24</v>
      </c>
      <c r="R57" s="21">
        <f>+K57-S57</f>
        <v>0</v>
      </c>
      <c r="S57" s="21">
        <f>+SUMPRODUCT('[3]5. Data'!AB90:AB95,'[3]5. Data'!P90:P95)</f>
        <v>0</v>
      </c>
    </row>
    <row r="58" spans="10:25" x14ac:dyDescent="0.25">
      <c r="J58" s="1" t="s">
        <v>25</v>
      </c>
      <c r="K58" s="20">
        <f>+(K57*1000/$C$22)/1000</f>
        <v>0</v>
      </c>
      <c r="L58" s="1">
        <v>2037</v>
      </c>
      <c r="M58" s="1">
        <v>2037</v>
      </c>
      <c r="Q58" t="s">
        <v>24</v>
      </c>
      <c r="R58" s="20">
        <f>+(R57*1000/$C$22)/1000</f>
        <v>0</v>
      </c>
    </row>
    <row r="62" spans="10:25" x14ac:dyDescent="0.25">
      <c r="Q62" t="s">
        <v>26</v>
      </c>
      <c r="V62" t="s">
        <v>27</v>
      </c>
    </row>
    <row r="63" spans="10:25" x14ac:dyDescent="0.25">
      <c r="R63" t="s">
        <v>30</v>
      </c>
      <c r="S63" t="s">
        <v>31</v>
      </c>
      <c r="T63" t="s">
        <v>32</v>
      </c>
      <c r="W63" t="s">
        <v>30</v>
      </c>
      <c r="X63" t="s">
        <v>31</v>
      </c>
      <c r="Y63" t="s">
        <v>32</v>
      </c>
    </row>
    <row r="64" spans="10:25" x14ac:dyDescent="0.25">
      <c r="Q64" t="s">
        <v>34</v>
      </c>
      <c r="R64">
        <v>2234</v>
      </c>
      <c r="S64">
        <v>322</v>
      </c>
      <c r="T64">
        <v>16</v>
      </c>
      <c r="V64" t="s">
        <v>34</v>
      </c>
      <c r="W64" s="11">
        <f>+R64*1000*$D$7/1000</f>
        <v>2255.3511069487508</v>
      </c>
      <c r="X64" s="11">
        <f t="shared" ref="X64:Y68" si="22">+S64*1000*$D$7/1000</f>
        <v>325.07746483325769</v>
      </c>
      <c r="Y64" s="11">
        <f t="shared" si="22"/>
        <v>16.15291750724262</v>
      </c>
    </row>
    <row r="65" spans="10:25" x14ac:dyDescent="0.25">
      <c r="Q65" t="s">
        <v>36</v>
      </c>
      <c r="R65">
        <v>508</v>
      </c>
      <c r="S65">
        <v>233</v>
      </c>
      <c r="T65">
        <v>229</v>
      </c>
      <c r="V65" t="s">
        <v>36</v>
      </c>
      <c r="W65" s="11">
        <f t="shared" ref="W65:W68" si="23">+R65*1000*$D$7/1000</f>
        <v>512.85513085495325</v>
      </c>
      <c r="X65" s="11">
        <f t="shared" si="22"/>
        <v>235.22686119922065</v>
      </c>
      <c r="Y65" s="11">
        <f t="shared" si="22"/>
        <v>231.18863182241</v>
      </c>
    </row>
    <row r="66" spans="10:25" x14ac:dyDescent="0.25">
      <c r="Q66" t="s">
        <v>38</v>
      </c>
      <c r="R66">
        <v>584</v>
      </c>
      <c r="S66">
        <v>0</v>
      </c>
      <c r="T66">
        <v>22</v>
      </c>
      <c r="V66" t="s">
        <v>38</v>
      </c>
      <c r="W66" s="11">
        <f t="shared" si="23"/>
        <v>589.58148901435561</v>
      </c>
      <c r="X66" s="11">
        <f t="shared" si="22"/>
        <v>0</v>
      </c>
      <c r="Y66" s="11">
        <f t="shared" si="22"/>
        <v>22.210261572458602</v>
      </c>
    </row>
    <row r="67" spans="10:25" x14ac:dyDescent="0.25">
      <c r="Q67" t="s">
        <v>40</v>
      </c>
      <c r="R67">
        <v>226</v>
      </c>
      <c r="S67">
        <v>115</v>
      </c>
      <c r="T67">
        <v>73</v>
      </c>
      <c r="V67" t="s">
        <v>40</v>
      </c>
      <c r="W67" s="11">
        <f t="shared" si="23"/>
        <v>228.159959789802</v>
      </c>
      <c r="X67" s="11">
        <f t="shared" si="22"/>
        <v>116.09909458330633</v>
      </c>
      <c r="Y67" s="11">
        <f t="shared" si="22"/>
        <v>73.697686126794451</v>
      </c>
    </row>
    <row r="68" spans="10:25" x14ac:dyDescent="0.25">
      <c r="Q68" t="s">
        <v>42</v>
      </c>
      <c r="R68">
        <v>168</v>
      </c>
      <c r="S68">
        <v>85</v>
      </c>
      <c r="T68">
        <v>56</v>
      </c>
      <c r="V68" t="s">
        <v>42</v>
      </c>
      <c r="W68" s="11">
        <f t="shared" si="23"/>
        <v>169.60563382604749</v>
      </c>
      <c r="X68" s="11">
        <f t="shared" si="22"/>
        <v>85.812374257226423</v>
      </c>
      <c r="Y68" s="11">
        <f t="shared" si="22"/>
        <v>56.53521127534917</v>
      </c>
    </row>
    <row r="70" spans="10:25" x14ac:dyDescent="0.25">
      <c r="J70" t="s">
        <v>43</v>
      </c>
      <c r="K70">
        <f>357.74+504.38</f>
        <v>862.12</v>
      </c>
      <c r="W70" s="11">
        <f>+SUM(W64:W68)</f>
        <v>3755.553320433909</v>
      </c>
      <c r="X70" s="11">
        <f t="shared" ref="X70:Y70" si="24">+SUM(X64:X68)</f>
        <v>762.21579487301108</v>
      </c>
      <c r="Y70" s="11">
        <f t="shared" si="24"/>
        <v>399.78470830425488</v>
      </c>
    </row>
    <row r="71" spans="10:25" x14ac:dyDescent="0.25">
      <c r="J71" t="s">
        <v>44</v>
      </c>
      <c r="K71">
        <f>60.26+97.48</f>
        <v>157.74</v>
      </c>
    </row>
    <row r="72" spans="10:25" x14ac:dyDescent="0.25">
      <c r="J72" t="s">
        <v>45</v>
      </c>
      <c r="K72">
        <v>284</v>
      </c>
    </row>
    <row r="73" spans="10:25" x14ac:dyDescent="0.25">
      <c r="J73" t="s">
        <v>46</v>
      </c>
      <c r="K73">
        <v>7.45</v>
      </c>
    </row>
    <row r="75" spans="10:25" x14ac:dyDescent="0.25">
      <c r="K75">
        <f>+K71+K70</f>
        <v>1019.86</v>
      </c>
      <c r="T75" s="22"/>
    </row>
    <row r="76" spans="10:25" x14ac:dyDescent="0.25">
      <c r="T76" s="22"/>
    </row>
    <row r="77" spans="10:25" x14ac:dyDescent="0.25">
      <c r="T77" s="22"/>
    </row>
    <row r="78" spans="10:25" x14ac:dyDescent="0.25">
      <c r="J78" t="s">
        <v>21</v>
      </c>
      <c r="K78">
        <v>2018</v>
      </c>
      <c r="L78">
        <v>2019</v>
      </c>
      <c r="M78">
        <v>2020</v>
      </c>
      <c r="N78">
        <v>2021</v>
      </c>
    </row>
    <row r="79" spans="10:25" x14ac:dyDescent="0.25">
      <c r="J79" t="s">
        <v>47</v>
      </c>
      <c r="K79">
        <v>1727</v>
      </c>
      <c r="L79">
        <v>1891</v>
      </c>
      <c r="M79">
        <v>1770</v>
      </c>
      <c r="N79">
        <v>2002</v>
      </c>
    </row>
  </sheetData>
  <mergeCells count="2">
    <mergeCell ref="J3:L3"/>
    <mergeCell ref="M3:O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1453-1AD3-4769-BBC3-FC9356E2E9D9}">
  <dimension ref="A4:Y158"/>
  <sheetViews>
    <sheetView showGridLines="0" topLeftCell="A7" zoomScale="85" zoomScaleNormal="85" workbookViewId="0">
      <selection activeCell="K21" sqref="K21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2" t="s">
        <v>127</v>
      </c>
      <c r="J8" s="112"/>
      <c r="K8" s="112"/>
      <c r="L8" s="112"/>
      <c r="M8" s="112"/>
      <c r="N8" s="112"/>
      <c r="S8" s="112" t="s">
        <v>128</v>
      </c>
      <c r="T8" s="112"/>
      <c r="U8" s="112"/>
      <c r="V8" s="112"/>
      <c r="W8" s="112"/>
      <c r="X8" s="112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4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4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4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4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4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4"/>
      <c r="R12" t="s">
        <v>32</v>
      </c>
      <c r="S12" s="8"/>
      <c r="T12" s="23">
        <v>553</v>
      </c>
      <c r="U12" s="61">
        <v>641</v>
      </c>
      <c r="V12" s="66"/>
      <c r="W12" s="66">
        <f t="shared" ref="W12" si="2">+T12/T10</f>
        <v>0.30451541850220265</v>
      </c>
      <c r="X12" s="66">
        <f t="shared" ref="X12" si="3">+U12/U10</f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4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4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4"/>
      <c r="H14" t="s">
        <v>30</v>
      </c>
      <c r="I14" s="81">
        <f t="shared" ref="I14:K16" si="4">+I10*$J$6</f>
        <v>3003.7020000000002</v>
      </c>
      <c r="J14" s="38">
        <f t="shared" si="4"/>
        <v>2341.5060000000003</v>
      </c>
      <c r="K14" s="44">
        <f t="shared" si="4"/>
        <v>2512.2160000000003</v>
      </c>
      <c r="L14" s="64">
        <v>1</v>
      </c>
      <c r="M14" s="64">
        <v>1</v>
      </c>
      <c r="N14" s="64">
        <v>1</v>
      </c>
      <c r="Q14" s="114"/>
      <c r="R14" t="s">
        <v>30</v>
      </c>
      <c r="S14" s="5"/>
      <c r="T14" s="38">
        <f t="shared" ref="T14:U16" si="5">+T10*$T$6</f>
        <v>1198.56</v>
      </c>
      <c r="U14" s="44">
        <f t="shared" si="5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4"/>
      <c r="H15" t="s">
        <v>31</v>
      </c>
      <c r="I15" s="81">
        <f t="shared" si="4"/>
        <v>628.05400000000009</v>
      </c>
      <c r="J15" s="38">
        <f t="shared" si="4"/>
        <v>501.80800000000005</v>
      </c>
      <c r="K15" s="44">
        <f t="shared" si="4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4"/>
      <c r="R15" t="s">
        <v>31</v>
      </c>
      <c r="S15" s="5"/>
      <c r="T15" s="38">
        <f t="shared" si="5"/>
        <v>460.02000000000004</v>
      </c>
      <c r="U15" s="44">
        <f t="shared" si="5"/>
        <v>516.12</v>
      </c>
      <c r="V15" s="65"/>
      <c r="W15" s="65">
        <f>+T15/T14</f>
        <v>0.38381057268722474</v>
      </c>
      <c r="X15" s="65">
        <f t="shared" ref="X15" si="6">+U15/U14</f>
        <v>0.38352133398724864</v>
      </c>
      <c r="Y15" s="40">
        <f t="shared" ref="Y15:Y16" si="7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4"/>
        <v>325.54000000000002</v>
      </c>
      <c r="J16" s="45">
        <f t="shared" si="4"/>
        <v>357.3</v>
      </c>
      <c r="K16" s="46">
        <f t="shared" si="4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5"/>
        <v>364.98</v>
      </c>
      <c r="U16" s="46">
        <f t="shared" si="5"/>
        <v>423.06</v>
      </c>
      <c r="V16" s="66"/>
      <c r="W16" s="66">
        <f t="shared" ref="W16" si="8">+T16/T14</f>
        <v>0.30451541850220265</v>
      </c>
      <c r="X16" s="66">
        <f t="shared" ref="X16" si="9">+U16/U14</f>
        <v>0.31436978911230995</v>
      </c>
      <c r="Y16" s="40">
        <f t="shared" si="7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10">+L21*$C$7</f>
        <v>108.02263582968502</v>
      </c>
      <c r="L21" s="94">
        <f>+J41+J43</f>
        <v>107</v>
      </c>
      <c r="M21" s="99">
        <f t="shared" ref="M21:M27" si="11">+I21+K21</f>
        <v>374.76147134968505</v>
      </c>
      <c r="N21" s="99">
        <f>+J21+L21</f>
        <v>371.21365467918736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2">+(I22*1000/$C$7)/1000</f>
        <v>1489.5699899567956</v>
      </c>
      <c r="K22" s="98">
        <f t="shared" si="10"/>
        <v>325.07746483325775</v>
      </c>
      <c r="L22" s="94">
        <f>+J39</f>
        <v>322</v>
      </c>
      <c r="M22" s="99">
        <f t="shared" si="11"/>
        <v>1828.8837878980289</v>
      </c>
      <c r="N22" s="99">
        <f t="shared" ref="N22:N27" si="13">+J22+L22</f>
        <v>1811.5699899567956</v>
      </c>
    </row>
    <row r="23" spans="1:17" x14ac:dyDescent="0.25">
      <c r="H23" s="71" t="s">
        <v>106</v>
      </c>
      <c r="I23" s="86">
        <v>18.33691809886869</v>
      </c>
      <c r="J23" s="86">
        <f t="shared" si="12"/>
        <v>18.163324950452385</v>
      </c>
      <c r="K23" s="98">
        <f t="shared" si="10"/>
        <v>0</v>
      </c>
      <c r="L23" s="94">
        <v>0</v>
      </c>
      <c r="M23" s="99">
        <f t="shared" si="11"/>
        <v>18.33691809886869</v>
      </c>
      <c r="N23" s="99">
        <f t="shared" si="13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2"/>
        <v>10.016252198105461</v>
      </c>
      <c r="K24" s="98">
        <f t="shared" si="10"/>
        <v>0</v>
      </c>
      <c r="L24" s="94">
        <v>0</v>
      </c>
      <c r="M24" s="99">
        <f t="shared" si="11"/>
        <v>10.111980967983444</v>
      </c>
      <c r="N24" s="99">
        <f t="shared" si="13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2"/>
        <v>30.416739386827579</v>
      </c>
      <c r="K25" s="98">
        <f t="shared" si="10"/>
        <v>116.09909458330633</v>
      </c>
      <c r="L25" s="94">
        <f>+J42</f>
        <v>115</v>
      </c>
      <c r="M25" s="99">
        <f t="shared" si="11"/>
        <v>146.80653721797654</v>
      </c>
      <c r="N25" s="99">
        <f t="shared" si="13"/>
        <v>145.41673938682757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0"/>
        <v>0</v>
      </c>
      <c r="L26" s="94">
        <f>+J44</f>
        <v>0</v>
      </c>
      <c r="M26" s="99">
        <f t="shared" si="11"/>
        <v>13.932585988360662</v>
      </c>
      <c r="N26" s="99">
        <f t="shared" si="13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2"/>
        <v>155.41110039157945</v>
      </c>
      <c r="K27" s="98">
        <f t="shared" si="10"/>
        <v>225.131287757194</v>
      </c>
      <c r="L27" s="94">
        <f>+J40</f>
        <v>223</v>
      </c>
      <c r="M27" s="99">
        <f t="shared" si="11"/>
        <v>382.02770552813047</v>
      </c>
      <c r="N27" s="99">
        <f t="shared" si="13"/>
        <v>378.41110039157945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10"/>
        <v>774.33048300344308</v>
      </c>
      <c r="L28" s="21">
        <f>+SUM(L21:L27)</f>
        <v>767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3" t="s">
        <v>117</v>
      </c>
      <c r="I37" s="113"/>
      <c r="J37" s="113"/>
      <c r="K37" s="113"/>
      <c r="L37" s="113"/>
      <c r="M37" s="113"/>
      <c r="N37" s="113"/>
      <c r="O37" s="113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4">+SUM(J39:J48)</f>
        <v>791</v>
      </c>
      <c r="K49" s="1">
        <f t="shared" si="14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1" t="s">
        <v>130</v>
      </c>
      <c r="U60" s="111"/>
      <c r="V60" s="111"/>
      <c r="W60" s="111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5">+I21+V48</f>
        <v>266.73883552000007</v>
      </c>
      <c r="S62" s="87">
        <f t="shared" ref="S62:S68" si="16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5"/>
        <v>2135.7396415784524</v>
      </c>
      <c r="S63" s="87">
        <f t="shared" si="16"/>
        <v>0.70411500249785086</v>
      </c>
      <c r="T63" s="86">
        <v>631.93331851368123</v>
      </c>
      <c r="U63" s="86">
        <v>1503.806323064771</v>
      </c>
      <c r="V63" s="20">
        <f t="shared" ref="V63:V68" si="17">+U63+T63</f>
        <v>2135.7396415784524</v>
      </c>
      <c r="W63" s="87">
        <f t="shared" ref="W63:W68" si="18">+U63/V63</f>
        <v>0.70411500249785086</v>
      </c>
    </row>
    <row r="64" spans="1:24" x14ac:dyDescent="0.25">
      <c r="R64" s="20">
        <f t="shared" si="15"/>
        <v>6496.7121983715815</v>
      </c>
      <c r="S64" s="87">
        <f t="shared" si="16"/>
        <v>2.8224919834781794E-3</v>
      </c>
      <c r="T64" s="86">
        <v>6478.3752802727131</v>
      </c>
      <c r="U64" s="86">
        <v>18.33691809886869</v>
      </c>
      <c r="V64" s="20">
        <f t="shared" si="17"/>
        <v>6496.7121983715815</v>
      </c>
      <c r="W64" s="87">
        <f t="shared" si="18"/>
        <v>2.8224919834781794E-3</v>
      </c>
    </row>
    <row r="65" spans="1:23" x14ac:dyDescent="0.25">
      <c r="R65" s="20">
        <f t="shared" si="15"/>
        <v>44.660401360000002</v>
      </c>
      <c r="S65" s="87">
        <f t="shared" si="16"/>
        <v>0.2264193930205074</v>
      </c>
      <c r="T65" s="86">
        <v>34.54842039201656</v>
      </c>
      <c r="U65" s="86">
        <v>10.111980967983444</v>
      </c>
      <c r="V65" s="20">
        <f t="shared" si="17"/>
        <v>44.660401360000002</v>
      </c>
      <c r="W65" s="87">
        <f t="shared" si="18"/>
        <v>0.2264193930205074</v>
      </c>
    </row>
    <row r="66" spans="1:23" x14ac:dyDescent="0.25">
      <c r="A66" s="67"/>
      <c r="B66" s="67"/>
      <c r="C66" s="67"/>
      <c r="D66" s="67"/>
      <c r="R66" s="20">
        <f t="shared" si="15"/>
        <v>1058.6607668001971</v>
      </c>
      <c r="S66" s="87">
        <f t="shared" si="16"/>
        <v>2.9005932398423979E-2</v>
      </c>
      <c r="T66" s="86">
        <v>1027.9533241655267</v>
      </c>
      <c r="U66" s="86">
        <v>30.707442634670208</v>
      </c>
      <c r="V66" s="20">
        <f t="shared" si="17"/>
        <v>1058.6607668001971</v>
      </c>
      <c r="W66" s="87">
        <f t="shared" si="18"/>
        <v>2.9005932398423979E-2</v>
      </c>
    </row>
    <row r="67" spans="1:23" x14ac:dyDescent="0.25">
      <c r="R67" s="20">
        <f t="shared" si="15"/>
        <v>283.33235609852005</v>
      </c>
      <c r="S67" s="87">
        <f t="shared" si="16"/>
        <v>4.9174002504380532E-2</v>
      </c>
      <c r="T67" s="86">
        <v>269.39977011015941</v>
      </c>
      <c r="U67" s="86">
        <v>13.932585988360662</v>
      </c>
      <c r="V67" s="20">
        <f t="shared" si="17"/>
        <v>283.33235609852005</v>
      </c>
      <c r="W67" s="87">
        <f t="shared" si="18"/>
        <v>4.9174002504380532E-2</v>
      </c>
    </row>
    <row r="68" spans="1:23" x14ac:dyDescent="0.25">
      <c r="R68" s="20">
        <f t="shared" si="15"/>
        <v>157.75252398843665</v>
      </c>
      <c r="S68" s="87">
        <f t="shared" si="16"/>
        <v>0.99457310605335925</v>
      </c>
      <c r="T68" s="86">
        <v>0.85610621750016469</v>
      </c>
      <c r="U68" s="86">
        <v>156.89641777093649</v>
      </c>
      <c r="V68" s="20">
        <f t="shared" si="17"/>
        <v>157.75252398843665</v>
      </c>
      <c r="W68" s="87">
        <f t="shared" si="18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T60:W60"/>
    <mergeCell ref="I8:N8"/>
    <mergeCell ref="H37:O37"/>
    <mergeCell ref="S8:X8"/>
    <mergeCell ref="G10:G12"/>
    <mergeCell ref="G13:G15"/>
    <mergeCell ref="Q10:Q12"/>
    <mergeCell ref="Q13:Q15"/>
  </mergeCells>
  <conditionalFormatting sqref="H21">
    <cfRule type="containsBlanks" dxfId="1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7D49-BB67-4913-90AC-B7412F6FC7C0}">
  <sheetPr>
    <tabColor rgb="FF92D050"/>
  </sheetPr>
  <dimension ref="A4:Y158"/>
  <sheetViews>
    <sheetView showGridLines="0" topLeftCell="B7" zoomScale="85" zoomScaleNormal="85" workbookViewId="0">
      <selection activeCell="K21" sqref="K21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2" t="s">
        <v>127</v>
      </c>
      <c r="J8" s="112"/>
      <c r="K8" s="112"/>
      <c r="L8" s="112"/>
      <c r="M8" s="112"/>
      <c r="N8" s="112"/>
      <c r="S8" s="112" t="s">
        <v>128</v>
      </c>
      <c r="T8" s="112"/>
      <c r="U8" s="112"/>
      <c r="V8" s="112"/>
      <c r="W8" s="112"/>
      <c r="X8" s="112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4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4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4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4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4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4"/>
      <c r="R12" t="s">
        <v>32</v>
      </c>
      <c r="S12" s="8"/>
      <c r="T12" s="23">
        <v>553</v>
      </c>
      <c r="U12" s="61">
        <v>641</v>
      </c>
      <c r="V12" s="66"/>
      <c r="W12" s="66">
        <f t="shared" ref="W12:X12" si="2">+T12/T10</f>
        <v>0.30451541850220265</v>
      </c>
      <c r="X12" s="66">
        <f t="shared" si="2"/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4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4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4"/>
      <c r="H14" t="s">
        <v>30</v>
      </c>
      <c r="I14" s="81">
        <f t="shared" ref="I14:K16" si="3">+I10*$J$6</f>
        <v>3003.7020000000002</v>
      </c>
      <c r="J14" s="38">
        <f t="shared" si="3"/>
        <v>2341.5060000000003</v>
      </c>
      <c r="K14" s="44">
        <f t="shared" si="3"/>
        <v>2512.2160000000003</v>
      </c>
      <c r="L14" s="64">
        <v>1</v>
      </c>
      <c r="M14" s="64">
        <v>1</v>
      </c>
      <c r="N14" s="64">
        <v>1</v>
      </c>
      <c r="Q14" s="114"/>
      <c r="R14" t="s">
        <v>30</v>
      </c>
      <c r="S14" s="5"/>
      <c r="T14" s="38">
        <f t="shared" ref="T14:U16" si="4">+T10*$T$6</f>
        <v>1198.56</v>
      </c>
      <c r="U14" s="44">
        <f t="shared" si="4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4"/>
      <c r="H15" t="s">
        <v>31</v>
      </c>
      <c r="I15" s="81">
        <f t="shared" si="3"/>
        <v>628.05400000000009</v>
      </c>
      <c r="J15" s="38">
        <f t="shared" si="3"/>
        <v>501.80800000000005</v>
      </c>
      <c r="K15" s="44">
        <f t="shared" si="3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4"/>
      <c r="R15" t="s">
        <v>31</v>
      </c>
      <c r="S15" s="5"/>
      <c r="T15" s="38">
        <f t="shared" si="4"/>
        <v>460.02000000000004</v>
      </c>
      <c r="U15" s="44">
        <f t="shared" si="4"/>
        <v>516.12</v>
      </c>
      <c r="V15" s="65"/>
      <c r="W15" s="65">
        <f>+T15/T14</f>
        <v>0.38381057268722474</v>
      </c>
      <c r="X15" s="65">
        <f t="shared" ref="X15" si="5">+U15/U14</f>
        <v>0.38352133398724864</v>
      </c>
      <c r="Y15" s="40">
        <f t="shared" ref="Y15:Y16" si="6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3"/>
        <v>325.54000000000002</v>
      </c>
      <c r="J16" s="45">
        <f t="shared" si="3"/>
        <v>357.3</v>
      </c>
      <c r="K16" s="46">
        <f t="shared" si="3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4"/>
        <v>364.98</v>
      </c>
      <c r="U16" s="46">
        <f t="shared" si="4"/>
        <v>423.06</v>
      </c>
      <c r="V16" s="66"/>
      <c r="W16" s="66">
        <f t="shared" ref="W16" si="7">+T16/T14</f>
        <v>0.30451541850220265</v>
      </c>
      <c r="X16" s="66">
        <f t="shared" ref="X16" si="8">+U16/U14</f>
        <v>0.31436978911230995</v>
      </c>
      <c r="Y16" s="40">
        <f t="shared" si="6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179</v>
      </c>
      <c r="L20" s="93" t="s">
        <v>179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>+L21*$C$7</f>
        <v>78.745472847807775</v>
      </c>
      <c r="L21" s="94">
        <f>+K41+K43</f>
        <v>78</v>
      </c>
      <c r="M21" s="99">
        <f t="shared" ref="M21:N27" si="9">+I21+K21</f>
        <v>345.48430836780784</v>
      </c>
      <c r="N21" s="99">
        <f>+J21+L21</f>
        <v>342.21365467918736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0">+(I22*1000/$C$7)/1000</f>
        <v>1489.5699899567956</v>
      </c>
      <c r="K22" s="98">
        <f t="shared" ref="K22:K28" si="11">+L22*$C$7</f>
        <v>16.15291750724262</v>
      </c>
      <c r="L22" s="94">
        <f>+K39</f>
        <v>16</v>
      </c>
      <c r="M22" s="99">
        <f t="shared" si="9"/>
        <v>1519.9592405720136</v>
      </c>
      <c r="N22" s="99">
        <f t="shared" si="9"/>
        <v>1505.5699899567956</v>
      </c>
    </row>
    <row r="23" spans="1:17" x14ac:dyDescent="0.25">
      <c r="H23" s="71" t="s">
        <v>106</v>
      </c>
      <c r="I23" s="86">
        <v>18.33691809886869</v>
      </c>
      <c r="J23" s="86">
        <f t="shared" si="10"/>
        <v>18.163324950452385</v>
      </c>
      <c r="K23" s="98">
        <f t="shared" si="11"/>
        <v>0</v>
      </c>
      <c r="L23" s="94">
        <v>0</v>
      </c>
      <c r="M23" s="99">
        <f t="shared" si="9"/>
        <v>18.33691809886869</v>
      </c>
      <c r="N23" s="99">
        <f t="shared" si="9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0"/>
        <v>10.016252198105461</v>
      </c>
      <c r="K24" s="98">
        <f t="shared" si="11"/>
        <v>0</v>
      </c>
      <c r="L24" s="94">
        <v>0</v>
      </c>
      <c r="M24" s="99">
        <f t="shared" si="9"/>
        <v>10.111980967983444</v>
      </c>
      <c r="N24" s="99">
        <f t="shared" si="9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0"/>
        <v>30.416739386827579</v>
      </c>
      <c r="K25" s="98">
        <f t="shared" si="11"/>
        <v>73.697686126794451</v>
      </c>
      <c r="L25" s="94">
        <f>+K42</f>
        <v>73</v>
      </c>
      <c r="M25" s="99">
        <f t="shared" si="9"/>
        <v>104.40512876146465</v>
      </c>
      <c r="N25" s="99">
        <f t="shared" si="9"/>
        <v>103.41673938682757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1"/>
        <v>0</v>
      </c>
      <c r="L26" s="94">
        <f>+K44</f>
        <v>0</v>
      </c>
      <c r="M26" s="99">
        <f t="shared" si="9"/>
        <v>13.932585988360662</v>
      </c>
      <c r="N26" s="99">
        <f t="shared" si="9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0"/>
        <v>155.41110039157945</v>
      </c>
      <c r="K27" s="98">
        <f t="shared" si="11"/>
        <v>231.18863182241</v>
      </c>
      <c r="L27" s="94">
        <f>+K40</f>
        <v>229</v>
      </c>
      <c r="M27" s="99">
        <f t="shared" si="9"/>
        <v>388.08504959334653</v>
      </c>
      <c r="N27" s="99">
        <f t="shared" si="9"/>
        <v>384.41110039157945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11"/>
        <v>399.78470830425482</v>
      </c>
      <c r="L28" s="21">
        <f>+SUM(L21:L27)</f>
        <v>396</v>
      </c>
      <c r="M28" s="38">
        <f>+SUM(M21:M27)</f>
        <v>2400.3152123498453</v>
      </c>
      <c r="N28" s="38">
        <f>+SUM(N21:N27)</f>
        <v>2377.5917496252632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3" t="s">
        <v>117</v>
      </c>
      <c r="I37" s="113"/>
      <c r="J37" s="113"/>
      <c r="K37" s="113"/>
      <c r="L37" s="113"/>
      <c r="M37" s="113"/>
      <c r="N37" s="113"/>
      <c r="O37" s="113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2">+SUM(J39:J48)</f>
        <v>791</v>
      </c>
      <c r="K49" s="1">
        <f t="shared" si="12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1" t="s">
        <v>130</v>
      </c>
      <c r="U60" s="111"/>
      <c r="V60" s="111"/>
      <c r="W60" s="111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3">+I21+V48</f>
        <v>266.73883552000007</v>
      </c>
      <c r="S62" s="87">
        <f t="shared" ref="S62:S68" si="14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3"/>
        <v>2135.7396415784524</v>
      </c>
      <c r="S63" s="87">
        <f t="shared" si="14"/>
        <v>0.70411500249785086</v>
      </c>
      <c r="T63" s="86">
        <v>631.93331851368123</v>
      </c>
      <c r="U63" s="86">
        <v>1503.806323064771</v>
      </c>
      <c r="V63" s="20">
        <f t="shared" ref="V63:V68" si="15">+U63+T63</f>
        <v>2135.7396415784524</v>
      </c>
      <c r="W63" s="87">
        <f t="shared" ref="W63:W68" si="16">+U63/V63</f>
        <v>0.70411500249785086</v>
      </c>
    </row>
    <row r="64" spans="1:24" x14ac:dyDescent="0.25">
      <c r="R64" s="20">
        <f t="shared" si="13"/>
        <v>6496.7121983715815</v>
      </c>
      <c r="S64" s="87">
        <f t="shared" si="14"/>
        <v>2.8224919834781794E-3</v>
      </c>
      <c r="T64" s="86">
        <v>6478.3752802727131</v>
      </c>
      <c r="U64" s="86">
        <v>18.33691809886869</v>
      </c>
      <c r="V64" s="20">
        <f t="shared" si="15"/>
        <v>6496.7121983715815</v>
      </c>
      <c r="W64" s="87">
        <f t="shared" si="16"/>
        <v>2.8224919834781794E-3</v>
      </c>
    </row>
    <row r="65" spans="1:23" x14ac:dyDescent="0.25">
      <c r="R65" s="20">
        <f t="shared" si="13"/>
        <v>44.660401360000002</v>
      </c>
      <c r="S65" s="87">
        <f t="shared" si="14"/>
        <v>0.2264193930205074</v>
      </c>
      <c r="T65" s="86">
        <v>34.54842039201656</v>
      </c>
      <c r="U65" s="86">
        <v>10.111980967983444</v>
      </c>
      <c r="V65" s="20">
        <f t="shared" si="15"/>
        <v>44.660401360000002</v>
      </c>
      <c r="W65" s="87">
        <f t="shared" si="16"/>
        <v>0.2264193930205074</v>
      </c>
    </row>
    <row r="66" spans="1:23" x14ac:dyDescent="0.25">
      <c r="A66" s="67"/>
      <c r="B66" s="67"/>
      <c r="C66" s="67"/>
      <c r="D66" s="67"/>
      <c r="R66" s="20">
        <f t="shared" si="13"/>
        <v>1058.6607668001971</v>
      </c>
      <c r="S66" s="87">
        <f t="shared" si="14"/>
        <v>2.9005932398423979E-2</v>
      </c>
      <c r="T66" s="86">
        <v>1027.9533241655267</v>
      </c>
      <c r="U66" s="86">
        <v>30.707442634670208</v>
      </c>
      <c r="V66" s="20">
        <f t="shared" si="15"/>
        <v>1058.6607668001971</v>
      </c>
      <c r="W66" s="87">
        <f t="shared" si="16"/>
        <v>2.9005932398423979E-2</v>
      </c>
    </row>
    <row r="67" spans="1:23" x14ac:dyDescent="0.25">
      <c r="R67" s="20">
        <f t="shared" si="13"/>
        <v>283.33235609852005</v>
      </c>
      <c r="S67" s="87">
        <f t="shared" si="14"/>
        <v>4.9174002504380532E-2</v>
      </c>
      <c r="T67" s="86">
        <v>269.39977011015941</v>
      </c>
      <c r="U67" s="86">
        <v>13.932585988360662</v>
      </c>
      <c r="V67" s="20">
        <f t="shared" si="15"/>
        <v>283.33235609852005</v>
      </c>
      <c r="W67" s="87">
        <f t="shared" si="16"/>
        <v>4.9174002504380532E-2</v>
      </c>
    </row>
    <row r="68" spans="1:23" x14ac:dyDescent="0.25">
      <c r="R68" s="20">
        <f t="shared" si="13"/>
        <v>157.75252398843665</v>
      </c>
      <c r="S68" s="87">
        <f t="shared" si="14"/>
        <v>0.99457310605335925</v>
      </c>
      <c r="T68" s="86">
        <v>0.85610621750016469</v>
      </c>
      <c r="U68" s="86">
        <v>156.89641777093649</v>
      </c>
      <c r="V68" s="20">
        <f t="shared" si="15"/>
        <v>157.75252398843665</v>
      </c>
      <c r="W68" s="87">
        <f t="shared" si="16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H37:O37"/>
    <mergeCell ref="T60:W60"/>
    <mergeCell ref="I8:N8"/>
    <mergeCell ref="S8:X8"/>
    <mergeCell ref="G10:G12"/>
    <mergeCell ref="Q10:Q12"/>
    <mergeCell ref="G13:G15"/>
    <mergeCell ref="Q13:Q15"/>
  </mergeCells>
  <conditionalFormatting sqref="H21">
    <cfRule type="containsBlanks" dxfId="0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33C0-41CF-4CB7-BFAC-9A49B99B309D}">
  <sheetPr>
    <tabColor rgb="FF92D050"/>
  </sheetPr>
  <dimension ref="C4:N156"/>
  <sheetViews>
    <sheetView showGridLines="0" tabSelected="1" topLeftCell="A42" workbookViewId="0">
      <selection activeCell="C60" sqref="C60"/>
    </sheetView>
  </sheetViews>
  <sheetFormatPr baseColWidth="10" defaultRowHeight="15" x14ac:dyDescent="0.25"/>
  <cols>
    <col min="3" max="3" width="15.85546875" customWidth="1"/>
    <col min="4" max="5" width="20.85546875" customWidth="1"/>
    <col min="12" max="12" width="14.42578125" customWidth="1"/>
    <col min="13" max="13" width="18.28515625" customWidth="1"/>
  </cols>
  <sheetData>
    <row r="4" spans="3:14" ht="21" x14ac:dyDescent="0.35">
      <c r="C4" s="111" t="s">
        <v>65</v>
      </c>
      <c r="D4" s="111"/>
      <c r="E4" s="111"/>
      <c r="F4" s="111"/>
      <c r="G4" s="111"/>
      <c r="H4" s="111"/>
    </row>
    <row r="6" spans="3:14" ht="15.75" x14ac:dyDescent="0.25">
      <c r="C6" s="49"/>
      <c r="D6" s="49"/>
      <c r="E6" s="49"/>
      <c r="F6" s="49"/>
      <c r="G6" s="49"/>
      <c r="H6" s="49"/>
    </row>
    <row r="7" spans="3:14" x14ac:dyDescent="0.25">
      <c r="C7" s="50" t="s">
        <v>133</v>
      </c>
    </row>
    <row r="9" spans="3:14" ht="20.25" x14ac:dyDescent="0.25">
      <c r="C9" s="51" t="s">
        <v>67</v>
      </c>
      <c r="D9" s="52" t="s">
        <v>68</v>
      </c>
      <c r="E9" s="52" t="s">
        <v>69</v>
      </c>
      <c r="F9" s="52" t="s">
        <v>70</v>
      </c>
      <c r="G9" s="52" t="s">
        <v>71</v>
      </c>
      <c r="H9" s="52" t="s">
        <v>72</v>
      </c>
      <c r="J9" s="72" t="s">
        <v>112</v>
      </c>
      <c r="K9" s="72" t="s">
        <v>113</v>
      </c>
      <c r="L9" t="s">
        <v>124</v>
      </c>
      <c r="N9" t="s">
        <v>152</v>
      </c>
    </row>
    <row r="10" spans="3:14" x14ac:dyDescent="0.25">
      <c r="C10" s="1" t="s">
        <v>146</v>
      </c>
      <c r="D10" s="1" t="s">
        <v>147</v>
      </c>
      <c r="E10" s="19" t="s">
        <v>73</v>
      </c>
      <c r="F10" s="20">
        <v>266.73883552000007</v>
      </c>
      <c r="G10" s="53">
        <v>9.9999999999999995E-7</v>
      </c>
      <c r="H10" s="54">
        <v>1</v>
      </c>
      <c r="J10" s="73">
        <v>0</v>
      </c>
      <c r="K10" s="73">
        <v>266.73883552000007</v>
      </c>
      <c r="L10" s="101">
        <f>+K10/(K10+J10)</f>
        <v>1</v>
      </c>
      <c r="N10">
        <f>+J10*$N$20</f>
        <v>0</v>
      </c>
    </row>
    <row r="11" spans="3:14" x14ac:dyDescent="0.25">
      <c r="C11" s="1" t="s">
        <v>134</v>
      </c>
      <c r="D11" s="1" t="s">
        <v>135</v>
      </c>
      <c r="E11" s="19" t="s">
        <v>73</v>
      </c>
      <c r="F11" s="20">
        <v>2135.7396415784524</v>
      </c>
      <c r="G11" s="53">
        <v>9.9999999999999995E-7</v>
      </c>
      <c r="H11" s="54">
        <v>1</v>
      </c>
      <c r="J11" s="73">
        <v>631.93331851368123</v>
      </c>
      <c r="K11" s="73">
        <v>1503.806323064771</v>
      </c>
      <c r="L11" s="101">
        <f t="shared" ref="L11:L16" si="0">+K11/(K11+J11)</f>
        <v>0.70411500249785086</v>
      </c>
      <c r="N11">
        <f>+J11*$N$20</f>
        <v>166.28606391656101</v>
      </c>
    </row>
    <row r="12" spans="3:14" x14ac:dyDescent="0.25">
      <c r="C12" s="1" t="s">
        <v>136</v>
      </c>
      <c r="D12" s="1" t="s">
        <v>137</v>
      </c>
      <c r="E12" s="19" t="s">
        <v>73</v>
      </c>
      <c r="F12" s="20">
        <v>6496.7121983715815</v>
      </c>
      <c r="G12" s="53">
        <v>9.9999999999999995E-7</v>
      </c>
      <c r="H12" s="54">
        <v>1</v>
      </c>
      <c r="J12" s="73">
        <v>6478.3752802727131</v>
      </c>
      <c r="K12" s="73">
        <v>18.33691809886869</v>
      </c>
      <c r="L12" s="16">
        <f t="shared" si="0"/>
        <v>2.8224919834781794E-3</v>
      </c>
      <c r="N12">
        <f>+J12*$N$20</f>
        <v>1704.7107572435661</v>
      </c>
    </row>
    <row r="13" spans="3:14" x14ac:dyDescent="0.25">
      <c r="C13" s="1" t="s">
        <v>138</v>
      </c>
      <c r="D13" s="1" t="s">
        <v>139</v>
      </c>
      <c r="E13" s="19" t="s">
        <v>73</v>
      </c>
      <c r="F13" s="20">
        <v>44.660401360000002</v>
      </c>
      <c r="G13" s="53">
        <v>9.9999999999999995E-7</v>
      </c>
      <c r="H13" s="54">
        <v>1</v>
      </c>
      <c r="J13" s="73">
        <v>34.54842039201656</v>
      </c>
      <c r="K13" s="73">
        <v>10.111980967983444</v>
      </c>
      <c r="L13" s="101">
        <f t="shared" si="0"/>
        <v>0.2264193930205074</v>
      </c>
      <c r="N13">
        <f t="shared" ref="N13:N16" si="1">+J13*$N$20</f>
        <v>9.0910238045926182</v>
      </c>
    </row>
    <row r="14" spans="3:14" x14ac:dyDescent="0.25">
      <c r="C14" s="1" t="s">
        <v>140</v>
      </c>
      <c r="D14" s="1" t="s">
        <v>141</v>
      </c>
      <c r="E14" s="19" t="s">
        <v>73</v>
      </c>
      <c r="F14" s="20">
        <v>1058.6607668001971</v>
      </c>
      <c r="G14" s="53">
        <v>9.9999999999999995E-7</v>
      </c>
      <c r="H14" s="54">
        <v>1</v>
      </c>
      <c r="J14" s="73">
        <v>1027.9533241655267</v>
      </c>
      <c r="K14" s="73">
        <v>30.707442634670208</v>
      </c>
      <c r="L14" s="16">
        <f t="shared" si="0"/>
        <v>2.9005932398423979E-2</v>
      </c>
      <c r="N14">
        <f t="shared" si="1"/>
        <v>270.49422329474697</v>
      </c>
    </row>
    <row r="15" spans="3:14" x14ac:dyDescent="0.25">
      <c r="C15" s="1" t="s">
        <v>142</v>
      </c>
      <c r="D15" s="1" t="s">
        <v>143</v>
      </c>
      <c r="E15" s="19" t="s">
        <v>73</v>
      </c>
      <c r="F15" s="20">
        <v>283.33235609852005</v>
      </c>
      <c r="G15" s="53">
        <v>9.9999999999999995E-7</v>
      </c>
      <c r="H15" s="54">
        <v>1</v>
      </c>
      <c r="J15" s="73">
        <v>269.39977011015941</v>
      </c>
      <c r="K15" s="73">
        <v>13.932585988360662</v>
      </c>
      <c r="L15" s="16">
        <f t="shared" si="0"/>
        <v>4.9174002504380532E-2</v>
      </c>
      <c r="N15">
        <f t="shared" si="1"/>
        <v>70.889484822558785</v>
      </c>
    </row>
    <row r="16" spans="3:14" x14ac:dyDescent="0.25">
      <c r="C16" s="1" t="s">
        <v>144</v>
      </c>
      <c r="D16" s="1" t="s">
        <v>145</v>
      </c>
      <c r="E16" s="19" t="s">
        <v>73</v>
      </c>
      <c r="F16" s="20">
        <v>157.75252398843665</v>
      </c>
      <c r="G16" s="53">
        <v>9.9999999999999995E-7</v>
      </c>
      <c r="H16" s="54">
        <v>1</v>
      </c>
      <c r="J16" s="73">
        <v>0.85610621750016469</v>
      </c>
      <c r="K16" s="73">
        <v>156.89641777093649</v>
      </c>
      <c r="L16" s="101">
        <f t="shared" si="0"/>
        <v>0.99457310605335925</v>
      </c>
      <c r="N16">
        <f t="shared" si="1"/>
        <v>0.22527461210215591</v>
      </c>
    </row>
    <row r="17" spans="3:14" x14ac:dyDescent="0.25">
      <c r="C17" s="1"/>
      <c r="D17" s="1"/>
      <c r="E17" s="19"/>
      <c r="F17" s="20"/>
      <c r="G17" s="53"/>
      <c r="H17" s="54"/>
      <c r="J17" s="100">
        <f>+SUM(J10:J16)</f>
        <v>8443.0662196715966</v>
      </c>
      <c r="K17" s="100">
        <f>+SUM(K10:K16)</f>
        <v>2000.5305040455908</v>
      </c>
      <c r="L17" s="16"/>
    </row>
    <row r="19" spans="3:14" x14ac:dyDescent="0.25">
      <c r="F19" s="38">
        <f>+SUM(F10:F16)</f>
        <v>10443.59672371719</v>
      </c>
      <c r="G19" t="s">
        <v>63</v>
      </c>
      <c r="I19" t="s">
        <v>148</v>
      </c>
      <c r="J19" t="s">
        <v>149</v>
      </c>
      <c r="K19" s="38">
        <f>+'Posibles Gas'!K28</f>
        <v>399.78470830425482</v>
      </c>
      <c r="L19" t="s">
        <v>63</v>
      </c>
    </row>
    <row r="20" spans="3:14" x14ac:dyDescent="0.25">
      <c r="J20" t="s">
        <v>150</v>
      </c>
      <c r="K20" s="38">
        <f>'Posibles Gas'!T16*1000*'Probables Gas'!C8/1000</f>
        <v>2221.6968276941275</v>
      </c>
      <c r="L20" t="s">
        <v>63</v>
      </c>
      <c r="M20" t="s">
        <v>154</v>
      </c>
      <c r="N20" s="16">
        <f>+K20/J17</f>
        <v>0.26313862403658173</v>
      </c>
    </row>
    <row r="21" spans="3:14" x14ac:dyDescent="0.25">
      <c r="C21" s="50" t="s">
        <v>153</v>
      </c>
      <c r="J21" t="s">
        <v>151</v>
      </c>
      <c r="K21" s="38">
        <f>+K19+K20</f>
        <v>2621.4815359983822</v>
      </c>
    </row>
    <row r="23" spans="3:14" x14ac:dyDescent="0.25">
      <c r="C23" s="51" t="s">
        <v>67</v>
      </c>
      <c r="D23" s="52" t="s">
        <v>68</v>
      </c>
      <c r="E23" s="52" t="s">
        <v>69</v>
      </c>
      <c r="F23" s="52" t="s">
        <v>70</v>
      </c>
      <c r="G23" s="52" t="s">
        <v>71</v>
      </c>
      <c r="H23" s="52" t="s">
        <v>72</v>
      </c>
    </row>
    <row r="24" spans="3:14" x14ac:dyDescent="0.25">
      <c r="C24" s="19" t="str" cm="1">
        <f t="array" ref="C24:C30">+C37:C43</f>
        <v>MIN-P3-CAM1</v>
      </c>
      <c r="D24" s="19" t="str" cm="1">
        <f t="array" ref="D24:D30">+D10:D16</f>
        <v>R-CAM1</v>
      </c>
      <c r="E24" s="19" t="str" cm="1">
        <f t="array" ref="E24:E30">+E10:E16</f>
        <v>UP</v>
      </c>
      <c r="F24" s="21">
        <f>+'Posibles Gas'!K21+N10</f>
        <v>78.745472847807775</v>
      </c>
      <c r="G24" s="19">
        <v>1</v>
      </c>
      <c r="H24" s="18">
        <v>1</v>
      </c>
      <c r="L24" s="16"/>
    </row>
    <row r="25" spans="3:14" x14ac:dyDescent="0.25">
      <c r="C25" s="19" t="str">
        <v>MIN-P3-CAM2</v>
      </c>
      <c r="D25" s="19" t="str">
        <v>R-CAM2</v>
      </c>
      <c r="E25" s="19" t="str">
        <v>UP</v>
      </c>
      <c r="F25" s="21">
        <f>+'Posibles Gas'!K22+N11</f>
        <v>182.43898142380363</v>
      </c>
      <c r="G25" s="19">
        <v>1</v>
      </c>
      <c r="H25" s="18">
        <v>1</v>
      </c>
      <c r="L25" s="16"/>
    </row>
    <row r="26" spans="3:14" x14ac:dyDescent="0.25">
      <c r="C26" s="19" t="str">
        <v>MIN-P3-CAM3</v>
      </c>
      <c r="D26" s="19" t="str">
        <v>R-CAM3</v>
      </c>
      <c r="E26" s="19" t="str">
        <v>UP</v>
      </c>
      <c r="F26" s="21">
        <f>+'Posibles Gas'!K23+N12</f>
        <v>1704.7107572435661</v>
      </c>
      <c r="G26" s="19">
        <v>1</v>
      </c>
      <c r="H26" s="18">
        <v>1</v>
      </c>
      <c r="L26" s="16"/>
    </row>
    <row r="27" spans="3:14" x14ac:dyDescent="0.25">
      <c r="C27" s="19" t="str">
        <v>MIN-P3-CAM4</v>
      </c>
      <c r="D27" s="19" t="str">
        <v>R-CAM4</v>
      </c>
      <c r="E27" s="19" t="str">
        <v>UP</v>
      </c>
      <c r="F27" s="21">
        <f>+'Posibles Gas'!K24+N13</f>
        <v>9.0910238045926182</v>
      </c>
      <c r="G27" s="19">
        <v>1</v>
      </c>
      <c r="H27" s="18">
        <v>1</v>
      </c>
      <c r="L27" s="16"/>
    </row>
    <row r="28" spans="3:14" x14ac:dyDescent="0.25">
      <c r="C28" s="19" t="str">
        <v>MIN-P3-CAM5</v>
      </c>
      <c r="D28" s="19" t="str">
        <v>R-CAM5</v>
      </c>
      <c r="E28" s="19" t="str">
        <v>UP</v>
      </c>
      <c r="F28" s="21">
        <f>+'Posibles Gas'!K25+N14</f>
        <v>344.19190942154142</v>
      </c>
      <c r="G28" s="19">
        <v>1</v>
      </c>
      <c r="H28" s="18">
        <v>1</v>
      </c>
      <c r="L28" s="16"/>
    </row>
    <row r="29" spans="3:14" x14ac:dyDescent="0.25">
      <c r="C29" s="19" t="str">
        <v>MIN-P3-CAM6</v>
      </c>
      <c r="D29" s="19" t="str">
        <v>R-CAM6</v>
      </c>
      <c r="E29" s="19" t="str">
        <v>UP</v>
      </c>
      <c r="F29" s="21">
        <f>+'Posibles Gas'!K26+N15</f>
        <v>70.889484822558785</v>
      </c>
      <c r="G29" s="19">
        <v>1</v>
      </c>
      <c r="H29" s="18">
        <v>1</v>
      </c>
      <c r="L29" s="16"/>
    </row>
    <row r="30" spans="3:14" x14ac:dyDescent="0.25">
      <c r="C30" s="19" t="str">
        <v>MIN-P3-CAM7</v>
      </c>
      <c r="D30" s="19" t="str">
        <v>R-CAM7</v>
      </c>
      <c r="E30" s="19" t="str">
        <v>UP</v>
      </c>
      <c r="F30" s="21">
        <f>+'Posibles Gas'!K27+N16</f>
        <v>231.41390643451217</v>
      </c>
      <c r="G30" s="19">
        <v>1</v>
      </c>
      <c r="H30" s="18">
        <v>1</v>
      </c>
      <c r="L30" s="16"/>
    </row>
    <row r="32" spans="3:14" x14ac:dyDescent="0.25">
      <c r="F32" s="20">
        <f>+SUM(F24:F30)</f>
        <v>2621.4815359983827</v>
      </c>
    </row>
    <row r="35" spans="3:9" x14ac:dyDescent="0.25">
      <c r="D35" s="107" t="s">
        <v>66</v>
      </c>
    </row>
    <row r="36" spans="3:9" x14ac:dyDescent="0.25">
      <c r="C36" s="51" t="s">
        <v>67</v>
      </c>
      <c r="D36" s="106" t="s">
        <v>68</v>
      </c>
      <c r="E36" s="106" t="s">
        <v>69</v>
      </c>
      <c r="F36" s="106" t="s">
        <v>70</v>
      </c>
      <c r="G36" s="106" t="s">
        <v>71</v>
      </c>
      <c r="H36" s="106" t="s">
        <v>72</v>
      </c>
      <c r="I36" s="106" t="s">
        <v>162</v>
      </c>
    </row>
    <row r="37" spans="3:9" x14ac:dyDescent="0.25">
      <c r="C37" s="19" t="str">
        <f>+D48</f>
        <v>MIN-P3-CAM1</v>
      </c>
      <c r="D37" s="19" t="s">
        <v>147</v>
      </c>
      <c r="E37" s="19" t="s">
        <v>73</v>
      </c>
      <c r="F37" s="21">
        <f>+F24</f>
        <v>78.745472847807775</v>
      </c>
      <c r="G37" s="19">
        <v>1</v>
      </c>
      <c r="H37" s="18">
        <v>1</v>
      </c>
    </row>
    <row r="38" spans="3:9" x14ac:dyDescent="0.25">
      <c r="C38" s="19" t="str">
        <f t="shared" ref="C38:C43" si="2">+D49</f>
        <v>MIN-P3-CAM2</v>
      </c>
      <c r="D38" s="19" t="s">
        <v>135</v>
      </c>
      <c r="E38" s="19" t="s">
        <v>73</v>
      </c>
      <c r="F38" s="21">
        <f t="shared" ref="F38:F43" si="3">+F25</f>
        <v>182.43898142380363</v>
      </c>
      <c r="G38" s="19">
        <v>1</v>
      </c>
      <c r="H38" s="18">
        <v>1</v>
      </c>
    </row>
    <row r="39" spans="3:9" x14ac:dyDescent="0.25">
      <c r="C39" s="19" t="str">
        <f t="shared" si="2"/>
        <v>MIN-P3-CAM3</v>
      </c>
      <c r="D39" s="19" t="s">
        <v>137</v>
      </c>
      <c r="E39" s="19" t="s">
        <v>73</v>
      </c>
      <c r="F39" s="21">
        <f t="shared" si="3"/>
        <v>1704.7107572435661</v>
      </c>
      <c r="G39" s="19">
        <v>1</v>
      </c>
      <c r="H39" s="18">
        <v>1</v>
      </c>
    </row>
    <row r="40" spans="3:9" x14ac:dyDescent="0.25">
      <c r="C40" s="19" t="str">
        <f t="shared" si="2"/>
        <v>MIN-P3-CAM4</v>
      </c>
      <c r="D40" s="19" t="s">
        <v>139</v>
      </c>
      <c r="E40" s="19" t="s">
        <v>73</v>
      </c>
      <c r="F40" s="21">
        <f t="shared" si="3"/>
        <v>9.0910238045926182</v>
      </c>
      <c r="G40" s="19">
        <v>1</v>
      </c>
      <c r="H40" s="18">
        <v>1</v>
      </c>
    </row>
    <row r="41" spans="3:9" x14ac:dyDescent="0.25">
      <c r="C41" s="19" t="str">
        <f t="shared" si="2"/>
        <v>MIN-P3-CAM5</v>
      </c>
      <c r="D41" s="19" t="s">
        <v>141</v>
      </c>
      <c r="E41" s="19" t="s">
        <v>73</v>
      </c>
      <c r="F41" s="21">
        <f t="shared" si="3"/>
        <v>344.19190942154142</v>
      </c>
      <c r="G41" s="19">
        <v>1</v>
      </c>
      <c r="H41" s="18">
        <v>1</v>
      </c>
    </row>
    <row r="42" spans="3:9" x14ac:dyDescent="0.25">
      <c r="C42" s="19" t="str">
        <f t="shared" si="2"/>
        <v>MIN-P3-CAM6</v>
      </c>
      <c r="D42" s="19" t="s">
        <v>143</v>
      </c>
      <c r="E42" s="19" t="s">
        <v>73</v>
      </c>
      <c r="F42" s="21">
        <f t="shared" si="3"/>
        <v>70.889484822558785</v>
      </c>
      <c r="G42" s="19">
        <v>1</v>
      </c>
      <c r="H42" s="18">
        <v>1</v>
      </c>
    </row>
    <row r="43" spans="3:9" x14ac:dyDescent="0.25">
      <c r="C43" s="19" t="str">
        <f t="shared" si="2"/>
        <v>MIN-P3-CAM7</v>
      </c>
      <c r="D43" s="19" t="s">
        <v>145</v>
      </c>
      <c r="E43" s="19" t="s">
        <v>73</v>
      </c>
      <c r="F43" s="21">
        <f t="shared" si="3"/>
        <v>231.41390643451217</v>
      </c>
      <c r="G43" s="19">
        <v>1</v>
      </c>
      <c r="H43" s="18">
        <v>1</v>
      </c>
    </row>
    <row r="46" spans="3:9" x14ac:dyDescent="0.25">
      <c r="D46" s="102" t="s">
        <v>155</v>
      </c>
      <c r="E46" s="103"/>
      <c r="F46" s="103"/>
      <c r="G46" s="103"/>
    </row>
    <row r="47" spans="3:9" x14ac:dyDescent="0.25">
      <c r="C47" s="104" t="s">
        <v>156</v>
      </c>
      <c r="D47" s="104" t="s">
        <v>67</v>
      </c>
      <c r="E47" s="104" t="s">
        <v>157</v>
      </c>
      <c r="F47" s="104" t="s">
        <v>158</v>
      </c>
      <c r="G47" s="104" t="s">
        <v>159</v>
      </c>
    </row>
    <row r="48" spans="3:9" x14ac:dyDescent="0.25">
      <c r="C48" t="s">
        <v>160</v>
      </c>
      <c r="D48" t="s">
        <v>165</v>
      </c>
      <c r="E48" t="s">
        <v>172</v>
      </c>
      <c r="F48" t="s">
        <v>63</v>
      </c>
      <c r="G48" t="s">
        <v>161</v>
      </c>
    </row>
    <row r="49" spans="3:7" x14ac:dyDescent="0.25">
      <c r="D49" t="s">
        <v>166</v>
      </c>
      <c r="E49" t="s">
        <v>173</v>
      </c>
      <c r="F49" t="s">
        <v>63</v>
      </c>
      <c r="G49" t="s">
        <v>161</v>
      </c>
    </row>
    <row r="50" spans="3:7" x14ac:dyDescent="0.25">
      <c r="D50" t="s">
        <v>167</v>
      </c>
      <c r="E50" t="s">
        <v>174</v>
      </c>
      <c r="F50" t="s">
        <v>63</v>
      </c>
      <c r="G50" t="s">
        <v>161</v>
      </c>
    </row>
    <row r="51" spans="3:7" x14ac:dyDescent="0.25">
      <c r="D51" t="s">
        <v>168</v>
      </c>
      <c r="E51" t="s">
        <v>175</v>
      </c>
      <c r="F51" t="s">
        <v>63</v>
      </c>
      <c r="G51" t="s">
        <v>161</v>
      </c>
    </row>
    <row r="52" spans="3:7" x14ac:dyDescent="0.25">
      <c r="D52" t="s">
        <v>169</v>
      </c>
      <c r="E52" t="s">
        <v>176</v>
      </c>
      <c r="F52" t="s">
        <v>63</v>
      </c>
      <c r="G52" t="s">
        <v>161</v>
      </c>
    </row>
    <row r="53" spans="3:7" x14ac:dyDescent="0.25">
      <c r="D53" t="s">
        <v>170</v>
      </c>
      <c r="E53" t="s">
        <v>177</v>
      </c>
      <c r="F53" t="s">
        <v>63</v>
      </c>
      <c r="G53" t="s">
        <v>161</v>
      </c>
    </row>
    <row r="54" spans="3:7" x14ac:dyDescent="0.25">
      <c r="D54" t="s">
        <v>171</v>
      </c>
      <c r="E54" t="s">
        <v>178</v>
      </c>
      <c r="F54" t="s">
        <v>63</v>
      </c>
      <c r="G54" t="s">
        <v>161</v>
      </c>
    </row>
    <row r="57" spans="3:7" x14ac:dyDescent="0.25">
      <c r="D57" s="107" t="s">
        <v>66</v>
      </c>
    </row>
    <row r="58" spans="3:7" x14ac:dyDescent="0.25">
      <c r="C58" s="51" t="s">
        <v>67</v>
      </c>
      <c r="D58" s="105" t="s">
        <v>163</v>
      </c>
      <c r="E58" s="105" t="s">
        <v>164</v>
      </c>
      <c r="F58" s="105" t="s">
        <v>73</v>
      </c>
    </row>
    <row r="59" spans="3:7" x14ac:dyDescent="0.25">
      <c r="C59" s="19" t="str">
        <f>+D48</f>
        <v>MIN-P3-CAM1</v>
      </c>
      <c r="D59" s="19" t="s">
        <v>162</v>
      </c>
      <c r="E59" s="19">
        <v>2019</v>
      </c>
      <c r="F59" s="97">
        <v>68.585731940983607</v>
      </c>
    </row>
    <row r="60" spans="3:7" x14ac:dyDescent="0.25">
      <c r="C60" s="19"/>
      <c r="D60" s="19" t="s">
        <v>162</v>
      </c>
      <c r="E60" s="19">
        <v>2020</v>
      </c>
      <c r="F60" s="97">
        <v>48.786177197519166</v>
      </c>
    </row>
    <row r="61" spans="3:7" x14ac:dyDescent="0.25">
      <c r="C61" s="19"/>
      <c r="D61" s="19" t="s">
        <v>162</v>
      </c>
      <c r="E61" s="19">
        <v>2023</v>
      </c>
      <c r="F61" s="97">
        <v>43.035587284288795</v>
      </c>
    </row>
    <row r="62" spans="3:7" x14ac:dyDescent="0.25">
      <c r="C62" s="19"/>
      <c r="D62" s="19" t="s">
        <v>162</v>
      </c>
      <c r="E62" s="19">
        <v>2025</v>
      </c>
      <c r="F62" s="97">
        <v>34.570563154586416</v>
      </c>
    </row>
    <row r="63" spans="3:7" x14ac:dyDescent="0.25">
      <c r="C63" s="19"/>
      <c r="D63" s="19" t="s">
        <v>162</v>
      </c>
      <c r="E63" s="19">
        <v>2027</v>
      </c>
      <c r="F63" s="97">
        <v>27.716174687025134</v>
      </c>
    </row>
    <row r="64" spans="3:7" x14ac:dyDescent="0.25">
      <c r="C64" s="19"/>
      <c r="D64" s="19" t="s">
        <v>162</v>
      </c>
      <c r="E64" s="19">
        <v>2030</v>
      </c>
      <c r="F64" s="97">
        <v>5.2673740760556509</v>
      </c>
    </row>
    <row r="65" spans="3:6" x14ac:dyDescent="0.25">
      <c r="C65" s="19"/>
      <c r="D65" s="19" t="s">
        <v>162</v>
      </c>
      <c r="E65" s="19">
        <v>2033</v>
      </c>
      <c r="F65" s="97">
        <v>3.6668988156729534</v>
      </c>
    </row>
    <row r="66" spans="3:6" x14ac:dyDescent="0.25">
      <c r="C66" s="19"/>
      <c r="D66" s="19" t="s">
        <v>162</v>
      </c>
      <c r="E66" s="19">
        <v>2035</v>
      </c>
      <c r="F66" s="97">
        <v>2.86729599242289</v>
      </c>
    </row>
    <row r="67" spans="3:6" x14ac:dyDescent="0.25">
      <c r="C67" s="19"/>
      <c r="D67" s="19" t="s">
        <v>162</v>
      </c>
      <c r="E67" s="19">
        <v>2037</v>
      </c>
      <c r="F67" s="97">
        <v>2.3371052350566992</v>
      </c>
    </row>
    <row r="68" spans="3:6" x14ac:dyDescent="0.25">
      <c r="C68" s="19"/>
      <c r="D68" s="19" t="s">
        <v>162</v>
      </c>
      <c r="E68" s="19">
        <v>2040</v>
      </c>
      <c r="F68" s="97">
        <v>0</v>
      </c>
    </row>
    <row r="69" spans="3:6" x14ac:dyDescent="0.25">
      <c r="C69" s="19"/>
      <c r="D69" s="19" t="s">
        <v>162</v>
      </c>
      <c r="E69" s="19">
        <v>2043</v>
      </c>
      <c r="F69" s="97">
        <v>0</v>
      </c>
    </row>
    <row r="70" spans="3:6" x14ac:dyDescent="0.25">
      <c r="C70" s="19"/>
      <c r="D70" s="19" t="s">
        <v>162</v>
      </c>
      <c r="E70" s="19">
        <v>2045</v>
      </c>
      <c r="F70" s="97">
        <v>0</v>
      </c>
    </row>
    <row r="71" spans="3:6" x14ac:dyDescent="0.25">
      <c r="C71" s="19"/>
      <c r="D71" s="19" t="s">
        <v>162</v>
      </c>
      <c r="E71" s="19">
        <v>2047</v>
      </c>
      <c r="F71" s="97">
        <v>0</v>
      </c>
    </row>
    <row r="72" spans="3:6" x14ac:dyDescent="0.25">
      <c r="C72" s="19"/>
      <c r="D72" s="19" t="s">
        <v>162</v>
      </c>
      <c r="E72" s="19">
        <v>2050</v>
      </c>
      <c r="F72" s="97">
        <v>0</v>
      </c>
    </row>
    <row r="73" spans="3:6" x14ac:dyDescent="0.25">
      <c r="C73" s="19" t="str">
        <f>+D49</f>
        <v>MIN-P3-CAM2</v>
      </c>
      <c r="D73" s="19" t="s">
        <v>162</v>
      </c>
      <c r="E73" s="19">
        <v>2019</v>
      </c>
      <c r="F73" s="97">
        <v>363.68563536317856</v>
      </c>
    </row>
    <row r="74" spans="3:6" x14ac:dyDescent="0.25">
      <c r="D74" s="19" t="s">
        <v>162</v>
      </c>
      <c r="E74" s="19">
        <v>2020</v>
      </c>
      <c r="F74" s="97">
        <v>357.03963544887284</v>
      </c>
    </row>
    <row r="75" spans="3:6" x14ac:dyDescent="0.25">
      <c r="D75" s="19" t="s">
        <v>162</v>
      </c>
      <c r="E75" s="19">
        <v>2023</v>
      </c>
      <c r="F75" s="97">
        <v>291.71333965512213</v>
      </c>
    </row>
    <row r="76" spans="3:6" x14ac:dyDescent="0.25">
      <c r="D76" s="19" t="s">
        <v>162</v>
      </c>
      <c r="E76" s="19">
        <v>2025</v>
      </c>
      <c r="F76" s="97">
        <v>219.06541620476196</v>
      </c>
    </row>
    <row r="77" spans="3:6" x14ac:dyDescent="0.25">
      <c r="D77" s="19" t="s">
        <v>162</v>
      </c>
      <c r="E77" s="19">
        <v>2027</v>
      </c>
      <c r="F77" s="97">
        <v>126.28578711913453</v>
      </c>
    </row>
    <row r="78" spans="3:6" x14ac:dyDescent="0.25">
      <c r="D78" s="19" t="s">
        <v>162</v>
      </c>
      <c r="E78" s="19">
        <v>2030</v>
      </c>
      <c r="F78" s="97">
        <v>93.858549318283977</v>
      </c>
    </row>
    <row r="79" spans="3:6" x14ac:dyDescent="0.25">
      <c r="D79" s="19" t="s">
        <v>162</v>
      </c>
      <c r="E79" s="19">
        <v>2033</v>
      </c>
      <c r="F79" s="97">
        <v>67.926190092891318</v>
      </c>
    </row>
    <row r="80" spans="3:6" x14ac:dyDescent="0.25">
      <c r="D80" s="19" t="s">
        <v>162</v>
      </c>
      <c r="E80" s="19">
        <v>2035</v>
      </c>
      <c r="F80" s="97">
        <v>51.633133760529908</v>
      </c>
    </row>
    <row r="81" spans="3:6" x14ac:dyDescent="0.25">
      <c r="D81" s="19" t="s">
        <v>162</v>
      </c>
      <c r="E81" s="19">
        <v>2037</v>
      </c>
      <c r="F81" s="97">
        <v>39.112638374469476</v>
      </c>
    </row>
    <row r="82" spans="3:6" x14ac:dyDescent="0.25">
      <c r="D82" s="19" t="s">
        <v>162</v>
      </c>
      <c r="E82" s="19">
        <v>2040</v>
      </c>
      <c r="F82" s="97">
        <v>23.3968962245543</v>
      </c>
    </row>
    <row r="83" spans="3:6" x14ac:dyDescent="0.25">
      <c r="D83" s="19" t="s">
        <v>162</v>
      </c>
      <c r="E83" s="19">
        <v>2043</v>
      </c>
      <c r="F83" s="97">
        <v>10.786632390437573</v>
      </c>
    </row>
    <row r="84" spans="3:6" x14ac:dyDescent="0.25">
      <c r="D84" s="19" t="s">
        <v>162</v>
      </c>
      <c r="E84" s="19">
        <v>2045</v>
      </c>
      <c r="F84" s="97">
        <v>9.0936013935059616</v>
      </c>
    </row>
    <row r="85" spans="3:6" x14ac:dyDescent="0.25">
      <c r="D85" s="19" t="s">
        <v>162</v>
      </c>
      <c r="E85" s="19">
        <v>2047</v>
      </c>
      <c r="F85" s="97">
        <v>8.1321048795691553</v>
      </c>
    </row>
    <row r="86" spans="3:6" x14ac:dyDescent="0.25">
      <c r="D86" s="19" t="s">
        <v>162</v>
      </c>
      <c r="E86" s="19">
        <v>2050</v>
      </c>
      <c r="F86" s="97">
        <v>6.6898601086639449</v>
      </c>
    </row>
    <row r="87" spans="3:6" x14ac:dyDescent="0.25">
      <c r="C87" s="19" t="str">
        <f>+D50</f>
        <v>MIN-P3-CAM3</v>
      </c>
      <c r="D87" s="19" t="s">
        <v>162</v>
      </c>
      <c r="E87" s="19">
        <v>2019</v>
      </c>
      <c r="F87" s="97">
        <v>726.70451084468357</v>
      </c>
    </row>
    <row r="88" spans="3:6" x14ac:dyDescent="0.25">
      <c r="D88" s="19" t="s">
        <v>162</v>
      </c>
      <c r="E88" s="19">
        <v>2020</v>
      </c>
      <c r="F88" s="97">
        <v>687.86225103060212</v>
      </c>
    </row>
    <row r="89" spans="3:6" x14ac:dyDescent="0.25">
      <c r="D89" s="19" t="s">
        <v>162</v>
      </c>
      <c r="E89" s="19">
        <v>2023</v>
      </c>
      <c r="F89" s="97">
        <v>385.85872204465466</v>
      </c>
    </row>
    <row r="90" spans="3:6" x14ac:dyDescent="0.25">
      <c r="D90" s="19" t="s">
        <v>162</v>
      </c>
      <c r="E90" s="19">
        <v>2025</v>
      </c>
      <c r="F90" s="97">
        <v>409.06901747594299</v>
      </c>
    </row>
    <row r="91" spans="3:6" x14ac:dyDescent="0.25">
      <c r="D91" s="19" t="s">
        <v>162</v>
      </c>
      <c r="E91" s="19">
        <v>2027</v>
      </c>
      <c r="F91" s="97">
        <v>369.35783750049205</v>
      </c>
    </row>
    <row r="92" spans="3:6" x14ac:dyDescent="0.25">
      <c r="D92" s="19" t="s">
        <v>162</v>
      </c>
      <c r="E92" s="19">
        <v>2030</v>
      </c>
      <c r="F92" s="97">
        <v>309.7910675373156</v>
      </c>
    </row>
    <row r="93" spans="3:6" x14ac:dyDescent="0.25">
      <c r="D93" s="19" t="s">
        <v>162</v>
      </c>
      <c r="E93" s="19">
        <v>2033</v>
      </c>
      <c r="F93" s="97">
        <v>196.2800040437545</v>
      </c>
    </row>
    <row r="94" spans="3:6" x14ac:dyDescent="0.25">
      <c r="D94" s="19" t="s">
        <v>162</v>
      </c>
      <c r="E94" s="19">
        <v>2035</v>
      </c>
      <c r="F94" s="97">
        <v>151.73365907601499</v>
      </c>
    </row>
    <row r="95" spans="3:6" x14ac:dyDescent="0.25">
      <c r="D95" s="19" t="s">
        <v>162</v>
      </c>
      <c r="E95" s="19">
        <v>2037</v>
      </c>
      <c r="F95" s="97">
        <v>35.113596160592415</v>
      </c>
    </row>
    <row r="96" spans="3:6" x14ac:dyDescent="0.25">
      <c r="D96" s="19" t="s">
        <v>162</v>
      </c>
      <c r="E96" s="19">
        <v>2040</v>
      </c>
      <c r="F96" s="97">
        <v>85.07145902842241</v>
      </c>
    </row>
    <row r="97" spans="3:6" x14ac:dyDescent="0.25">
      <c r="D97" s="19" t="s">
        <v>162</v>
      </c>
      <c r="E97" s="19">
        <v>2043</v>
      </c>
      <c r="F97" s="97">
        <v>76.155967420534168</v>
      </c>
    </row>
    <row r="98" spans="3:6" x14ac:dyDescent="0.25">
      <c r="D98" s="19" t="s">
        <v>162</v>
      </c>
      <c r="E98" s="19">
        <v>2045</v>
      </c>
      <c r="F98" s="97">
        <v>62.622403033114466</v>
      </c>
    </row>
    <row r="99" spans="3:6" x14ac:dyDescent="0.25">
      <c r="D99" s="19" t="s">
        <v>162</v>
      </c>
      <c r="E99" s="19">
        <v>2047</v>
      </c>
      <c r="F99" s="97">
        <v>58.552871897120902</v>
      </c>
    </row>
    <row r="100" spans="3:6" x14ac:dyDescent="0.25">
      <c r="D100" s="19" t="s">
        <v>162</v>
      </c>
      <c r="E100" s="19">
        <v>2050</v>
      </c>
      <c r="F100" s="97">
        <v>47.786379701308284</v>
      </c>
    </row>
    <row r="101" spans="3:6" x14ac:dyDescent="0.25">
      <c r="C101" s="19" t="str">
        <f>+D51</f>
        <v>MIN-P3-CAM4</v>
      </c>
      <c r="D101" s="19" t="s">
        <v>162</v>
      </c>
      <c r="E101" s="19">
        <v>2019</v>
      </c>
      <c r="F101" s="97">
        <v>5.6352908998762912</v>
      </c>
    </row>
    <row r="102" spans="3:6" x14ac:dyDescent="0.25">
      <c r="D102" s="19" t="s">
        <v>162</v>
      </c>
      <c r="E102" s="19">
        <v>2020</v>
      </c>
      <c r="F102" s="97">
        <v>5.3251450871105153</v>
      </c>
    </row>
    <row r="103" spans="3:6" x14ac:dyDescent="0.25">
      <c r="D103" s="19" t="s">
        <v>162</v>
      </c>
      <c r="E103" s="19">
        <v>2023</v>
      </c>
      <c r="F103" s="97">
        <v>4.6229281525464918</v>
      </c>
    </row>
    <row r="104" spans="3:6" x14ac:dyDescent="0.25">
      <c r="D104" s="19" t="s">
        <v>162</v>
      </c>
      <c r="E104" s="19">
        <v>2025</v>
      </c>
      <c r="F104" s="97">
        <v>4.1547835295038089</v>
      </c>
    </row>
    <row r="105" spans="3:6" x14ac:dyDescent="0.25">
      <c r="D105" s="19" t="s">
        <v>162</v>
      </c>
      <c r="E105" s="19">
        <v>2027</v>
      </c>
      <c r="F105" s="97">
        <v>3.4993810572440531</v>
      </c>
    </row>
    <row r="106" spans="3:6" x14ac:dyDescent="0.25">
      <c r="D106" s="19" t="s">
        <v>162</v>
      </c>
      <c r="E106" s="19">
        <v>2030</v>
      </c>
      <c r="F106" s="97">
        <v>2.5162773488544192</v>
      </c>
    </row>
    <row r="107" spans="3:6" x14ac:dyDescent="0.25">
      <c r="D107" s="19" t="s">
        <v>162</v>
      </c>
      <c r="E107" s="19">
        <v>2033</v>
      </c>
      <c r="F107" s="97">
        <v>2.0247254946596036</v>
      </c>
    </row>
    <row r="108" spans="3:6" x14ac:dyDescent="0.25">
      <c r="D108" s="19" t="s">
        <v>162</v>
      </c>
      <c r="E108" s="19">
        <v>2035</v>
      </c>
      <c r="F108" s="97">
        <v>1.6970242585297266</v>
      </c>
    </row>
    <row r="109" spans="3:6" x14ac:dyDescent="0.25">
      <c r="D109" s="19" t="s">
        <v>162</v>
      </c>
      <c r="E109" s="19">
        <v>2037</v>
      </c>
      <c r="F109" s="97">
        <v>1.4629519470083856</v>
      </c>
    </row>
    <row r="110" spans="3:6" x14ac:dyDescent="0.25">
      <c r="D110" s="19" t="s">
        <v>162</v>
      </c>
      <c r="E110" s="19">
        <v>2040</v>
      </c>
      <c r="F110" s="97">
        <v>1.1118434797263739</v>
      </c>
    </row>
    <row r="111" spans="3:6" x14ac:dyDescent="0.25">
      <c r="D111" s="19" t="s">
        <v>162</v>
      </c>
      <c r="E111" s="19">
        <v>2043</v>
      </c>
      <c r="F111" s="97">
        <v>0.99480732396570282</v>
      </c>
    </row>
    <row r="112" spans="3:6" x14ac:dyDescent="0.25">
      <c r="D112" s="19" t="s">
        <v>162</v>
      </c>
      <c r="E112" s="19">
        <v>2045</v>
      </c>
      <c r="F112" s="97">
        <v>0</v>
      </c>
    </row>
    <row r="113" spans="3:6" x14ac:dyDescent="0.25">
      <c r="D113" s="19" t="s">
        <v>162</v>
      </c>
      <c r="E113" s="19">
        <v>2047</v>
      </c>
      <c r="F113" s="97">
        <v>0</v>
      </c>
    </row>
    <row r="114" spans="3:6" x14ac:dyDescent="0.25">
      <c r="D114" s="19" t="s">
        <v>162</v>
      </c>
      <c r="E114" s="19">
        <v>2050</v>
      </c>
      <c r="F114" s="97">
        <v>0</v>
      </c>
    </row>
    <row r="115" spans="3:6" x14ac:dyDescent="0.25">
      <c r="C115" s="19" t="str">
        <f>+D52</f>
        <v>MIN-P3-CAM5</v>
      </c>
      <c r="D115" s="19" t="s">
        <v>162</v>
      </c>
      <c r="E115" s="19">
        <v>2019</v>
      </c>
      <c r="F115" s="97">
        <v>165.44478873779963</v>
      </c>
    </row>
    <row r="116" spans="3:6" x14ac:dyDescent="0.25">
      <c r="D116" s="19" t="s">
        <v>162</v>
      </c>
      <c r="E116" s="19">
        <v>2020</v>
      </c>
      <c r="F116" s="97">
        <v>153.89107121101256</v>
      </c>
    </row>
    <row r="117" spans="3:6" x14ac:dyDescent="0.25">
      <c r="D117" s="19" t="s">
        <v>162</v>
      </c>
      <c r="E117" s="19">
        <v>2023</v>
      </c>
      <c r="F117" s="97">
        <v>98.967477778380101</v>
      </c>
    </row>
    <row r="118" spans="3:6" x14ac:dyDescent="0.25">
      <c r="D118" s="19" t="s">
        <v>162</v>
      </c>
      <c r="E118" s="19">
        <v>2025</v>
      </c>
      <c r="F118" s="97">
        <v>91.230677358831571</v>
      </c>
    </row>
    <row r="119" spans="3:6" x14ac:dyDescent="0.25">
      <c r="D119" s="19" t="s">
        <v>162</v>
      </c>
      <c r="E119" s="19">
        <v>2027</v>
      </c>
      <c r="F119" s="97">
        <v>73.193552767530946</v>
      </c>
    </row>
    <row r="120" spans="3:6" x14ac:dyDescent="0.25">
      <c r="D120" s="19" t="s">
        <v>162</v>
      </c>
      <c r="E120" s="19">
        <v>2030</v>
      </c>
      <c r="F120" s="97">
        <v>46.137865880580037</v>
      </c>
    </row>
    <row r="121" spans="3:6" x14ac:dyDescent="0.25">
      <c r="D121" s="19" t="s">
        <v>162</v>
      </c>
      <c r="E121" s="19">
        <v>2033</v>
      </c>
      <c r="F121" s="97">
        <v>34.93812928869707</v>
      </c>
    </row>
    <row r="122" spans="3:6" x14ac:dyDescent="0.25">
      <c r="D122" s="19" t="s">
        <v>162</v>
      </c>
      <c r="E122" s="19">
        <v>2035</v>
      </c>
      <c r="F122" s="97">
        <v>27.471638227441758</v>
      </c>
    </row>
    <row r="123" spans="3:6" x14ac:dyDescent="0.25">
      <c r="D123" s="19" t="s">
        <v>162</v>
      </c>
      <c r="E123" s="19">
        <v>2037</v>
      </c>
      <c r="F123" s="97">
        <v>22.774089751023496</v>
      </c>
    </row>
    <row r="124" spans="3:6" x14ac:dyDescent="0.25">
      <c r="D124" s="19" t="s">
        <v>162</v>
      </c>
      <c r="E124" s="19">
        <v>2040</v>
      </c>
      <c r="F124" s="97">
        <v>15.727767036396102</v>
      </c>
    </row>
    <row r="125" spans="3:6" x14ac:dyDescent="0.25">
      <c r="D125" s="19" t="s">
        <v>162</v>
      </c>
      <c r="E125" s="19">
        <v>2043</v>
      </c>
      <c r="F125" s="97">
        <v>9.6596165622714754</v>
      </c>
    </row>
    <row r="126" spans="3:6" x14ac:dyDescent="0.25">
      <c r="D126" s="19" t="s">
        <v>162</v>
      </c>
      <c r="E126" s="19">
        <v>2045</v>
      </c>
      <c r="F126" s="97">
        <v>8.2794492877500225</v>
      </c>
    </row>
    <row r="127" spans="3:6" x14ac:dyDescent="0.25">
      <c r="D127" s="19" t="s">
        <v>162</v>
      </c>
      <c r="E127" s="19">
        <v>2047</v>
      </c>
      <c r="F127" s="97">
        <v>7.0735333286609636</v>
      </c>
    </row>
    <row r="128" spans="3:6" x14ac:dyDescent="0.25">
      <c r="D128" s="19" t="s">
        <v>162</v>
      </c>
      <c r="E128" s="19">
        <v>2050</v>
      </c>
      <c r="F128" s="97">
        <v>5.2903275793547166</v>
      </c>
    </row>
    <row r="129" spans="3:6" x14ac:dyDescent="0.25">
      <c r="C129" s="19" t="str">
        <f>+D53</f>
        <v>MIN-P3-CAM6</v>
      </c>
      <c r="D129" s="19" t="s">
        <v>162</v>
      </c>
      <c r="E129" s="19">
        <v>2019</v>
      </c>
      <c r="F129" s="97">
        <v>29.863178560112861</v>
      </c>
    </row>
    <row r="130" spans="3:6" x14ac:dyDescent="0.25">
      <c r="D130" s="19" t="s">
        <v>162</v>
      </c>
      <c r="E130" s="19">
        <v>2020</v>
      </c>
      <c r="F130" s="97">
        <v>27.835107673690871</v>
      </c>
    </row>
    <row r="131" spans="3:6" x14ac:dyDescent="0.25">
      <c r="D131" s="19" t="s">
        <v>162</v>
      </c>
      <c r="E131" s="19">
        <v>2023</v>
      </c>
      <c r="F131" s="97">
        <v>17.559909024325922</v>
      </c>
    </row>
    <row r="132" spans="3:6" x14ac:dyDescent="0.25">
      <c r="D132" s="19" t="s">
        <v>162</v>
      </c>
      <c r="E132" s="19">
        <v>2025</v>
      </c>
      <c r="F132" s="97">
        <v>20.274712206938659</v>
      </c>
    </row>
    <row r="133" spans="3:6" x14ac:dyDescent="0.25">
      <c r="D133" s="19" t="s">
        <v>162</v>
      </c>
      <c r="E133" s="19">
        <v>2027</v>
      </c>
      <c r="F133" s="97">
        <v>12.813096418110867</v>
      </c>
    </row>
    <row r="134" spans="3:6" x14ac:dyDescent="0.25">
      <c r="D134" s="19" t="s">
        <v>162</v>
      </c>
      <c r="E134" s="19">
        <v>2030</v>
      </c>
      <c r="F134" s="97">
        <v>12.747595139993381</v>
      </c>
    </row>
    <row r="135" spans="3:6" x14ac:dyDescent="0.25">
      <c r="D135" s="19" t="s">
        <v>162</v>
      </c>
      <c r="E135" s="19">
        <v>2033</v>
      </c>
      <c r="F135" s="97">
        <v>8.1699853499332526</v>
      </c>
    </row>
    <row r="136" spans="3:6" x14ac:dyDescent="0.25">
      <c r="D136" s="19" t="s">
        <v>162</v>
      </c>
      <c r="E136" s="19">
        <v>2035</v>
      </c>
      <c r="F136" s="97">
        <v>8.8839477570677019</v>
      </c>
    </row>
    <row r="137" spans="3:6" x14ac:dyDescent="0.25">
      <c r="D137" s="19" t="s">
        <v>162</v>
      </c>
      <c r="E137" s="19">
        <v>2037</v>
      </c>
      <c r="F137" s="97">
        <v>7.6545148810463139</v>
      </c>
    </row>
    <row r="138" spans="3:6" x14ac:dyDescent="0.25">
      <c r="D138" s="19" t="s">
        <v>162</v>
      </c>
      <c r="E138" s="19">
        <v>2040</v>
      </c>
      <c r="F138" s="97">
        <v>5.5289075934361867</v>
      </c>
    </row>
    <row r="139" spans="3:6" x14ac:dyDescent="0.25">
      <c r="D139" s="19" t="s">
        <v>162</v>
      </c>
      <c r="E139" s="19">
        <v>2043</v>
      </c>
      <c r="F139" s="97">
        <v>4.8075273037748882</v>
      </c>
    </row>
    <row r="140" spans="3:6" x14ac:dyDescent="0.25">
      <c r="D140" s="19" t="s">
        <v>162</v>
      </c>
      <c r="E140" s="19">
        <v>2045</v>
      </c>
      <c r="F140" s="97">
        <v>4.3266071106673554</v>
      </c>
    </row>
    <row r="141" spans="3:6" x14ac:dyDescent="0.25">
      <c r="D141" s="19" t="s">
        <v>162</v>
      </c>
      <c r="E141" s="19">
        <v>2047</v>
      </c>
      <c r="F141" s="97">
        <v>3.9981896052775268</v>
      </c>
    </row>
    <row r="142" spans="3:6" x14ac:dyDescent="0.25">
      <c r="D142" s="19" t="s">
        <v>162</v>
      </c>
      <c r="E142" s="19">
        <v>2050</v>
      </c>
      <c r="F142" s="97">
        <v>3.5055633471927838</v>
      </c>
    </row>
    <row r="143" spans="3:6" x14ac:dyDescent="0.25">
      <c r="C143" s="19" t="str">
        <f>+D54</f>
        <v>MIN-P3-CAM7</v>
      </c>
      <c r="D143" s="19" t="s">
        <v>162</v>
      </c>
      <c r="E143" s="19">
        <v>2019</v>
      </c>
      <c r="F143" s="95">
        <v>13.730938960633223</v>
      </c>
    </row>
    <row r="144" spans="3:6" x14ac:dyDescent="0.25">
      <c r="D144" s="19" t="s">
        <v>162</v>
      </c>
      <c r="E144" s="19">
        <v>2020</v>
      </c>
      <c r="F144" s="95">
        <v>13.481821376850158</v>
      </c>
    </row>
    <row r="145" spans="4:6" x14ac:dyDescent="0.25">
      <c r="D145" s="19" t="s">
        <v>162</v>
      </c>
      <c r="E145" s="19">
        <v>2023</v>
      </c>
      <c r="F145" s="95">
        <v>13.508917511179082</v>
      </c>
    </row>
    <row r="146" spans="4:6" x14ac:dyDescent="0.25">
      <c r="D146" s="19" t="s">
        <v>162</v>
      </c>
      <c r="E146" s="19">
        <v>2025</v>
      </c>
      <c r="F146" s="95">
        <v>11.452716398983046</v>
      </c>
    </row>
    <row r="147" spans="4:6" x14ac:dyDescent="0.25">
      <c r="D147" s="19" t="s">
        <v>162</v>
      </c>
      <c r="E147" s="19">
        <v>2027</v>
      </c>
      <c r="F147" s="95">
        <v>9.7608949656530672</v>
      </c>
    </row>
    <row r="148" spans="4:6" x14ac:dyDescent="0.25">
      <c r="D148" s="19" t="s">
        <v>162</v>
      </c>
      <c r="E148" s="19">
        <v>2030</v>
      </c>
      <c r="F148" s="95">
        <v>7.6571590031467025</v>
      </c>
    </row>
    <row r="149" spans="4:6" x14ac:dyDescent="0.25">
      <c r="D149" s="19" t="s">
        <v>162</v>
      </c>
      <c r="E149" s="19">
        <v>2033</v>
      </c>
      <c r="F149" s="95">
        <v>6.1813413727745186</v>
      </c>
    </row>
    <row r="150" spans="4:6" x14ac:dyDescent="0.25">
      <c r="D150" s="19" t="s">
        <v>162</v>
      </c>
      <c r="E150" s="19">
        <v>2035</v>
      </c>
      <c r="F150" s="95">
        <v>5.2908833074602128</v>
      </c>
    </row>
    <row r="151" spans="4:6" x14ac:dyDescent="0.25">
      <c r="D151" s="19" t="s">
        <v>162</v>
      </c>
      <c r="E151" s="19">
        <v>2037</v>
      </c>
      <c r="F151" s="95">
        <v>4.5396783970548498</v>
      </c>
    </row>
    <row r="152" spans="4:6" x14ac:dyDescent="0.25">
      <c r="D152" s="19" t="s">
        <v>162</v>
      </c>
      <c r="E152" s="19">
        <v>2040</v>
      </c>
      <c r="F152" s="95">
        <v>3.6489860397841127</v>
      </c>
    </row>
    <row r="153" spans="4:6" x14ac:dyDescent="0.25">
      <c r="D153" s="19" t="s">
        <v>162</v>
      </c>
      <c r="E153" s="19">
        <v>2043</v>
      </c>
      <c r="F153" s="95">
        <v>0.66755939822291932</v>
      </c>
    </row>
    <row r="154" spans="4:6" x14ac:dyDescent="0.25">
      <c r="D154" s="19" t="s">
        <v>162</v>
      </c>
      <c r="E154" s="19">
        <v>2045</v>
      </c>
      <c r="F154" s="95">
        <v>0.56675340398689622</v>
      </c>
    </row>
    <row r="155" spans="4:6" x14ac:dyDescent="0.25">
      <c r="D155" s="19" t="s">
        <v>162</v>
      </c>
      <c r="E155" s="19">
        <v>2047</v>
      </c>
      <c r="F155" s="95">
        <v>0.48255766260835375</v>
      </c>
    </row>
    <row r="156" spans="4:6" x14ac:dyDescent="0.25">
      <c r="D156" s="19" t="s">
        <v>162</v>
      </c>
      <c r="E156" s="19">
        <v>2050</v>
      </c>
      <c r="F156" s="95">
        <v>0.19724675268257483</v>
      </c>
    </row>
  </sheetData>
  <mergeCells count="1">
    <mergeCell ref="C4:H4"/>
  </mergeCells>
  <phoneticPr fontId="1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6. Reservas</vt:lpstr>
      <vt:lpstr>Probables Gas</vt:lpstr>
      <vt:lpstr>Posibles Gas</vt:lpstr>
      <vt:lpstr>Posibles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2022-11-23T22:08:40Z</dcterms:created>
  <dcterms:modified xsi:type="dcterms:W3CDTF">2022-11-30T04:37:33Z</dcterms:modified>
</cp:coreProperties>
</file>