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3.xml" ContentType="application/vnd.ms-excel.threadedcomments+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5B21B66E-5D24-418B-832A-7D7C99DD88C9}" xr6:coauthVersionLast="47" xr6:coauthVersionMax="47" xr10:uidLastSave="{00000000-0000-0000-0000-000000000000}"/>
  <bookViews>
    <workbookView xWindow="-28920" yWindow="-120" windowWidth="29040" windowHeight="15840" firstSheet="2" activeTab="11"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ANH" sheetId="22" r:id="rId10"/>
    <sheet name="5. GlobalData" sheetId="23" r:id="rId11"/>
    <sheet name="5. Data" sheetId="25" r:id="rId12"/>
    <sheet name="5. Oilfields" sheetId="26" r:id="rId13"/>
    <sheet name="5. Produccion" sheetId="24" r:id="rId14"/>
  </sheets>
  <externalReferences>
    <externalReference r:id="rId15"/>
    <externalReference r:id="rId16"/>
  </externalReferences>
  <definedNames>
    <definedName name="_xlnm._FilterDatabase" localSheetId="3" hidden="1">'1. EXP_IMP'!$I$222:$Q$222</definedName>
    <definedName name="_xlnm._FilterDatabase" localSheetId="9" hidden="1">'5. ANH'!$C$12:$W$12</definedName>
    <definedName name="_xlnm._FilterDatabase" localSheetId="11" hidden="1">'5. Data'!$J$89:$AA$89</definedName>
    <definedName name="_xlnm._FilterDatabase" localSheetId="10" hidden="1">'5. GlobalData'!$C$35:$I$35</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3" i="10" l="1"/>
  <c r="K108" i="3"/>
  <c r="AH8" i="26" a="1"/>
  <c r="AH8" i="26" s="1"/>
  <c r="N128" i="25"/>
  <c r="N129" i="25"/>
  <c r="N130" i="25"/>
  <c r="N131" i="25"/>
  <c r="N132" i="25"/>
  <c r="N127" i="25"/>
  <c r="J126" i="25"/>
  <c r="K126" i="25"/>
  <c r="L126" i="25"/>
  <c r="M126" i="25"/>
  <c r="J127" i="25"/>
  <c r="K127" i="25"/>
  <c r="L127" i="25"/>
  <c r="M127" i="25"/>
  <c r="J128" i="25"/>
  <c r="K128" i="25"/>
  <c r="L128" i="25"/>
  <c r="M128" i="25"/>
  <c r="J129" i="25"/>
  <c r="K129" i="25"/>
  <c r="L129" i="25"/>
  <c r="M129" i="25"/>
  <c r="J130" i="25"/>
  <c r="K130" i="25"/>
  <c r="L130" i="25"/>
  <c r="M130" i="25"/>
  <c r="J131" i="25"/>
  <c r="K131" i="25"/>
  <c r="L131" i="25"/>
  <c r="M131" i="25"/>
  <c r="J132" i="25"/>
  <c r="K132" i="25"/>
  <c r="L132" i="25"/>
  <c r="M132" i="25"/>
  <c r="J133" i="25"/>
  <c r="K133" i="25"/>
  <c r="L133" i="25"/>
  <c r="M133" i="25"/>
  <c r="J134" i="25"/>
  <c r="K134" i="25"/>
  <c r="L134" i="25"/>
  <c r="M134" i="25"/>
  <c r="J135" i="25"/>
  <c r="K135" i="25"/>
  <c r="L135" i="25"/>
  <c r="M135" i="25"/>
  <c r="J136" i="25"/>
  <c r="K136" i="25"/>
  <c r="L136" i="25"/>
  <c r="M136" i="25"/>
  <c r="J137" i="25"/>
  <c r="K137" i="25"/>
  <c r="L137" i="25"/>
  <c r="M137" i="25"/>
  <c r="J138" i="25"/>
  <c r="K138" i="25"/>
  <c r="L138" i="25"/>
  <c r="M138" i="25"/>
  <c r="J139" i="25"/>
  <c r="K139" i="25"/>
  <c r="L139" i="25"/>
  <c r="M139" i="25"/>
  <c r="AF8" i="26" a="1"/>
  <c r="AF8" i="26" s="1"/>
  <c r="T25" i="26"/>
  <c r="T26" i="26"/>
  <c r="T27" i="26"/>
  <c r="T28" i="26"/>
  <c r="T29" i="26"/>
  <c r="T30" i="26"/>
  <c r="S26" i="26"/>
  <c r="S27" i="26"/>
  <c r="S28" i="26"/>
  <c r="S29" i="26"/>
  <c r="S30" i="26"/>
  <c r="S25" i="26"/>
  <c r="AC13" i="26"/>
  <c r="AC14" i="26"/>
  <c r="AC17" i="26"/>
  <c r="AC15" i="26"/>
  <c r="AC16" i="26" s="1"/>
  <c r="AC11" i="26"/>
  <c r="AC12" i="26" s="1"/>
  <c r="AC18" i="26"/>
  <c r="AC9" i="26"/>
  <c r="AC10" i="26" s="1"/>
  <c r="AC8" i="26"/>
  <c r="U10" i="26"/>
  <c r="U26" i="26" s="1"/>
  <c r="U11" i="26"/>
  <c r="U27" i="26" s="1"/>
  <c r="U12" i="26"/>
  <c r="U28" i="26" s="1"/>
  <c r="U13" i="26"/>
  <c r="U29" i="26" s="1"/>
  <c r="U14" i="26"/>
  <c r="U30" i="26" s="1"/>
  <c r="U9" i="26"/>
  <c r="U25" i="26" s="1"/>
  <c r="T19" i="26"/>
  <c r="Q20" i="26"/>
  <c r="Q19" i="26" s="1"/>
  <c r="Q18" i="26"/>
  <c r="Q16" i="26"/>
  <c r="Q15" i="26" s="1"/>
  <c r="Q14" i="26"/>
  <c r="Q13" i="26" s="1"/>
  <c r="Q12" i="26"/>
  <c r="Q11" i="26" s="1"/>
  <c r="Q17" i="26"/>
  <c r="Q10" i="26"/>
  <c r="Q9" i="26" s="1"/>
  <c r="J107" i="25"/>
  <c r="K107" i="25"/>
  <c r="L107" i="25"/>
  <c r="M107" i="25"/>
  <c r="J108" i="25"/>
  <c r="K108" i="25"/>
  <c r="L108" i="25"/>
  <c r="M108" i="25"/>
  <c r="J109" i="25"/>
  <c r="K109" i="25"/>
  <c r="L109" i="25"/>
  <c r="M109" i="25"/>
  <c r="J110" i="25"/>
  <c r="K110" i="25"/>
  <c r="L110" i="25"/>
  <c r="M110" i="25"/>
  <c r="J111" i="25"/>
  <c r="K111" i="25"/>
  <c r="L111" i="25"/>
  <c r="M111" i="25"/>
  <c r="J112" i="25"/>
  <c r="K112" i="25"/>
  <c r="L112" i="25"/>
  <c r="M112" i="25"/>
  <c r="J113" i="25"/>
  <c r="K113" i="25"/>
  <c r="L113" i="25"/>
  <c r="M113" i="25"/>
  <c r="J114" i="25"/>
  <c r="K114" i="25"/>
  <c r="L114" i="25"/>
  <c r="M114" i="25"/>
  <c r="J115" i="25"/>
  <c r="K115" i="25"/>
  <c r="L115" i="25"/>
  <c r="M115" i="25"/>
  <c r="J116" i="25"/>
  <c r="K116" i="25"/>
  <c r="L116" i="25"/>
  <c r="M116" i="25"/>
  <c r="J117" i="25"/>
  <c r="K117" i="25"/>
  <c r="L117" i="25"/>
  <c r="M117" i="25"/>
  <c r="J118" i="25"/>
  <c r="K118" i="25"/>
  <c r="L118" i="25"/>
  <c r="M118" i="25"/>
  <c r="J119" i="25"/>
  <c r="K119" i="25"/>
  <c r="L119" i="25"/>
  <c r="M119" i="25"/>
  <c r="J120" i="25"/>
  <c r="K120" i="25"/>
  <c r="L120" i="25"/>
  <c r="M120" i="25"/>
  <c r="P85" i="24"/>
  <c r="M79" i="26" a="1"/>
  <c r="M79" i="26" s="1"/>
  <c r="J79" i="26"/>
  <c r="M65" i="26" a="1"/>
  <c r="M65" i="26" s="1"/>
  <c r="J65" i="26"/>
  <c r="M51" i="26" a="1"/>
  <c r="M51" i="26" s="1"/>
  <c r="J51" i="26"/>
  <c r="M37" i="26" a="1"/>
  <c r="M37" i="26" s="1"/>
  <c r="J37" i="26"/>
  <c r="M23" i="26" a="1"/>
  <c r="M23" i="26" s="1"/>
  <c r="J23" i="26"/>
  <c r="L9" i="26" a="1"/>
  <c r="L9" i="26" s="1"/>
  <c r="J9" i="26"/>
  <c r="M9" i="26" a="1"/>
  <c r="M9" i="26" s="1"/>
  <c r="T31" i="24"/>
  <c r="P55" i="24"/>
  <c r="F9" i="26" a="1"/>
  <c r="F9" i="26" s="1"/>
  <c r="D9" i="26" a="1"/>
  <c r="D9" i="26" s="1"/>
  <c r="C9" i="26" a="1"/>
  <c r="C9" i="26" s="1"/>
  <c r="BL105" i="25"/>
  <c r="BM105" i="25"/>
  <c r="BN105" i="25"/>
  <c r="BO105" i="25"/>
  <c r="BP105" i="25"/>
  <c r="BQ105" i="25"/>
  <c r="BR105" i="25"/>
  <c r="BS105" i="25"/>
  <c r="BT105" i="25"/>
  <c r="BU105" i="25"/>
  <c r="BV105" i="25"/>
  <c r="BW105" i="25"/>
  <c r="BX105" i="25"/>
  <c r="BK105" i="25"/>
  <c r="AX105" i="25"/>
  <c r="AY105" i="25"/>
  <c r="AZ105" i="25"/>
  <c r="BA105" i="25"/>
  <c r="BB105" i="25"/>
  <c r="BC105" i="25"/>
  <c r="BD105" i="25"/>
  <c r="BE105" i="25"/>
  <c r="BF105" i="25"/>
  <c r="BG105" i="25"/>
  <c r="BH105" i="25"/>
  <c r="BI105" i="25"/>
  <c r="BJ105" i="25"/>
  <c r="AW105" i="25"/>
  <c r="AX104" i="25"/>
  <c r="AY104" i="25"/>
  <c r="AZ104" i="25"/>
  <c r="BA104" i="25"/>
  <c r="BB104" i="25"/>
  <c r="BC104" i="25"/>
  <c r="BD104" i="25"/>
  <c r="BE104" i="25"/>
  <c r="BF104" i="25"/>
  <c r="BG104" i="25"/>
  <c r="BH104" i="25"/>
  <c r="BI104" i="25"/>
  <c r="BJ104" i="25"/>
  <c r="BK104" i="25"/>
  <c r="BL104" i="25"/>
  <c r="BM104" i="25"/>
  <c r="BN104" i="25"/>
  <c r="BO104" i="25"/>
  <c r="BP104" i="25"/>
  <c r="BQ104" i="25"/>
  <c r="BR104" i="25"/>
  <c r="BS104" i="25"/>
  <c r="BT104" i="25"/>
  <c r="BU104" i="25"/>
  <c r="BV104" i="25"/>
  <c r="BW104" i="25"/>
  <c r="BX104" i="25"/>
  <c r="AW104" i="25"/>
  <c r="BK91" i="25"/>
  <c r="BL91" i="25"/>
  <c r="BM91" i="25"/>
  <c r="BN91" i="25"/>
  <c r="BO91" i="25"/>
  <c r="BP91" i="25"/>
  <c r="BQ91" i="25"/>
  <c r="BR91" i="25"/>
  <c r="BS91" i="25"/>
  <c r="BT91" i="25"/>
  <c r="BU91" i="25"/>
  <c r="BV91" i="25"/>
  <c r="BW91" i="25"/>
  <c r="BX91" i="25"/>
  <c r="BK92" i="25"/>
  <c r="BL92" i="25"/>
  <c r="BM92" i="25"/>
  <c r="BN92" i="25"/>
  <c r="BO92" i="25"/>
  <c r="BP92" i="25"/>
  <c r="BQ92" i="25"/>
  <c r="BR92" i="25"/>
  <c r="BS92" i="25"/>
  <c r="BT92" i="25"/>
  <c r="BU92" i="25"/>
  <c r="BV92" i="25"/>
  <c r="BW92" i="25"/>
  <c r="BX92" i="25"/>
  <c r="BK93" i="25"/>
  <c r="BL93" i="25"/>
  <c r="BM93" i="25"/>
  <c r="BN93" i="25"/>
  <c r="BO93" i="25"/>
  <c r="BP93" i="25"/>
  <c r="BQ93" i="25"/>
  <c r="BR93" i="25"/>
  <c r="BS93" i="25"/>
  <c r="BT93" i="25"/>
  <c r="BU93" i="25"/>
  <c r="BV93" i="25"/>
  <c r="BW93" i="25"/>
  <c r="BX93" i="25"/>
  <c r="BK94" i="25"/>
  <c r="BL94" i="25"/>
  <c r="BM94" i="25"/>
  <c r="BN94" i="25"/>
  <c r="BO94" i="25"/>
  <c r="BP94" i="25"/>
  <c r="BQ94" i="25"/>
  <c r="BR94" i="25"/>
  <c r="BS94" i="25"/>
  <c r="BT94" i="25"/>
  <c r="BU94" i="25"/>
  <c r="BV94" i="25"/>
  <c r="BW94" i="25"/>
  <c r="BX94" i="25"/>
  <c r="BK95" i="25"/>
  <c r="BL95" i="25"/>
  <c r="BM95" i="25"/>
  <c r="BN95" i="25"/>
  <c r="BO95" i="25"/>
  <c r="BP95" i="25"/>
  <c r="BQ95" i="25"/>
  <c r="BR95" i="25"/>
  <c r="BS95" i="25"/>
  <c r="BT95" i="25"/>
  <c r="BU95" i="25"/>
  <c r="BV95" i="25"/>
  <c r="BW95" i="25"/>
  <c r="BX95" i="25"/>
  <c r="BK96" i="25"/>
  <c r="BL96" i="25"/>
  <c r="BM96" i="25"/>
  <c r="BN96" i="25"/>
  <c r="BO96" i="25"/>
  <c r="BP96" i="25"/>
  <c r="BQ96" i="25"/>
  <c r="BR96" i="25"/>
  <c r="BS96" i="25"/>
  <c r="BT96" i="25"/>
  <c r="BU96" i="25"/>
  <c r="BV96" i="25"/>
  <c r="BW96" i="25"/>
  <c r="BX96" i="25"/>
  <c r="BK97" i="25"/>
  <c r="BL97" i="25"/>
  <c r="BM97" i="25"/>
  <c r="BN97" i="25"/>
  <c r="BO97" i="25"/>
  <c r="BP97" i="25"/>
  <c r="BQ97" i="25"/>
  <c r="BR97" i="25"/>
  <c r="BS97" i="25"/>
  <c r="BT97" i="25"/>
  <c r="BU97" i="25"/>
  <c r="BV97" i="25"/>
  <c r="BW97" i="25"/>
  <c r="BX97" i="25"/>
  <c r="BK98" i="25"/>
  <c r="BL98" i="25"/>
  <c r="BM98" i="25"/>
  <c r="BN98" i="25"/>
  <c r="BO98" i="25"/>
  <c r="BP98" i="25"/>
  <c r="BQ98" i="25"/>
  <c r="BR98" i="25"/>
  <c r="BS98" i="25"/>
  <c r="BT98" i="25"/>
  <c r="BU98" i="25"/>
  <c r="BV98" i="25"/>
  <c r="BW98" i="25"/>
  <c r="BX98" i="25"/>
  <c r="BK99" i="25"/>
  <c r="BL99" i="25"/>
  <c r="BM99" i="25"/>
  <c r="BN99" i="25"/>
  <c r="BO99" i="25"/>
  <c r="BP99" i="25"/>
  <c r="BQ99" i="25"/>
  <c r="BR99" i="25"/>
  <c r="BS99" i="25"/>
  <c r="BT99" i="25"/>
  <c r="BU99" i="25"/>
  <c r="BV99" i="25"/>
  <c r="BW99" i="25"/>
  <c r="BX99" i="25"/>
  <c r="BK100" i="25"/>
  <c r="BL100" i="25"/>
  <c r="BM100" i="25"/>
  <c r="BN100" i="25"/>
  <c r="BO100" i="25"/>
  <c r="BP100" i="25"/>
  <c r="BQ100" i="25"/>
  <c r="BR100" i="25"/>
  <c r="BS100" i="25"/>
  <c r="BT100" i="25"/>
  <c r="BU100" i="25"/>
  <c r="BV100" i="25"/>
  <c r="BW100" i="25"/>
  <c r="BX100" i="25"/>
  <c r="BK101" i="25"/>
  <c r="BL101" i="25"/>
  <c r="BM101" i="25"/>
  <c r="BN101" i="25"/>
  <c r="BO101" i="25"/>
  <c r="BP101" i="25"/>
  <c r="BQ101" i="25"/>
  <c r="BR101" i="25"/>
  <c r="BS101" i="25"/>
  <c r="BT101" i="25"/>
  <c r="BU101" i="25"/>
  <c r="BV101" i="25"/>
  <c r="BW101" i="25"/>
  <c r="BX101" i="25"/>
  <c r="BK102" i="25"/>
  <c r="BL102" i="25"/>
  <c r="BM102" i="25"/>
  <c r="BN102" i="25"/>
  <c r="BO102" i="25"/>
  <c r="BP102" i="25"/>
  <c r="BQ102" i="25"/>
  <c r="BR102" i="25"/>
  <c r="BS102" i="25"/>
  <c r="BT102" i="25"/>
  <c r="BU102" i="25"/>
  <c r="BV102" i="25"/>
  <c r="BW102" i="25"/>
  <c r="BX102" i="25"/>
  <c r="BL90" i="25"/>
  <c r="BM90" i="25"/>
  <c r="BN90" i="25"/>
  <c r="BO90" i="25"/>
  <c r="BP90" i="25"/>
  <c r="BQ90" i="25"/>
  <c r="BR90" i="25"/>
  <c r="BS90" i="25"/>
  <c r="BT90" i="25"/>
  <c r="BU90" i="25"/>
  <c r="BV90" i="25"/>
  <c r="BW90" i="25"/>
  <c r="BX90" i="25"/>
  <c r="BK90" i="25"/>
  <c r="AX90" i="25"/>
  <c r="AY90" i="25"/>
  <c r="AZ90" i="25"/>
  <c r="BA90" i="25"/>
  <c r="BB90" i="25"/>
  <c r="BC90" i="25"/>
  <c r="BD90" i="25"/>
  <c r="BE90" i="25"/>
  <c r="BF90" i="25"/>
  <c r="BG90" i="25"/>
  <c r="BH90" i="25"/>
  <c r="BI90" i="25"/>
  <c r="BJ90" i="25"/>
  <c r="AX91" i="25"/>
  <c r="AY91" i="25"/>
  <c r="AZ91" i="25"/>
  <c r="BA91" i="25"/>
  <c r="BB91" i="25"/>
  <c r="BC91" i="25"/>
  <c r="BD91" i="25"/>
  <c r="BE91" i="25"/>
  <c r="BF91" i="25"/>
  <c r="BG91" i="25"/>
  <c r="BH91" i="25"/>
  <c r="BI91" i="25"/>
  <c r="BJ91" i="25"/>
  <c r="AX92" i="25"/>
  <c r="AY92" i="25"/>
  <c r="AZ92" i="25"/>
  <c r="BA92" i="25"/>
  <c r="BB92" i="25"/>
  <c r="BC92" i="25"/>
  <c r="BD92" i="25"/>
  <c r="BE92" i="25"/>
  <c r="BF92" i="25"/>
  <c r="BG92" i="25"/>
  <c r="BH92" i="25"/>
  <c r="BI92" i="25"/>
  <c r="BJ92" i="25"/>
  <c r="AX93" i="25"/>
  <c r="AY93" i="25"/>
  <c r="AZ93" i="25"/>
  <c r="BA93" i="25"/>
  <c r="BB93" i="25"/>
  <c r="BC93" i="25"/>
  <c r="BD93" i="25"/>
  <c r="BE93" i="25"/>
  <c r="BF93" i="25"/>
  <c r="BG93" i="25"/>
  <c r="BH93" i="25"/>
  <c r="BI93" i="25"/>
  <c r="BJ93" i="25"/>
  <c r="AX94" i="25"/>
  <c r="AY94" i="25"/>
  <c r="AZ94" i="25"/>
  <c r="BA94" i="25"/>
  <c r="BB94" i="25"/>
  <c r="BC94" i="25"/>
  <c r="BD94" i="25"/>
  <c r="BE94" i="25"/>
  <c r="BF94" i="25"/>
  <c r="BG94" i="25"/>
  <c r="BH94" i="25"/>
  <c r="BI94" i="25"/>
  <c r="BJ94" i="25"/>
  <c r="AX95" i="25"/>
  <c r="AY95" i="25"/>
  <c r="AZ95" i="25"/>
  <c r="BA95" i="25"/>
  <c r="BB95" i="25"/>
  <c r="BC95" i="25"/>
  <c r="BD95" i="25"/>
  <c r="BE95" i="25"/>
  <c r="BF95" i="25"/>
  <c r="BG95" i="25"/>
  <c r="BH95" i="25"/>
  <c r="BI95" i="25"/>
  <c r="BJ95" i="25"/>
  <c r="AX96" i="25"/>
  <c r="AY96" i="25"/>
  <c r="AZ96" i="25"/>
  <c r="BA96" i="25"/>
  <c r="BB96" i="25"/>
  <c r="BC96" i="25"/>
  <c r="BD96" i="25"/>
  <c r="BE96" i="25"/>
  <c r="BF96" i="25"/>
  <c r="BG96" i="25"/>
  <c r="BH96" i="25"/>
  <c r="BI96" i="25"/>
  <c r="BJ96" i="25"/>
  <c r="AX97" i="25"/>
  <c r="AY97" i="25"/>
  <c r="AZ97" i="25"/>
  <c r="BA97" i="25"/>
  <c r="BB97" i="25"/>
  <c r="BC97" i="25"/>
  <c r="BD97" i="25"/>
  <c r="BE97" i="25"/>
  <c r="BF97" i="25"/>
  <c r="BG97" i="25"/>
  <c r="BH97" i="25"/>
  <c r="BI97" i="25"/>
  <c r="BJ97" i="25"/>
  <c r="AX98" i="25"/>
  <c r="AY98" i="25"/>
  <c r="AZ98" i="25"/>
  <c r="BA98" i="25"/>
  <c r="BB98" i="25"/>
  <c r="BC98" i="25"/>
  <c r="BD98" i="25"/>
  <c r="BE98" i="25"/>
  <c r="BF98" i="25"/>
  <c r="BG98" i="25"/>
  <c r="BH98" i="25"/>
  <c r="BI98" i="25"/>
  <c r="BJ98" i="25"/>
  <c r="AX99" i="25"/>
  <c r="AY99" i="25"/>
  <c r="AZ99" i="25"/>
  <c r="BA99" i="25"/>
  <c r="BB99" i="25"/>
  <c r="BC99" i="25"/>
  <c r="BD99" i="25"/>
  <c r="BE99" i="25"/>
  <c r="BF99" i="25"/>
  <c r="BG99" i="25"/>
  <c r="BH99" i="25"/>
  <c r="BI99" i="25"/>
  <c r="BJ99" i="25"/>
  <c r="AX100" i="25"/>
  <c r="AY100" i="25"/>
  <c r="AZ100" i="25"/>
  <c r="BA100" i="25"/>
  <c r="BB100" i="25"/>
  <c r="BC100" i="25"/>
  <c r="BD100" i="25"/>
  <c r="BE100" i="25"/>
  <c r="BF100" i="25"/>
  <c r="BG100" i="25"/>
  <c r="BH100" i="25"/>
  <c r="BI100" i="25"/>
  <c r="BJ100" i="25"/>
  <c r="AX101" i="25"/>
  <c r="AY101" i="25"/>
  <c r="AZ101" i="25"/>
  <c r="BA101" i="25"/>
  <c r="BB101" i="25"/>
  <c r="BC101" i="25"/>
  <c r="BD101" i="25"/>
  <c r="BE101" i="25"/>
  <c r="BF101" i="25"/>
  <c r="BG101" i="25"/>
  <c r="BH101" i="25"/>
  <c r="BI101" i="25"/>
  <c r="BJ101" i="25"/>
  <c r="AX102" i="25"/>
  <c r="AY102" i="25"/>
  <c r="AZ102" i="25"/>
  <c r="BA102" i="25"/>
  <c r="BB102" i="25"/>
  <c r="BC102" i="25"/>
  <c r="BD102" i="25"/>
  <c r="BE102" i="25"/>
  <c r="BF102" i="25"/>
  <c r="BG102" i="25"/>
  <c r="BH102" i="25"/>
  <c r="BI102" i="25"/>
  <c r="BJ102" i="25"/>
  <c r="AW91" i="25"/>
  <c r="AW92" i="25"/>
  <c r="AW93" i="25"/>
  <c r="AW94" i="25"/>
  <c r="AW95" i="25"/>
  <c r="AW96" i="25"/>
  <c r="AW97" i="25"/>
  <c r="AW98" i="25"/>
  <c r="AW99" i="25"/>
  <c r="AW100" i="25"/>
  <c r="AW101" i="25"/>
  <c r="AW102" i="25"/>
  <c r="AW90" i="25"/>
  <c r="AI90" i="25"/>
  <c r="AJ90" i="25"/>
  <c r="AK90" i="25"/>
  <c r="AL90" i="25"/>
  <c r="AM90" i="25"/>
  <c r="AN90" i="25"/>
  <c r="AO90" i="25"/>
  <c r="AP90" i="25"/>
  <c r="AQ90" i="25"/>
  <c r="AR90" i="25"/>
  <c r="AS90" i="25"/>
  <c r="AT90" i="25"/>
  <c r="AU90" i="25"/>
  <c r="AV90" i="25"/>
  <c r="AI91" i="25"/>
  <c r="AJ91" i="25"/>
  <c r="AK91" i="25"/>
  <c r="AL91" i="25"/>
  <c r="AM91" i="25"/>
  <c r="AN91" i="25"/>
  <c r="AO91" i="25"/>
  <c r="AP91" i="25"/>
  <c r="AQ91" i="25"/>
  <c r="AR91" i="25"/>
  <c r="AS91" i="25"/>
  <c r="AT91" i="25"/>
  <c r="AU91" i="25"/>
  <c r="AV91" i="25"/>
  <c r="AI92" i="25"/>
  <c r="AJ92" i="25"/>
  <c r="AK92" i="25"/>
  <c r="AL92" i="25"/>
  <c r="AM92" i="25"/>
  <c r="AN92" i="25"/>
  <c r="AO92" i="25"/>
  <c r="AP92" i="25"/>
  <c r="AQ92" i="25"/>
  <c r="AR92" i="25"/>
  <c r="AS92" i="25"/>
  <c r="AT92" i="25"/>
  <c r="AU92" i="25"/>
  <c r="AV92" i="25"/>
  <c r="AI93" i="25"/>
  <c r="AJ93" i="25"/>
  <c r="AK93" i="25"/>
  <c r="AL93" i="25"/>
  <c r="AM93" i="25"/>
  <c r="AN93" i="25"/>
  <c r="AO93" i="25"/>
  <c r="AP93" i="25"/>
  <c r="AQ93" i="25"/>
  <c r="AR93" i="25"/>
  <c r="AS93" i="25"/>
  <c r="AT93" i="25"/>
  <c r="AU93" i="25"/>
  <c r="AV93" i="25"/>
  <c r="AI94" i="25"/>
  <c r="AJ94" i="25"/>
  <c r="AK94" i="25"/>
  <c r="AL94" i="25"/>
  <c r="AM94" i="25"/>
  <c r="AN94" i="25"/>
  <c r="AO94" i="25"/>
  <c r="AP94" i="25"/>
  <c r="AQ94" i="25"/>
  <c r="AR94" i="25"/>
  <c r="AS94" i="25"/>
  <c r="AT94" i="25"/>
  <c r="AU94" i="25"/>
  <c r="AV94" i="25"/>
  <c r="AI95" i="25"/>
  <c r="AJ95" i="25"/>
  <c r="AK95" i="25"/>
  <c r="AL95" i="25"/>
  <c r="AM95" i="25"/>
  <c r="AN95" i="25"/>
  <c r="AO95" i="25"/>
  <c r="AP95" i="25"/>
  <c r="AQ95" i="25"/>
  <c r="AR95" i="25"/>
  <c r="AS95" i="25"/>
  <c r="AT95" i="25"/>
  <c r="AU95" i="25"/>
  <c r="AV95" i="25"/>
  <c r="AI96" i="25"/>
  <c r="AJ96" i="25"/>
  <c r="AK96" i="25"/>
  <c r="AL96" i="25"/>
  <c r="AM96" i="25"/>
  <c r="AN96" i="25"/>
  <c r="AO96" i="25"/>
  <c r="AP96" i="25"/>
  <c r="AQ96" i="25"/>
  <c r="AR96" i="25"/>
  <c r="AS96" i="25"/>
  <c r="AT96" i="25"/>
  <c r="AU96" i="25"/>
  <c r="AV96" i="25"/>
  <c r="AI97" i="25"/>
  <c r="AJ97" i="25"/>
  <c r="AK97" i="25"/>
  <c r="AL97" i="25"/>
  <c r="AM97" i="25"/>
  <c r="AN97" i="25"/>
  <c r="AO97" i="25"/>
  <c r="AP97" i="25"/>
  <c r="AQ97" i="25"/>
  <c r="AR97" i="25"/>
  <c r="AS97" i="25"/>
  <c r="AT97" i="25"/>
  <c r="AU97" i="25"/>
  <c r="AV97" i="25"/>
  <c r="AI98" i="25"/>
  <c r="AJ98" i="25"/>
  <c r="AK98" i="25"/>
  <c r="AL98" i="25"/>
  <c r="AM98" i="25"/>
  <c r="AN98" i="25"/>
  <c r="AO98" i="25"/>
  <c r="AP98" i="25"/>
  <c r="AQ98" i="25"/>
  <c r="AR98" i="25"/>
  <c r="AS98" i="25"/>
  <c r="AT98" i="25"/>
  <c r="AU98" i="25"/>
  <c r="AV98" i="25"/>
  <c r="AI99" i="25"/>
  <c r="AJ99" i="25"/>
  <c r="AK99" i="25"/>
  <c r="AL99" i="25"/>
  <c r="AM99" i="25"/>
  <c r="AN99" i="25"/>
  <c r="AO99" i="25"/>
  <c r="AP99" i="25"/>
  <c r="AQ99" i="25"/>
  <c r="AR99" i="25"/>
  <c r="AS99" i="25"/>
  <c r="AT99" i="25"/>
  <c r="AU99" i="25"/>
  <c r="AV99" i="25"/>
  <c r="AI100" i="25"/>
  <c r="AJ100" i="25"/>
  <c r="AK100" i="25"/>
  <c r="AL100" i="25"/>
  <c r="AM100" i="25"/>
  <c r="AN100" i="25"/>
  <c r="AO100" i="25"/>
  <c r="AP100" i="25"/>
  <c r="AQ100" i="25"/>
  <c r="AR100" i="25"/>
  <c r="AS100" i="25"/>
  <c r="AT100" i="25"/>
  <c r="AU100" i="25"/>
  <c r="AV100" i="25"/>
  <c r="AI101" i="25"/>
  <c r="AJ101" i="25"/>
  <c r="AK101" i="25"/>
  <c r="AL101" i="25"/>
  <c r="AM101" i="25"/>
  <c r="AN101" i="25"/>
  <c r="AO101" i="25"/>
  <c r="AP101" i="25"/>
  <c r="AQ101" i="25"/>
  <c r="AR101" i="25"/>
  <c r="AS101" i="25"/>
  <c r="AT101" i="25"/>
  <c r="AU101" i="25"/>
  <c r="AV101" i="25"/>
  <c r="AI102" i="25"/>
  <c r="AJ102" i="25"/>
  <c r="AK102" i="25"/>
  <c r="AL102" i="25"/>
  <c r="AM102" i="25"/>
  <c r="AN102" i="25"/>
  <c r="AO102" i="25"/>
  <c r="AP102" i="25"/>
  <c r="AQ102" i="25"/>
  <c r="AR102" i="25"/>
  <c r="AS102" i="25"/>
  <c r="AT102" i="25"/>
  <c r="AU102" i="25"/>
  <c r="AV102" i="25"/>
  <c r="AH90" i="25"/>
  <c r="BO75" i="25"/>
  <c r="BP75" i="25"/>
  <c r="BW69" i="25"/>
  <c r="BV69" i="25"/>
  <c r="BU69" i="25"/>
  <c r="BW80" i="25"/>
  <c r="BW79" i="25"/>
  <c r="BW78" i="25"/>
  <c r="BW76" i="25"/>
  <c r="BW67" i="25"/>
  <c r="BW64" i="25"/>
  <c r="BU80" i="25"/>
  <c r="BU79" i="25"/>
  <c r="BU78" i="25"/>
  <c r="BU76" i="25"/>
  <c r="BU75" i="25"/>
  <c r="BU74" i="25"/>
  <c r="BU71" i="25"/>
  <c r="BU67" i="25"/>
  <c r="BU64" i="25"/>
  <c r="BS80" i="25"/>
  <c r="BS79" i="25"/>
  <c r="BS77" i="25"/>
  <c r="BS76" i="25"/>
  <c r="BS75" i="25"/>
  <c r="BS74" i="25"/>
  <c r="BS73" i="25"/>
  <c r="BS72" i="25"/>
  <c r="BS71" i="25"/>
  <c r="BS67" i="25"/>
  <c r="BS64" i="25"/>
  <c r="BQ80" i="25"/>
  <c r="BQ79" i="25"/>
  <c r="BQ77" i="25"/>
  <c r="BQ76" i="25"/>
  <c r="BQ74" i="25"/>
  <c r="BQ73" i="25"/>
  <c r="BQ72" i="25"/>
  <c r="BQ71" i="25"/>
  <c r="BQ69" i="25"/>
  <c r="BQ68" i="25"/>
  <c r="BQ67" i="25"/>
  <c r="BQ64" i="25"/>
  <c r="BO80" i="25"/>
  <c r="BO79" i="25"/>
  <c r="BO77" i="25"/>
  <c r="BO76" i="25"/>
  <c r="BO73" i="25"/>
  <c r="BO74" i="25"/>
  <c r="BO72" i="25"/>
  <c r="BO70" i="25"/>
  <c r="BO71" i="25"/>
  <c r="BO69" i="25"/>
  <c r="BO68" i="25"/>
  <c r="BO64" i="25"/>
  <c r="BM61" i="25"/>
  <c r="BM80" i="25"/>
  <c r="BM77" i="25"/>
  <c r="BM76" i="25"/>
  <c r="BM73" i="25"/>
  <c r="BM68" i="25"/>
  <c r="BM65" i="25"/>
  <c r="AH102" i="25"/>
  <c r="AH101" i="25"/>
  <c r="AH100" i="25"/>
  <c r="AH99" i="25"/>
  <c r="AH98" i="25"/>
  <c r="AH97" i="25"/>
  <c r="AH96" i="25"/>
  <c r="AH95" i="25"/>
  <c r="AH94" i="25"/>
  <c r="AH93" i="25"/>
  <c r="AH92" i="25"/>
  <c r="AH91" i="25"/>
  <c r="BH79" i="25"/>
  <c r="AW62" i="25"/>
  <c r="AX62" i="25"/>
  <c r="AY62" i="25"/>
  <c r="AZ62" i="25"/>
  <c r="BA62" i="25"/>
  <c r="BB62" i="25"/>
  <c r="BC62" i="25"/>
  <c r="BD62" i="25"/>
  <c r="BE62" i="25"/>
  <c r="BF62" i="25"/>
  <c r="BG62" i="25"/>
  <c r="BH62" i="25"/>
  <c r="BI62" i="25"/>
  <c r="BJ62" i="25"/>
  <c r="AW63" i="25"/>
  <c r="AX63" i="25"/>
  <c r="AY63" i="25"/>
  <c r="AZ63" i="25"/>
  <c r="BA63" i="25"/>
  <c r="BB63" i="25"/>
  <c r="BC63" i="25"/>
  <c r="BD63" i="25"/>
  <c r="BE63" i="25"/>
  <c r="BF63" i="25"/>
  <c r="BG63" i="25"/>
  <c r="BH63" i="25"/>
  <c r="BI63" i="25"/>
  <c r="BJ63" i="25"/>
  <c r="AW64" i="25"/>
  <c r="AX64" i="25"/>
  <c r="AY64" i="25"/>
  <c r="AZ64" i="25"/>
  <c r="BA64" i="25"/>
  <c r="BB64" i="25"/>
  <c r="BC64" i="25"/>
  <c r="BD64" i="25"/>
  <c r="BE64" i="25"/>
  <c r="BF64" i="25"/>
  <c r="BG64" i="25"/>
  <c r="BH64" i="25"/>
  <c r="BI64" i="25"/>
  <c r="BJ64" i="25"/>
  <c r="AW65" i="25"/>
  <c r="AX65" i="25"/>
  <c r="AY65" i="25"/>
  <c r="AZ65" i="25"/>
  <c r="BA65" i="25"/>
  <c r="BB65" i="25"/>
  <c r="BC65" i="25"/>
  <c r="BD65" i="25"/>
  <c r="BE65" i="25"/>
  <c r="BF65" i="25"/>
  <c r="BG65" i="25"/>
  <c r="BH65" i="25"/>
  <c r="BI65" i="25"/>
  <c r="BJ65" i="25"/>
  <c r="AW66" i="25"/>
  <c r="AX66" i="25"/>
  <c r="AY66" i="25"/>
  <c r="AZ66" i="25"/>
  <c r="BA66" i="25"/>
  <c r="BB66" i="25"/>
  <c r="BC66" i="25"/>
  <c r="BD66" i="25"/>
  <c r="BE66" i="25"/>
  <c r="BF66" i="25"/>
  <c r="BG66" i="25"/>
  <c r="BH66" i="25"/>
  <c r="BI66" i="25"/>
  <c r="BJ66" i="25"/>
  <c r="AW67" i="25"/>
  <c r="AX67" i="25"/>
  <c r="AY67" i="25"/>
  <c r="AZ67" i="25"/>
  <c r="BA67" i="25"/>
  <c r="BB67" i="25"/>
  <c r="BC67" i="25"/>
  <c r="BD67" i="25"/>
  <c r="BE67" i="25"/>
  <c r="BF67" i="25"/>
  <c r="BG67" i="25"/>
  <c r="BH67" i="25"/>
  <c r="BI67" i="25"/>
  <c r="BJ67" i="25"/>
  <c r="AW68" i="25"/>
  <c r="AX68" i="25"/>
  <c r="AY68" i="25"/>
  <c r="AZ68" i="25"/>
  <c r="BA68" i="25"/>
  <c r="BB68" i="25"/>
  <c r="BC68" i="25"/>
  <c r="BD68" i="25"/>
  <c r="BE68" i="25"/>
  <c r="BF68" i="25"/>
  <c r="BG68" i="25"/>
  <c r="BH68" i="25"/>
  <c r="BI68" i="25"/>
  <c r="BJ68" i="25"/>
  <c r="AW69" i="25"/>
  <c r="AX69" i="25"/>
  <c r="AY69" i="25"/>
  <c r="AZ69" i="25"/>
  <c r="BA69" i="25"/>
  <c r="BB69" i="25"/>
  <c r="BC69" i="25"/>
  <c r="BD69" i="25"/>
  <c r="BE69" i="25"/>
  <c r="BF69" i="25"/>
  <c r="BG69" i="25"/>
  <c r="BH69" i="25"/>
  <c r="BI69" i="25"/>
  <c r="BJ69" i="25"/>
  <c r="AW70" i="25"/>
  <c r="AX70" i="25"/>
  <c r="AY70" i="25"/>
  <c r="AZ70" i="25"/>
  <c r="BA70" i="25"/>
  <c r="BB70" i="25"/>
  <c r="BC70" i="25"/>
  <c r="BD70" i="25"/>
  <c r="BE70" i="25"/>
  <c r="BF70" i="25"/>
  <c r="BG70" i="25"/>
  <c r="BH70" i="25"/>
  <c r="BI70" i="25"/>
  <c r="BJ70" i="25"/>
  <c r="AW71" i="25"/>
  <c r="AX71" i="25"/>
  <c r="AY71" i="25"/>
  <c r="AZ71" i="25"/>
  <c r="BA71" i="25"/>
  <c r="BB71" i="25"/>
  <c r="BC71" i="25"/>
  <c r="BD71" i="25"/>
  <c r="BE71" i="25"/>
  <c r="BF71" i="25"/>
  <c r="BG71" i="25"/>
  <c r="BH71" i="25"/>
  <c r="BI71" i="25"/>
  <c r="BJ71" i="25"/>
  <c r="AW72" i="25"/>
  <c r="AX72" i="25"/>
  <c r="AY72" i="25"/>
  <c r="AZ72" i="25"/>
  <c r="BA72" i="25"/>
  <c r="BB72" i="25"/>
  <c r="BC72" i="25"/>
  <c r="BD72" i="25"/>
  <c r="BE72" i="25"/>
  <c r="BF72" i="25"/>
  <c r="BG72" i="25"/>
  <c r="BH72" i="25"/>
  <c r="BI72" i="25"/>
  <c r="BJ72" i="25"/>
  <c r="AW73" i="25"/>
  <c r="AX73" i="25"/>
  <c r="AY73" i="25"/>
  <c r="AZ73" i="25"/>
  <c r="BA73" i="25"/>
  <c r="BB73" i="25"/>
  <c r="BC73" i="25"/>
  <c r="BD73" i="25"/>
  <c r="BE73" i="25"/>
  <c r="BF73" i="25"/>
  <c r="BG73" i="25"/>
  <c r="BH73" i="25"/>
  <c r="BI73" i="25"/>
  <c r="BJ73" i="25"/>
  <c r="AW74" i="25"/>
  <c r="AX74" i="25"/>
  <c r="AY74" i="25"/>
  <c r="AZ74" i="25"/>
  <c r="BA74" i="25"/>
  <c r="BB74" i="25"/>
  <c r="BC74" i="25"/>
  <c r="BD74" i="25"/>
  <c r="BE74" i="25"/>
  <c r="BF74" i="25"/>
  <c r="BG74" i="25"/>
  <c r="BH74" i="25"/>
  <c r="BI74" i="25"/>
  <c r="BJ74" i="25"/>
  <c r="AW75" i="25"/>
  <c r="AX75" i="25"/>
  <c r="AY75" i="25"/>
  <c r="AZ75" i="25"/>
  <c r="BA75" i="25"/>
  <c r="BB75" i="25"/>
  <c r="BC75" i="25"/>
  <c r="BD75" i="25"/>
  <c r="BE75" i="25"/>
  <c r="BF75" i="25"/>
  <c r="BG75" i="25"/>
  <c r="BH75" i="25"/>
  <c r="BI75" i="25"/>
  <c r="BJ75" i="25"/>
  <c r="AW76" i="25"/>
  <c r="AX76" i="25"/>
  <c r="AY76" i="25"/>
  <c r="AZ76" i="25"/>
  <c r="BA76" i="25"/>
  <c r="BB76" i="25"/>
  <c r="BC76" i="25"/>
  <c r="BD76" i="25"/>
  <c r="BE76" i="25"/>
  <c r="BF76" i="25"/>
  <c r="BG76" i="25"/>
  <c r="BH76" i="25"/>
  <c r="BI76" i="25"/>
  <c r="BJ76" i="25"/>
  <c r="AW77" i="25"/>
  <c r="AX77" i="25"/>
  <c r="AY77" i="25"/>
  <c r="AZ77" i="25"/>
  <c r="BA77" i="25"/>
  <c r="BB77" i="25"/>
  <c r="BC77" i="25"/>
  <c r="BD77" i="25"/>
  <c r="BE77" i="25"/>
  <c r="BF77" i="25"/>
  <c r="BG77" i="25"/>
  <c r="BH77" i="25"/>
  <c r="BI77" i="25"/>
  <c r="BJ77" i="25"/>
  <c r="AW78" i="25"/>
  <c r="AX78" i="25"/>
  <c r="AY78" i="25"/>
  <c r="AZ78" i="25"/>
  <c r="BA78" i="25"/>
  <c r="BB78" i="25"/>
  <c r="BC78" i="25"/>
  <c r="BD78" i="25"/>
  <c r="BE78" i="25"/>
  <c r="BF78" i="25"/>
  <c r="BG78" i="25"/>
  <c r="BH78" i="25"/>
  <c r="BI78" i="25"/>
  <c r="BJ78" i="25"/>
  <c r="AW79" i="25"/>
  <c r="AX79" i="25"/>
  <c r="AY79" i="25"/>
  <c r="AZ79" i="25"/>
  <c r="BA79" i="25"/>
  <c r="BB79" i="25"/>
  <c r="BC79" i="25"/>
  <c r="BD79" i="25"/>
  <c r="BE79" i="25"/>
  <c r="BF79" i="25"/>
  <c r="BG79" i="25"/>
  <c r="BI79" i="25"/>
  <c r="BJ79" i="25"/>
  <c r="AW80" i="25"/>
  <c r="AX80" i="25"/>
  <c r="AY80" i="25"/>
  <c r="AZ80" i="25"/>
  <c r="BA80" i="25"/>
  <c r="BB80" i="25"/>
  <c r="BC80" i="25"/>
  <c r="BD80" i="25"/>
  <c r="BE80" i="25"/>
  <c r="BF80" i="25"/>
  <c r="BG80" i="25"/>
  <c r="BH80" i="25"/>
  <c r="BI80" i="25"/>
  <c r="BJ80" i="25"/>
  <c r="AX61" i="25"/>
  <c r="AY61" i="25"/>
  <c r="AZ61" i="25"/>
  <c r="BA61" i="25"/>
  <c r="BB61" i="25"/>
  <c r="BC61" i="25"/>
  <c r="BD61" i="25"/>
  <c r="BE61" i="25"/>
  <c r="BF61" i="25"/>
  <c r="BG61" i="25"/>
  <c r="BH61" i="25"/>
  <c r="BI61" i="25"/>
  <c r="BJ61" i="25"/>
  <c r="AW61" i="25"/>
  <c r="DD60" i="25"/>
  <c r="DE60" i="25"/>
  <c r="DD61" i="25"/>
  <c r="DE61" i="25"/>
  <c r="DF61" i="25"/>
  <c r="DD62" i="25"/>
  <c r="DE62" i="25"/>
  <c r="DF62" i="25"/>
  <c r="DD63" i="25"/>
  <c r="DE63" i="25"/>
  <c r="DF63" i="25"/>
  <c r="DD64" i="25"/>
  <c r="DE64" i="25"/>
  <c r="DF64" i="25"/>
  <c r="DD65" i="25"/>
  <c r="DE65" i="25"/>
  <c r="DF65" i="25"/>
  <c r="DD66" i="25"/>
  <c r="DE66" i="25"/>
  <c r="DF66" i="25"/>
  <c r="DD67" i="25"/>
  <c r="DF67" i="25"/>
  <c r="DD68" i="25"/>
  <c r="DF68" i="25"/>
  <c r="DD69" i="25"/>
  <c r="DE69" i="25"/>
  <c r="DF69" i="25"/>
  <c r="DD70" i="25"/>
  <c r="DF70" i="25"/>
  <c r="DD71" i="25"/>
  <c r="DE71" i="25"/>
  <c r="DF71" i="25"/>
  <c r="DD72" i="25"/>
  <c r="DE72" i="25"/>
  <c r="DF72" i="25"/>
  <c r="DD73" i="25"/>
  <c r="DE73" i="25"/>
  <c r="DF73" i="25"/>
  <c r="DD74" i="25"/>
  <c r="DE74" i="25"/>
  <c r="DF74" i="25"/>
  <c r="DD75" i="25"/>
  <c r="DE75" i="25"/>
  <c r="DF75" i="25"/>
  <c r="DD76" i="25"/>
  <c r="DE76" i="25"/>
  <c r="DF76" i="25"/>
  <c r="DD77" i="25"/>
  <c r="DF77" i="25"/>
  <c r="DD78" i="25"/>
  <c r="DE78" i="25"/>
  <c r="DF78" i="25"/>
  <c r="DD79" i="25"/>
  <c r="DE79" i="25"/>
  <c r="DF79" i="25"/>
  <c r="DD80" i="25"/>
  <c r="DE80" i="25"/>
  <c r="DF80" i="25"/>
  <c r="AI61" i="25"/>
  <c r="AJ61" i="25"/>
  <c r="AK61" i="25"/>
  <c r="AL61" i="25"/>
  <c r="AM61" i="25"/>
  <c r="AN61" i="25"/>
  <c r="AO61" i="25"/>
  <c r="AP61" i="25"/>
  <c r="AQ61" i="25"/>
  <c r="AR61" i="25"/>
  <c r="AS61" i="25"/>
  <c r="AT61" i="25"/>
  <c r="AU61" i="25"/>
  <c r="AV61" i="25"/>
  <c r="AI62" i="25"/>
  <c r="AJ62" i="25"/>
  <c r="AK62" i="25"/>
  <c r="AL62" i="25"/>
  <c r="AM62" i="25"/>
  <c r="AN62" i="25"/>
  <c r="AO62" i="25"/>
  <c r="AP62" i="25"/>
  <c r="AQ62" i="25"/>
  <c r="AR62" i="25"/>
  <c r="AS62" i="25"/>
  <c r="AT62" i="25"/>
  <c r="AU62" i="25"/>
  <c r="AV62" i="25"/>
  <c r="AI63" i="25"/>
  <c r="AJ63" i="25"/>
  <c r="AK63" i="25"/>
  <c r="AL63" i="25"/>
  <c r="AM63" i="25"/>
  <c r="AN63" i="25"/>
  <c r="AO63" i="25"/>
  <c r="AP63" i="25"/>
  <c r="AQ63" i="25"/>
  <c r="AR63" i="25"/>
  <c r="AS63" i="25"/>
  <c r="AT63" i="25"/>
  <c r="AU63" i="25"/>
  <c r="AV63" i="25"/>
  <c r="AI64" i="25"/>
  <c r="AJ64" i="25"/>
  <c r="AK64" i="25"/>
  <c r="AL64" i="25"/>
  <c r="AM64" i="25"/>
  <c r="AN64" i="25"/>
  <c r="AO64" i="25"/>
  <c r="AP64" i="25"/>
  <c r="AQ64" i="25"/>
  <c r="AR64" i="25"/>
  <c r="AS64" i="25"/>
  <c r="AT64" i="25"/>
  <c r="AU64" i="25"/>
  <c r="AV64" i="25"/>
  <c r="AI65" i="25"/>
  <c r="AJ65" i="25"/>
  <c r="AK65" i="25"/>
  <c r="AL65" i="25"/>
  <c r="AM65" i="25"/>
  <c r="AN65" i="25"/>
  <c r="AO65" i="25"/>
  <c r="AP65" i="25"/>
  <c r="AQ65" i="25"/>
  <c r="AR65" i="25"/>
  <c r="AS65" i="25"/>
  <c r="AT65" i="25"/>
  <c r="AU65" i="25"/>
  <c r="AV65" i="25"/>
  <c r="AI66" i="25"/>
  <c r="AJ66" i="25"/>
  <c r="AK66" i="25"/>
  <c r="AL66" i="25"/>
  <c r="AM66" i="25"/>
  <c r="AN66" i="25"/>
  <c r="AO66" i="25"/>
  <c r="AP66" i="25"/>
  <c r="AQ66" i="25"/>
  <c r="AR66" i="25"/>
  <c r="AS66" i="25"/>
  <c r="AT66" i="25"/>
  <c r="AU66" i="25"/>
  <c r="AV66" i="25"/>
  <c r="AI67" i="25"/>
  <c r="AJ67" i="25"/>
  <c r="AK67" i="25"/>
  <c r="AL67" i="25"/>
  <c r="AM67" i="25"/>
  <c r="AN67" i="25"/>
  <c r="AO67" i="25"/>
  <c r="AP67" i="25"/>
  <c r="AQ67" i="25"/>
  <c r="AR67" i="25"/>
  <c r="AS67" i="25"/>
  <c r="AT67" i="25"/>
  <c r="AU67" i="25"/>
  <c r="AV67" i="25"/>
  <c r="AI68" i="25"/>
  <c r="AJ68" i="25"/>
  <c r="AK68" i="25"/>
  <c r="AL68" i="25"/>
  <c r="AM68" i="25"/>
  <c r="AN68" i="25"/>
  <c r="AO68" i="25"/>
  <c r="AP68" i="25"/>
  <c r="AQ68" i="25"/>
  <c r="AR68" i="25"/>
  <c r="AS68" i="25"/>
  <c r="AT68" i="25"/>
  <c r="AU68" i="25"/>
  <c r="AV68" i="25"/>
  <c r="AI69" i="25"/>
  <c r="AJ69" i="25"/>
  <c r="AK69" i="25"/>
  <c r="AL69" i="25"/>
  <c r="AM69" i="25"/>
  <c r="AN69" i="25"/>
  <c r="AO69" i="25"/>
  <c r="AP69" i="25"/>
  <c r="AQ69" i="25"/>
  <c r="AR69" i="25"/>
  <c r="AS69" i="25"/>
  <c r="AT69" i="25"/>
  <c r="AU69" i="25"/>
  <c r="AV69" i="25"/>
  <c r="AI70" i="25"/>
  <c r="AJ70" i="25"/>
  <c r="AK70" i="25"/>
  <c r="AL70" i="25"/>
  <c r="AM70" i="25"/>
  <c r="AN70" i="25"/>
  <c r="AO70" i="25"/>
  <c r="AP70" i="25"/>
  <c r="AQ70" i="25"/>
  <c r="AR70" i="25"/>
  <c r="AS70" i="25"/>
  <c r="AT70" i="25"/>
  <c r="AU70" i="25"/>
  <c r="AV70" i="25"/>
  <c r="AI71" i="25"/>
  <c r="AJ71" i="25"/>
  <c r="AK71" i="25"/>
  <c r="AL71" i="25"/>
  <c r="AM71" i="25"/>
  <c r="AN71" i="25"/>
  <c r="AO71" i="25"/>
  <c r="AP71" i="25"/>
  <c r="AQ71" i="25"/>
  <c r="AR71" i="25"/>
  <c r="AS71" i="25"/>
  <c r="AT71" i="25"/>
  <c r="AU71" i="25"/>
  <c r="AV71" i="25"/>
  <c r="AI72" i="25"/>
  <c r="AJ72" i="25"/>
  <c r="AK72" i="25"/>
  <c r="AL72" i="25"/>
  <c r="AM72" i="25"/>
  <c r="AN72" i="25"/>
  <c r="AO72" i="25"/>
  <c r="AP72" i="25"/>
  <c r="AQ72" i="25"/>
  <c r="AR72" i="25"/>
  <c r="AS72" i="25"/>
  <c r="AT72" i="25"/>
  <c r="AU72" i="25"/>
  <c r="AV72" i="25"/>
  <c r="AI73" i="25"/>
  <c r="AJ73" i="25"/>
  <c r="AK73" i="25"/>
  <c r="AL73" i="25"/>
  <c r="AM73" i="25"/>
  <c r="AN73" i="25"/>
  <c r="AO73" i="25"/>
  <c r="AP73" i="25"/>
  <c r="AQ73" i="25"/>
  <c r="AR73" i="25"/>
  <c r="AS73" i="25"/>
  <c r="AT73" i="25"/>
  <c r="AU73" i="25"/>
  <c r="AV73" i="25"/>
  <c r="AI74" i="25"/>
  <c r="AJ74" i="25"/>
  <c r="AK74" i="25"/>
  <c r="AL74" i="25"/>
  <c r="AM74" i="25"/>
  <c r="AN74" i="25"/>
  <c r="AO74" i="25"/>
  <c r="AP74" i="25"/>
  <c r="AQ74" i="25"/>
  <c r="AR74" i="25"/>
  <c r="AS74" i="25"/>
  <c r="AT74" i="25"/>
  <c r="AU74" i="25"/>
  <c r="AV74" i="25"/>
  <c r="AI75" i="25"/>
  <c r="AJ75" i="25"/>
  <c r="AK75" i="25"/>
  <c r="AL75" i="25"/>
  <c r="AM75" i="25"/>
  <c r="AN75" i="25"/>
  <c r="AO75" i="25"/>
  <c r="AP75" i="25"/>
  <c r="AQ75" i="25"/>
  <c r="AR75" i="25"/>
  <c r="AS75" i="25"/>
  <c r="AT75" i="25"/>
  <c r="AU75" i="25"/>
  <c r="AV75" i="25"/>
  <c r="AI76" i="25"/>
  <c r="AJ76" i="25"/>
  <c r="AK76" i="25"/>
  <c r="AL76" i="25"/>
  <c r="AM76" i="25"/>
  <c r="AN76" i="25"/>
  <c r="AO76" i="25"/>
  <c r="AP76" i="25"/>
  <c r="AQ76" i="25"/>
  <c r="AR76" i="25"/>
  <c r="AS76" i="25"/>
  <c r="AT76" i="25"/>
  <c r="AU76" i="25"/>
  <c r="AV76" i="25"/>
  <c r="AI77" i="25"/>
  <c r="AJ77" i="25"/>
  <c r="AK77" i="25"/>
  <c r="AL77" i="25"/>
  <c r="AM77" i="25"/>
  <c r="AN77" i="25"/>
  <c r="AO77" i="25"/>
  <c r="AP77" i="25"/>
  <c r="AQ77" i="25"/>
  <c r="AR77" i="25"/>
  <c r="AS77" i="25"/>
  <c r="AT77" i="25"/>
  <c r="AU77" i="25"/>
  <c r="AV77" i="25"/>
  <c r="AI78" i="25"/>
  <c r="AJ78" i="25"/>
  <c r="AK78" i="25"/>
  <c r="AL78" i="25"/>
  <c r="AM78" i="25"/>
  <c r="AN78" i="25"/>
  <c r="AO78" i="25"/>
  <c r="AP78" i="25"/>
  <c r="AQ78" i="25"/>
  <c r="AR78" i="25"/>
  <c r="AS78" i="25"/>
  <c r="AT78" i="25"/>
  <c r="AU78" i="25"/>
  <c r="AV78" i="25"/>
  <c r="AI79" i="25"/>
  <c r="AJ79" i="25"/>
  <c r="AK79" i="25"/>
  <c r="AL79" i="25"/>
  <c r="AM79" i="25"/>
  <c r="AN79" i="25"/>
  <c r="AO79" i="25"/>
  <c r="AP79" i="25"/>
  <c r="AQ79" i="25"/>
  <c r="AR79" i="25"/>
  <c r="AS79" i="25"/>
  <c r="AT79" i="25"/>
  <c r="AU79" i="25"/>
  <c r="AV79" i="25"/>
  <c r="AI80" i="25"/>
  <c r="AJ80" i="25"/>
  <c r="AK80" i="25"/>
  <c r="AL80" i="25"/>
  <c r="AM80" i="25"/>
  <c r="AN80" i="25"/>
  <c r="AO80" i="25"/>
  <c r="AP80" i="25"/>
  <c r="AQ80" i="25"/>
  <c r="AR80" i="25"/>
  <c r="AS80" i="25"/>
  <c r="AT80" i="25"/>
  <c r="AU80" i="25"/>
  <c r="AV80" i="25"/>
  <c r="AH81" i="25"/>
  <c r="AI81" i="25"/>
  <c r="AJ81" i="25"/>
  <c r="AK81" i="25"/>
  <c r="AL81" i="25"/>
  <c r="AM81" i="25"/>
  <c r="AN81" i="25"/>
  <c r="AO81" i="25"/>
  <c r="AP81" i="25"/>
  <c r="AQ81" i="25"/>
  <c r="AR81" i="25"/>
  <c r="AS81" i="25"/>
  <c r="AT81" i="25"/>
  <c r="AU81" i="25"/>
  <c r="M135" i="23"/>
  <c r="K86" i="23"/>
  <c r="K87" i="23"/>
  <c r="K88" i="23"/>
  <c r="K89" i="23"/>
  <c r="K90" i="23"/>
  <c r="K91" i="23"/>
  <c r="K92" i="23"/>
  <c r="K93" i="23"/>
  <c r="K94" i="23"/>
  <c r="K95" i="23"/>
  <c r="K96" i="23"/>
  <c r="K98" i="23"/>
  <c r="K99" i="23"/>
  <c r="K100" i="23"/>
  <c r="K101" i="23"/>
  <c r="K102" i="23"/>
  <c r="K103" i="23"/>
  <c r="K104" i="23"/>
  <c r="N11" i="25"/>
  <c r="K19" i="22"/>
  <c r="R136" i="23" l="1"/>
  <c r="V140" i="23"/>
  <c r="Q141" i="23"/>
  <c r="R144" i="23"/>
  <c r="W144" i="23"/>
  <c r="R148" i="23"/>
  <c r="T150" i="23"/>
  <c r="X150" i="23"/>
  <c r="S152" i="23"/>
  <c r="M153" i="23"/>
  <c r="K111" i="23"/>
  <c r="K112" i="23"/>
  <c r="K113" i="23"/>
  <c r="K114" i="23"/>
  <c r="K115" i="23"/>
  <c r="K116" i="23"/>
  <c r="K117" i="23"/>
  <c r="K118" i="23"/>
  <c r="K119" i="23"/>
  <c r="K120" i="23"/>
  <c r="K121" i="23"/>
  <c r="K122" i="23"/>
  <c r="K123" i="23"/>
  <c r="K124" i="23"/>
  <c r="K125" i="23"/>
  <c r="K126" i="23"/>
  <c r="K127" i="23"/>
  <c r="K128" i="23"/>
  <c r="K129" i="23"/>
  <c r="K130" i="23"/>
  <c r="L112" i="23"/>
  <c r="L136" i="23" s="1"/>
  <c r="M112" i="23"/>
  <c r="M136" i="23" s="1"/>
  <c r="N112" i="23"/>
  <c r="N136" i="23" s="1"/>
  <c r="O112" i="23"/>
  <c r="O136" i="23" s="1"/>
  <c r="P112" i="23"/>
  <c r="P136" i="23" s="1"/>
  <c r="Q112" i="23"/>
  <c r="Q136" i="23" s="1"/>
  <c r="R112" i="23"/>
  <c r="S112" i="23"/>
  <c r="S136" i="23" s="1"/>
  <c r="T112" i="23"/>
  <c r="T136" i="23" s="1"/>
  <c r="U112" i="23"/>
  <c r="U136" i="23" s="1"/>
  <c r="V112" i="23"/>
  <c r="V136" i="23" s="1"/>
  <c r="W112" i="23"/>
  <c r="W136" i="23" s="1"/>
  <c r="X112" i="23"/>
  <c r="X136" i="23" s="1"/>
  <c r="L113" i="23"/>
  <c r="L137" i="23" s="1"/>
  <c r="M113" i="23"/>
  <c r="M137" i="23" s="1"/>
  <c r="N113" i="23"/>
  <c r="N137" i="23" s="1"/>
  <c r="O113" i="23"/>
  <c r="O137" i="23" s="1"/>
  <c r="P113" i="23"/>
  <c r="P137" i="23" s="1"/>
  <c r="Q113" i="23"/>
  <c r="Q137" i="23" s="1"/>
  <c r="R113" i="23"/>
  <c r="R137" i="23" s="1"/>
  <c r="S113" i="23"/>
  <c r="S137" i="23" s="1"/>
  <c r="T113" i="23"/>
  <c r="T137" i="23" s="1"/>
  <c r="U113" i="23"/>
  <c r="U137" i="23" s="1"/>
  <c r="V113" i="23"/>
  <c r="V137" i="23" s="1"/>
  <c r="W113" i="23"/>
  <c r="W137" i="23" s="1"/>
  <c r="X113" i="23"/>
  <c r="X137" i="23" s="1"/>
  <c r="L114" i="23"/>
  <c r="L138" i="23" s="1"/>
  <c r="M114" i="23"/>
  <c r="M138" i="23" s="1"/>
  <c r="N114" i="23"/>
  <c r="N138" i="23" s="1"/>
  <c r="O114" i="23"/>
  <c r="O138" i="23" s="1"/>
  <c r="P114" i="23"/>
  <c r="P138" i="23" s="1"/>
  <c r="Q114" i="23"/>
  <c r="Q138" i="23" s="1"/>
  <c r="R114" i="23"/>
  <c r="R138" i="23" s="1"/>
  <c r="S114" i="23"/>
  <c r="S138" i="23" s="1"/>
  <c r="T114" i="23"/>
  <c r="T138" i="23" s="1"/>
  <c r="U114" i="23"/>
  <c r="U138" i="23" s="1"/>
  <c r="V114" i="23"/>
  <c r="V138" i="23" s="1"/>
  <c r="W114" i="23"/>
  <c r="W138" i="23" s="1"/>
  <c r="X114" i="23"/>
  <c r="X138" i="23" s="1"/>
  <c r="L115" i="23"/>
  <c r="L139" i="23" s="1"/>
  <c r="M115" i="23"/>
  <c r="M139" i="23" s="1"/>
  <c r="N115" i="23"/>
  <c r="N139" i="23" s="1"/>
  <c r="O115" i="23"/>
  <c r="O139" i="23" s="1"/>
  <c r="P115" i="23"/>
  <c r="P139" i="23" s="1"/>
  <c r="Q115" i="23"/>
  <c r="Q139" i="23" s="1"/>
  <c r="R115" i="23"/>
  <c r="R139" i="23" s="1"/>
  <c r="S115" i="23"/>
  <c r="S139" i="23" s="1"/>
  <c r="T115" i="23"/>
  <c r="T139" i="23" s="1"/>
  <c r="U115" i="23"/>
  <c r="U139" i="23" s="1"/>
  <c r="V115" i="23"/>
  <c r="V139" i="23" s="1"/>
  <c r="W115" i="23"/>
  <c r="W139" i="23" s="1"/>
  <c r="X115" i="23"/>
  <c r="X139" i="23" s="1"/>
  <c r="L116" i="23"/>
  <c r="L140" i="23" s="1"/>
  <c r="M116" i="23"/>
  <c r="M140" i="23" s="1"/>
  <c r="N116" i="23"/>
  <c r="N140" i="23" s="1"/>
  <c r="O116" i="23"/>
  <c r="O140" i="23" s="1"/>
  <c r="P116" i="23"/>
  <c r="P140" i="23" s="1"/>
  <c r="Q116" i="23"/>
  <c r="Q140" i="23" s="1"/>
  <c r="R116" i="23"/>
  <c r="R140" i="23" s="1"/>
  <c r="S116" i="23"/>
  <c r="S140" i="23" s="1"/>
  <c r="T116" i="23"/>
  <c r="T140" i="23" s="1"/>
  <c r="U116" i="23"/>
  <c r="U140" i="23" s="1"/>
  <c r="V116" i="23"/>
  <c r="W116" i="23"/>
  <c r="W140" i="23" s="1"/>
  <c r="X116" i="23"/>
  <c r="X140" i="23" s="1"/>
  <c r="L117" i="23"/>
  <c r="L141" i="23" s="1"/>
  <c r="M117" i="23"/>
  <c r="M141" i="23" s="1"/>
  <c r="N117" i="23"/>
  <c r="N141" i="23" s="1"/>
  <c r="O117" i="23"/>
  <c r="O141" i="23" s="1"/>
  <c r="P117" i="23"/>
  <c r="P141" i="23" s="1"/>
  <c r="Q117" i="23"/>
  <c r="R117" i="23"/>
  <c r="R141" i="23" s="1"/>
  <c r="S117" i="23"/>
  <c r="S141" i="23" s="1"/>
  <c r="T117" i="23"/>
  <c r="T141" i="23" s="1"/>
  <c r="U117" i="23"/>
  <c r="U141" i="23" s="1"/>
  <c r="V117" i="23"/>
  <c r="V141" i="23" s="1"/>
  <c r="W117" i="23"/>
  <c r="W141" i="23" s="1"/>
  <c r="X117" i="23"/>
  <c r="X141" i="23" s="1"/>
  <c r="L118" i="23"/>
  <c r="L142" i="23" s="1"/>
  <c r="M118" i="23"/>
  <c r="M142" i="23" s="1"/>
  <c r="N118" i="23"/>
  <c r="N142" i="23" s="1"/>
  <c r="O118" i="23"/>
  <c r="O142" i="23" s="1"/>
  <c r="P118" i="23"/>
  <c r="P142" i="23" s="1"/>
  <c r="Q118" i="23"/>
  <c r="Q142" i="23" s="1"/>
  <c r="R118" i="23"/>
  <c r="R142" i="23" s="1"/>
  <c r="S118" i="23"/>
  <c r="S142" i="23" s="1"/>
  <c r="T118" i="23"/>
  <c r="T142" i="23" s="1"/>
  <c r="U118" i="23"/>
  <c r="U142" i="23" s="1"/>
  <c r="V118" i="23"/>
  <c r="V142" i="23" s="1"/>
  <c r="W118" i="23"/>
  <c r="W142" i="23" s="1"/>
  <c r="X118" i="23"/>
  <c r="X142" i="23" s="1"/>
  <c r="L119" i="23"/>
  <c r="L143" i="23" s="1"/>
  <c r="M119" i="23"/>
  <c r="M143" i="23" s="1"/>
  <c r="N119" i="23"/>
  <c r="N143" i="23" s="1"/>
  <c r="O119" i="23"/>
  <c r="O143" i="23" s="1"/>
  <c r="P119" i="23"/>
  <c r="P143" i="23" s="1"/>
  <c r="Q119" i="23"/>
  <c r="Q143" i="23" s="1"/>
  <c r="R119" i="23"/>
  <c r="R143" i="23" s="1"/>
  <c r="S119" i="23"/>
  <c r="S143" i="23" s="1"/>
  <c r="T119" i="23"/>
  <c r="T143" i="23" s="1"/>
  <c r="U119" i="23"/>
  <c r="U143" i="23" s="1"/>
  <c r="V119" i="23"/>
  <c r="V143" i="23" s="1"/>
  <c r="W119" i="23"/>
  <c r="W143" i="23" s="1"/>
  <c r="X119" i="23"/>
  <c r="X143" i="23" s="1"/>
  <c r="L120" i="23"/>
  <c r="L144" i="23" s="1"/>
  <c r="M120" i="23"/>
  <c r="M144" i="23" s="1"/>
  <c r="N120" i="23"/>
  <c r="N144" i="23" s="1"/>
  <c r="O120" i="23"/>
  <c r="O144" i="23" s="1"/>
  <c r="P120" i="23"/>
  <c r="P144" i="23" s="1"/>
  <c r="Q120" i="23"/>
  <c r="Q144" i="23" s="1"/>
  <c r="R120" i="23"/>
  <c r="S120" i="23"/>
  <c r="S144" i="23" s="1"/>
  <c r="T120" i="23"/>
  <c r="T144" i="23" s="1"/>
  <c r="U120" i="23"/>
  <c r="U144" i="23" s="1"/>
  <c r="V120" i="23"/>
  <c r="V144" i="23" s="1"/>
  <c r="W120" i="23"/>
  <c r="X120" i="23"/>
  <c r="X144" i="23" s="1"/>
  <c r="L121" i="23"/>
  <c r="L145" i="23" s="1"/>
  <c r="M121" i="23"/>
  <c r="M145" i="23" s="1"/>
  <c r="N121" i="23"/>
  <c r="N145" i="23" s="1"/>
  <c r="O121" i="23"/>
  <c r="O145" i="23" s="1"/>
  <c r="P121" i="23"/>
  <c r="P145" i="23" s="1"/>
  <c r="Q121" i="23"/>
  <c r="Q145" i="23" s="1"/>
  <c r="R121" i="23"/>
  <c r="R145" i="23" s="1"/>
  <c r="S121" i="23"/>
  <c r="S145" i="23" s="1"/>
  <c r="T121" i="23"/>
  <c r="T145" i="23" s="1"/>
  <c r="U121" i="23"/>
  <c r="U145" i="23" s="1"/>
  <c r="V121" i="23"/>
  <c r="V145" i="23" s="1"/>
  <c r="W121" i="23"/>
  <c r="W145" i="23" s="1"/>
  <c r="X121" i="23"/>
  <c r="X145" i="23" s="1"/>
  <c r="L122" i="23"/>
  <c r="L146" i="23" s="1"/>
  <c r="M122" i="23"/>
  <c r="M146" i="23" s="1"/>
  <c r="N122" i="23"/>
  <c r="N146" i="23" s="1"/>
  <c r="O122" i="23"/>
  <c r="O146" i="23" s="1"/>
  <c r="P122" i="23"/>
  <c r="P146" i="23" s="1"/>
  <c r="Q122" i="23"/>
  <c r="Q146" i="23" s="1"/>
  <c r="R122" i="23"/>
  <c r="R146" i="23" s="1"/>
  <c r="S122" i="23"/>
  <c r="S146" i="23" s="1"/>
  <c r="T122" i="23"/>
  <c r="T146" i="23" s="1"/>
  <c r="U122" i="23"/>
  <c r="U146" i="23" s="1"/>
  <c r="V122" i="23"/>
  <c r="V146" i="23" s="1"/>
  <c r="W122" i="23"/>
  <c r="W146" i="23" s="1"/>
  <c r="X122" i="23"/>
  <c r="X146" i="23" s="1"/>
  <c r="L123" i="23"/>
  <c r="L147" i="23" s="1"/>
  <c r="M123" i="23"/>
  <c r="M147" i="23" s="1"/>
  <c r="N123" i="23"/>
  <c r="N147" i="23" s="1"/>
  <c r="O123" i="23"/>
  <c r="O147" i="23" s="1"/>
  <c r="P123" i="23"/>
  <c r="P147" i="23" s="1"/>
  <c r="Q123" i="23"/>
  <c r="Q147" i="23" s="1"/>
  <c r="R123" i="23"/>
  <c r="R147" i="23" s="1"/>
  <c r="S123" i="23"/>
  <c r="S147" i="23" s="1"/>
  <c r="T123" i="23"/>
  <c r="T147" i="23" s="1"/>
  <c r="U123" i="23"/>
  <c r="U147" i="23" s="1"/>
  <c r="V123" i="23"/>
  <c r="V147" i="23" s="1"/>
  <c r="W123" i="23"/>
  <c r="W147" i="23" s="1"/>
  <c r="X123" i="23"/>
  <c r="X147" i="23" s="1"/>
  <c r="L124" i="23"/>
  <c r="L148" i="23" s="1"/>
  <c r="M124" i="23"/>
  <c r="M148" i="23" s="1"/>
  <c r="N124" i="23"/>
  <c r="N148" i="23" s="1"/>
  <c r="O124" i="23"/>
  <c r="O148" i="23" s="1"/>
  <c r="P124" i="23"/>
  <c r="P148" i="23" s="1"/>
  <c r="Q124" i="23"/>
  <c r="Q148" i="23" s="1"/>
  <c r="R124" i="23"/>
  <c r="S124" i="23"/>
  <c r="S148" i="23" s="1"/>
  <c r="T124" i="23"/>
  <c r="T148" i="23" s="1"/>
  <c r="U124" i="23"/>
  <c r="U148" i="23" s="1"/>
  <c r="V124" i="23"/>
  <c r="V148" i="23" s="1"/>
  <c r="W124" i="23"/>
  <c r="W148" i="23" s="1"/>
  <c r="X124" i="23"/>
  <c r="X148" i="23" s="1"/>
  <c r="L125" i="23"/>
  <c r="L149" i="23" s="1"/>
  <c r="M125" i="23"/>
  <c r="M149" i="23" s="1"/>
  <c r="N125" i="23"/>
  <c r="N149" i="23" s="1"/>
  <c r="O125" i="23"/>
  <c r="O149" i="23" s="1"/>
  <c r="P125" i="23"/>
  <c r="P149" i="23" s="1"/>
  <c r="Q125" i="23"/>
  <c r="Q149" i="23" s="1"/>
  <c r="R125" i="23"/>
  <c r="R149" i="23" s="1"/>
  <c r="S125" i="23"/>
  <c r="S149" i="23" s="1"/>
  <c r="T125" i="23"/>
  <c r="T149" i="23" s="1"/>
  <c r="U125" i="23"/>
  <c r="U149" i="23" s="1"/>
  <c r="V125" i="23"/>
  <c r="V149" i="23" s="1"/>
  <c r="W125" i="23"/>
  <c r="W149" i="23" s="1"/>
  <c r="X125" i="23"/>
  <c r="X149" i="23" s="1"/>
  <c r="L126" i="23"/>
  <c r="L150" i="23" s="1"/>
  <c r="M126" i="23"/>
  <c r="M150" i="23" s="1"/>
  <c r="N126" i="23"/>
  <c r="N150" i="23" s="1"/>
  <c r="O126" i="23"/>
  <c r="O150" i="23" s="1"/>
  <c r="P126" i="23"/>
  <c r="P150" i="23" s="1"/>
  <c r="Q126" i="23"/>
  <c r="Q150" i="23" s="1"/>
  <c r="R126" i="23"/>
  <c r="R150" i="23" s="1"/>
  <c r="S126" i="23"/>
  <c r="S150" i="23" s="1"/>
  <c r="T126" i="23"/>
  <c r="U126" i="23"/>
  <c r="U150" i="23" s="1"/>
  <c r="V126" i="23"/>
  <c r="V150" i="23" s="1"/>
  <c r="W126" i="23"/>
  <c r="W150" i="23" s="1"/>
  <c r="X126" i="23"/>
  <c r="L127" i="23"/>
  <c r="L151" i="23" s="1"/>
  <c r="M127" i="23"/>
  <c r="M151" i="23" s="1"/>
  <c r="N127" i="23"/>
  <c r="N151" i="23" s="1"/>
  <c r="O127" i="23"/>
  <c r="O151" i="23" s="1"/>
  <c r="P127" i="23"/>
  <c r="P151" i="23" s="1"/>
  <c r="Q127" i="23"/>
  <c r="Q151" i="23" s="1"/>
  <c r="R127" i="23"/>
  <c r="R151" i="23" s="1"/>
  <c r="S127" i="23"/>
  <c r="S151" i="23" s="1"/>
  <c r="T127" i="23"/>
  <c r="T151" i="23" s="1"/>
  <c r="U127" i="23"/>
  <c r="U151" i="23" s="1"/>
  <c r="V127" i="23"/>
  <c r="V151" i="23" s="1"/>
  <c r="W127" i="23"/>
  <c r="W151" i="23" s="1"/>
  <c r="X127" i="23"/>
  <c r="X151" i="23" s="1"/>
  <c r="L128" i="23"/>
  <c r="L152" i="23" s="1"/>
  <c r="M128" i="23"/>
  <c r="M152" i="23" s="1"/>
  <c r="N128" i="23"/>
  <c r="N152" i="23" s="1"/>
  <c r="O128" i="23"/>
  <c r="O152" i="23" s="1"/>
  <c r="P128" i="23"/>
  <c r="P152" i="23" s="1"/>
  <c r="Q128" i="23"/>
  <c r="Q152" i="23" s="1"/>
  <c r="R128" i="23"/>
  <c r="R152" i="23" s="1"/>
  <c r="S128" i="23"/>
  <c r="T128" i="23"/>
  <c r="T152" i="23" s="1"/>
  <c r="U128" i="23"/>
  <c r="U152" i="23" s="1"/>
  <c r="V128" i="23"/>
  <c r="V152" i="23" s="1"/>
  <c r="W128" i="23"/>
  <c r="W152" i="23" s="1"/>
  <c r="X128" i="23"/>
  <c r="X152" i="23" s="1"/>
  <c r="L129" i="23"/>
  <c r="L153" i="23" s="1"/>
  <c r="M129" i="23"/>
  <c r="N129" i="23"/>
  <c r="N153" i="23" s="1"/>
  <c r="O129" i="23"/>
  <c r="O153" i="23" s="1"/>
  <c r="P129" i="23"/>
  <c r="P153" i="23" s="1"/>
  <c r="Q129" i="23"/>
  <c r="Q153" i="23" s="1"/>
  <c r="R129" i="23"/>
  <c r="R153" i="23" s="1"/>
  <c r="S129" i="23"/>
  <c r="S153" i="23" s="1"/>
  <c r="T129" i="23"/>
  <c r="T153" i="23" s="1"/>
  <c r="U129" i="23"/>
  <c r="U153" i="23" s="1"/>
  <c r="V129" i="23"/>
  <c r="V153" i="23" s="1"/>
  <c r="W129" i="23"/>
  <c r="W153" i="23" s="1"/>
  <c r="X129" i="23"/>
  <c r="X153" i="23" s="1"/>
  <c r="L130" i="23"/>
  <c r="L154" i="23" s="1"/>
  <c r="M130" i="23"/>
  <c r="M154" i="23" s="1"/>
  <c r="N130" i="23"/>
  <c r="N154" i="23" s="1"/>
  <c r="O130" i="23"/>
  <c r="O154" i="23" s="1"/>
  <c r="P130" i="23"/>
  <c r="P154" i="23" s="1"/>
  <c r="Q130" i="23"/>
  <c r="Q154" i="23" s="1"/>
  <c r="R130" i="23"/>
  <c r="R154" i="23" s="1"/>
  <c r="S130" i="23"/>
  <c r="S154" i="23" s="1"/>
  <c r="T130" i="23"/>
  <c r="T154" i="23" s="1"/>
  <c r="U130" i="23"/>
  <c r="U154" i="23" s="1"/>
  <c r="V130" i="23"/>
  <c r="V154" i="23" s="1"/>
  <c r="W130" i="23"/>
  <c r="W154" i="23" s="1"/>
  <c r="X130" i="23"/>
  <c r="X154" i="23" s="1"/>
  <c r="M111" i="23"/>
  <c r="N111" i="23"/>
  <c r="N135" i="23" s="1"/>
  <c r="O111" i="23"/>
  <c r="O135" i="23" s="1"/>
  <c r="P111" i="23"/>
  <c r="P135" i="23" s="1"/>
  <c r="Q111" i="23"/>
  <c r="Q135" i="23" s="1"/>
  <c r="R111" i="23"/>
  <c r="R135" i="23" s="1"/>
  <c r="S111" i="23"/>
  <c r="S135" i="23" s="1"/>
  <c r="T111" i="23"/>
  <c r="T135" i="23" s="1"/>
  <c r="U111" i="23"/>
  <c r="U135" i="23" s="1"/>
  <c r="V111" i="23"/>
  <c r="V135" i="23" s="1"/>
  <c r="W111" i="23"/>
  <c r="W135" i="23" s="1"/>
  <c r="X111" i="23"/>
  <c r="X135" i="23" s="1"/>
  <c r="L111" i="23"/>
  <c r="L135" i="23" s="1"/>
  <c r="L85" i="23"/>
  <c r="M85" i="23"/>
  <c r="N85" i="23"/>
  <c r="O85" i="23"/>
  <c r="P85" i="23"/>
  <c r="Q85" i="23"/>
  <c r="R85" i="23"/>
  <c r="S85" i="23"/>
  <c r="T85" i="23"/>
  <c r="U85" i="23"/>
  <c r="V85" i="23"/>
  <c r="W85" i="23"/>
  <c r="X85" i="23"/>
  <c r="L86" i="23"/>
  <c r="M86" i="23"/>
  <c r="N86" i="23"/>
  <c r="O86" i="23"/>
  <c r="P86" i="23"/>
  <c r="Q86" i="23"/>
  <c r="R86" i="23"/>
  <c r="S86" i="23"/>
  <c r="T86" i="23"/>
  <c r="U86" i="23"/>
  <c r="V86" i="23"/>
  <c r="W86" i="23"/>
  <c r="X86" i="23"/>
  <c r="L87" i="23"/>
  <c r="M87" i="23"/>
  <c r="N87" i="23"/>
  <c r="O87" i="23"/>
  <c r="P87" i="23"/>
  <c r="Q87" i="23"/>
  <c r="R87" i="23"/>
  <c r="S87" i="23"/>
  <c r="T87" i="23"/>
  <c r="U87" i="23"/>
  <c r="V87" i="23"/>
  <c r="W87" i="23"/>
  <c r="X87" i="23"/>
  <c r="L88" i="23"/>
  <c r="M88" i="23"/>
  <c r="N88" i="23"/>
  <c r="O88" i="23"/>
  <c r="P88" i="23"/>
  <c r="Q88" i="23"/>
  <c r="R88" i="23"/>
  <c r="S88" i="23"/>
  <c r="T88" i="23"/>
  <c r="U88" i="23"/>
  <c r="V88" i="23"/>
  <c r="W88" i="23"/>
  <c r="X88" i="23"/>
  <c r="L89" i="23"/>
  <c r="M89" i="23"/>
  <c r="N89" i="23"/>
  <c r="O89" i="23"/>
  <c r="P89" i="23"/>
  <c r="Q89" i="23"/>
  <c r="R89" i="23"/>
  <c r="S89" i="23"/>
  <c r="T89" i="23"/>
  <c r="U89" i="23"/>
  <c r="V89" i="23"/>
  <c r="W89" i="23"/>
  <c r="X89" i="23"/>
  <c r="L90" i="23"/>
  <c r="M90" i="23"/>
  <c r="N90" i="23"/>
  <c r="O90" i="23"/>
  <c r="P90" i="23"/>
  <c r="Q90" i="23"/>
  <c r="R90" i="23"/>
  <c r="S90" i="23"/>
  <c r="T90" i="23"/>
  <c r="U90" i="23"/>
  <c r="V90" i="23"/>
  <c r="W90" i="23"/>
  <c r="X90" i="23"/>
  <c r="L91" i="23"/>
  <c r="M91" i="23"/>
  <c r="N91" i="23"/>
  <c r="O91" i="23"/>
  <c r="P91" i="23"/>
  <c r="Q91" i="23"/>
  <c r="R91" i="23"/>
  <c r="S91" i="23"/>
  <c r="T91" i="23"/>
  <c r="U91" i="23"/>
  <c r="V91" i="23"/>
  <c r="W91" i="23"/>
  <c r="X91" i="23"/>
  <c r="L92" i="23"/>
  <c r="M92" i="23"/>
  <c r="N92" i="23"/>
  <c r="O92" i="23"/>
  <c r="P92" i="23"/>
  <c r="Q92" i="23"/>
  <c r="R92" i="23"/>
  <c r="S92" i="23"/>
  <c r="T92" i="23"/>
  <c r="U92" i="23"/>
  <c r="V92" i="23"/>
  <c r="W92" i="23"/>
  <c r="X92" i="23"/>
  <c r="L93" i="23"/>
  <c r="M93" i="23"/>
  <c r="N93" i="23"/>
  <c r="O93" i="23"/>
  <c r="P93" i="23"/>
  <c r="Q93" i="23"/>
  <c r="R93" i="23"/>
  <c r="S93" i="23"/>
  <c r="T93" i="23"/>
  <c r="U93" i="23"/>
  <c r="V93" i="23"/>
  <c r="W93" i="23"/>
  <c r="X93" i="23"/>
  <c r="L94" i="23"/>
  <c r="M94" i="23"/>
  <c r="N94" i="23"/>
  <c r="O94" i="23"/>
  <c r="P94" i="23"/>
  <c r="Q94" i="23"/>
  <c r="R94" i="23"/>
  <c r="S94" i="23"/>
  <c r="T94" i="23"/>
  <c r="U94" i="23"/>
  <c r="V94" i="23"/>
  <c r="W94" i="23"/>
  <c r="X94" i="23"/>
  <c r="L95" i="23"/>
  <c r="M95" i="23"/>
  <c r="N95" i="23"/>
  <c r="O95" i="23"/>
  <c r="P95" i="23"/>
  <c r="Q95" i="23"/>
  <c r="R95" i="23"/>
  <c r="S95" i="23"/>
  <c r="T95" i="23"/>
  <c r="U95" i="23"/>
  <c r="V95" i="23"/>
  <c r="W95" i="23"/>
  <c r="X95" i="23"/>
  <c r="L96" i="23"/>
  <c r="M96" i="23"/>
  <c r="N96" i="23"/>
  <c r="O96" i="23"/>
  <c r="P96" i="23"/>
  <c r="Q96" i="23"/>
  <c r="R96" i="23"/>
  <c r="S96" i="23"/>
  <c r="T96" i="23"/>
  <c r="U96" i="23"/>
  <c r="V96" i="23"/>
  <c r="W96" i="23"/>
  <c r="X96" i="23"/>
  <c r="L97" i="23"/>
  <c r="M97" i="23"/>
  <c r="N97" i="23"/>
  <c r="O97" i="23"/>
  <c r="P97" i="23"/>
  <c r="Q97" i="23"/>
  <c r="R97" i="23"/>
  <c r="S97" i="23"/>
  <c r="T97" i="23"/>
  <c r="U97" i="23"/>
  <c r="V97" i="23"/>
  <c r="W97" i="23"/>
  <c r="X97" i="23"/>
  <c r="L98" i="23"/>
  <c r="M98" i="23"/>
  <c r="N98" i="23"/>
  <c r="O98" i="23"/>
  <c r="P98" i="23"/>
  <c r="Q98" i="23"/>
  <c r="R98" i="23"/>
  <c r="S98" i="23"/>
  <c r="T98" i="23"/>
  <c r="U98" i="23"/>
  <c r="V98" i="23"/>
  <c r="W98" i="23"/>
  <c r="X98" i="23"/>
  <c r="L99" i="23"/>
  <c r="M99" i="23"/>
  <c r="N99" i="23"/>
  <c r="O99" i="23"/>
  <c r="P99" i="23"/>
  <c r="Q99" i="23"/>
  <c r="R99" i="23"/>
  <c r="S99" i="23"/>
  <c r="T99" i="23"/>
  <c r="U99" i="23"/>
  <c r="V99" i="23"/>
  <c r="W99" i="23"/>
  <c r="X99" i="23"/>
  <c r="L100" i="23"/>
  <c r="M100" i="23"/>
  <c r="N100" i="23"/>
  <c r="O100" i="23"/>
  <c r="P100" i="23"/>
  <c r="Q100" i="23"/>
  <c r="R100" i="23"/>
  <c r="S100" i="23"/>
  <c r="T100" i="23"/>
  <c r="U100" i="23"/>
  <c r="V100" i="23"/>
  <c r="W100" i="23"/>
  <c r="X100" i="23"/>
  <c r="L101" i="23"/>
  <c r="M101" i="23"/>
  <c r="N101" i="23"/>
  <c r="O101" i="23"/>
  <c r="P101" i="23"/>
  <c r="Q101" i="23"/>
  <c r="R101" i="23"/>
  <c r="S101" i="23"/>
  <c r="T101" i="23"/>
  <c r="U101" i="23"/>
  <c r="V101" i="23"/>
  <c r="W101" i="23"/>
  <c r="X101" i="23"/>
  <c r="L102" i="23"/>
  <c r="M102" i="23"/>
  <c r="N102" i="23"/>
  <c r="O102" i="23"/>
  <c r="P102" i="23"/>
  <c r="Q102" i="23"/>
  <c r="R102" i="23"/>
  <c r="S102" i="23"/>
  <c r="T102" i="23"/>
  <c r="U102" i="23"/>
  <c r="V102" i="23"/>
  <c r="W102" i="23"/>
  <c r="X102" i="23"/>
  <c r="L103" i="23"/>
  <c r="M103" i="23"/>
  <c r="N103" i="23"/>
  <c r="O103" i="23"/>
  <c r="P103" i="23"/>
  <c r="Q103" i="23"/>
  <c r="R103" i="23"/>
  <c r="S103" i="23"/>
  <c r="T103" i="23"/>
  <c r="U103" i="23"/>
  <c r="V103" i="23"/>
  <c r="W103" i="23"/>
  <c r="X103" i="23"/>
  <c r="L104" i="23"/>
  <c r="M104" i="23"/>
  <c r="N104" i="23"/>
  <c r="O104" i="23"/>
  <c r="P104" i="23"/>
  <c r="Q104" i="23"/>
  <c r="R104" i="23"/>
  <c r="S104" i="23"/>
  <c r="T104" i="23"/>
  <c r="U104" i="23"/>
  <c r="V104" i="23"/>
  <c r="W104" i="23"/>
  <c r="X104" i="23"/>
  <c r="C90" i="23"/>
  <c r="M10" i="23"/>
  <c r="M9" i="23"/>
  <c r="M8" i="23"/>
  <c r="M7" i="23"/>
  <c r="M6" i="23"/>
  <c r="AC36" i="23"/>
  <c r="DI89" i="25"/>
  <c r="DL88" i="25"/>
  <c r="DL89" i="25"/>
  <c r="DI88" i="25"/>
  <c r="DM88" i="25"/>
  <c r="DN88" i="25"/>
  <c r="DO88" i="25"/>
  <c r="DP88" i="25"/>
  <c r="DQ88" i="25"/>
  <c r="DG88" i="25"/>
  <c r="DH88" i="25"/>
  <c r="DC89" i="25"/>
  <c r="DD89" i="25"/>
  <c r="DE89" i="25"/>
  <c r="DC90" i="25"/>
  <c r="DD90" i="25"/>
  <c r="DE90" i="25"/>
  <c r="DF90" i="25"/>
  <c r="DC91" i="25"/>
  <c r="DD91" i="25"/>
  <c r="DE91" i="25"/>
  <c r="DF91" i="25"/>
  <c r="DC92" i="25"/>
  <c r="DD92" i="25"/>
  <c r="DE92" i="25"/>
  <c r="DF92" i="25"/>
  <c r="DC93" i="25"/>
  <c r="DD93" i="25"/>
  <c r="DE93" i="25"/>
  <c r="DF93" i="25"/>
  <c r="DC94" i="25"/>
  <c r="DD94" i="25"/>
  <c r="DE94" i="25"/>
  <c r="DF94" i="25"/>
  <c r="DC95" i="25"/>
  <c r="DD95" i="25"/>
  <c r="DE95" i="25"/>
  <c r="DF95" i="25"/>
  <c r="DL59" i="25"/>
  <c r="DM59" i="25"/>
  <c r="DL60" i="25"/>
  <c r="DM60" i="25"/>
  <c r="D26" i="25"/>
  <c r="K6" i="23"/>
  <c r="DN58" i="25"/>
  <c r="DS58" i="25"/>
  <c r="DW58" i="25"/>
  <c r="DJ59" i="25"/>
  <c r="DK59" i="25"/>
  <c r="DS59" i="25"/>
  <c r="DT59" i="25"/>
  <c r="DU59" i="25"/>
  <c r="DV59" i="25"/>
  <c r="DW59" i="25"/>
  <c r="DJ60" i="25"/>
  <c r="DK60" i="25"/>
  <c r="R59" i="25"/>
  <c r="DN59" i="25" s="1"/>
  <c r="S59" i="25"/>
  <c r="DO59" i="25" s="1"/>
  <c r="T59" i="25"/>
  <c r="DP59" i="25" s="1"/>
  <c r="U59" i="25"/>
  <c r="DQ59" i="25" s="1"/>
  <c r="V59" i="25"/>
  <c r="DR59" i="25" s="1"/>
  <c r="O59" i="25"/>
  <c r="DI59" i="25" s="1"/>
  <c r="N59" i="25"/>
  <c r="DH59" i="25" s="1"/>
  <c r="Y32" i="25"/>
  <c r="N61" i="25" s="1"/>
  <c r="Y33" i="25"/>
  <c r="N62" i="25" s="1"/>
  <c r="Y34" i="25"/>
  <c r="N63" i="25" s="1"/>
  <c r="Y35" i="25"/>
  <c r="N64" i="25" s="1"/>
  <c r="Y36" i="25"/>
  <c r="N65" i="25" s="1"/>
  <c r="Y37" i="25"/>
  <c r="N66" i="25" s="1"/>
  <c r="Y38" i="25"/>
  <c r="N67" i="25" s="1"/>
  <c r="Y39" i="25"/>
  <c r="N68" i="25" s="1"/>
  <c r="Y40" i="25"/>
  <c r="N69" i="25" s="1"/>
  <c r="Y41" i="25"/>
  <c r="N70" i="25" s="1"/>
  <c r="Y42" i="25"/>
  <c r="N71" i="25" s="1"/>
  <c r="Y43" i="25"/>
  <c r="N72" i="25" s="1"/>
  <c r="Y44" i="25"/>
  <c r="N73" i="25" s="1"/>
  <c r="Y45" i="25"/>
  <c r="N74" i="25" s="1"/>
  <c r="Y46" i="25"/>
  <c r="N75" i="25" s="1"/>
  <c r="Y47" i="25"/>
  <c r="N76" i="25" s="1"/>
  <c r="Y48" i="25"/>
  <c r="N77" i="25" s="1"/>
  <c r="Y49" i="25"/>
  <c r="N78" i="25" s="1"/>
  <c r="Y50" i="25"/>
  <c r="N79" i="25" s="1"/>
  <c r="Y51" i="25"/>
  <c r="N80" i="25" s="1"/>
  <c r="M4" i="25"/>
  <c r="M5" i="25"/>
  <c r="M6" i="25"/>
  <c r="M7" i="25"/>
  <c r="M8" i="25"/>
  <c r="M9" i="25"/>
  <c r="M10" i="25"/>
  <c r="M11" i="25"/>
  <c r="M12" i="25"/>
  <c r="M13" i="25"/>
  <c r="M14" i="25"/>
  <c r="M15" i="25"/>
  <c r="M16" i="25"/>
  <c r="M17" i="25"/>
  <c r="M18" i="25"/>
  <c r="M19" i="25"/>
  <c r="M20" i="25"/>
  <c r="M21" i="25"/>
  <c r="M22" i="25"/>
  <c r="M23" i="25"/>
  <c r="M24" i="25"/>
  <c r="M31" i="25"/>
  <c r="M60" i="25" s="1"/>
  <c r="DG60" i="25" s="1"/>
  <c r="M32" i="25"/>
  <c r="M61" i="25" s="1"/>
  <c r="DG61" i="25" s="1"/>
  <c r="M33" i="25"/>
  <c r="M62" i="25" s="1"/>
  <c r="DG62" i="25" s="1"/>
  <c r="M34" i="25"/>
  <c r="M63" i="25" s="1"/>
  <c r="DG63" i="25" s="1"/>
  <c r="M35" i="25"/>
  <c r="M64" i="25" s="1"/>
  <c r="DG64" i="25" s="1"/>
  <c r="M36" i="25"/>
  <c r="M65" i="25" s="1"/>
  <c r="DG65" i="25" s="1"/>
  <c r="M37" i="25"/>
  <c r="M66" i="25" s="1"/>
  <c r="DG66" i="25" s="1"/>
  <c r="M38" i="25"/>
  <c r="M67" i="25" s="1"/>
  <c r="DG67" i="25" s="1"/>
  <c r="M39" i="25"/>
  <c r="M68" i="25" s="1"/>
  <c r="DG68" i="25" s="1"/>
  <c r="M40" i="25"/>
  <c r="M69" i="25" s="1"/>
  <c r="DG69" i="25" s="1"/>
  <c r="M41" i="25"/>
  <c r="M70" i="25" s="1"/>
  <c r="DG70" i="25" s="1"/>
  <c r="M42" i="25"/>
  <c r="M71" i="25" s="1"/>
  <c r="DG71" i="25" s="1"/>
  <c r="M43" i="25"/>
  <c r="M72" i="25" s="1"/>
  <c r="DG72" i="25" s="1"/>
  <c r="M44" i="25"/>
  <c r="M73" i="25" s="1"/>
  <c r="M45" i="25"/>
  <c r="M74" i="25" s="1"/>
  <c r="DG74" i="25" s="1"/>
  <c r="M46" i="25"/>
  <c r="M75" i="25" s="1"/>
  <c r="DG75" i="25" s="1"/>
  <c r="M47" i="25"/>
  <c r="M76" i="25" s="1"/>
  <c r="DG76" i="25" s="1"/>
  <c r="M48" i="25"/>
  <c r="M77" i="25" s="1"/>
  <c r="DG77" i="25" s="1"/>
  <c r="M49" i="25"/>
  <c r="M78" i="25" s="1"/>
  <c r="DG78" i="25" s="1"/>
  <c r="M50" i="25"/>
  <c r="M79" i="25" s="1"/>
  <c r="DG79" i="25" s="1"/>
  <c r="M51" i="25"/>
  <c r="M80" i="25" s="1"/>
  <c r="DG80" i="25" s="1"/>
  <c r="K77" i="25"/>
  <c r="DE77" i="25" s="1"/>
  <c r="K70" i="25"/>
  <c r="DE70" i="25" s="1"/>
  <c r="K68" i="25"/>
  <c r="DE68" i="25" s="1"/>
  <c r="K67" i="25"/>
  <c r="DE67" i="25" s="1"/>
  <c r="K33" i="24"/>
  <c r="L32" i="24"/>
  <c r="P31" i="24"/>
  <c r="P34" i="24"/>
  <c r="P36" i="24"/>
  <c r="P35" i="24"/>
  <c r="Q32" i="25"/>
  <c r="R32" i="25"/>
  <c r="S32" i="25"/>
  <c r="T32" i="25"/>
  <c r="R61" i="25" s="1"/>
  <c r="DN61" i="25" s="1"/>
  <c r="U32" i="25"/>
  <c r="S61" i="25" s="1"/>
  <c r="DO61" i="25" s="1"/>
  <c r="V32" i="25"/>
  <c r="T61" i="25" s="1"/>
  <c r="W32" i="25"/>
  <c r="U61" i="25" s="1"/>
  <c r="DQ61" i="25" s="1"/>
  <c r="X32" i="25"/>
  <c r="V61" i="25" s="1"/>
  <c r="Q33" i="25"/>
  <c r="R33" i="25"/>
  <c r="S33" i="25"/>
  <c r="T33" i="25"/>
  <c r="R62" i="25" s="1"/>
  <c r="DN62" i="25" s="1"/>
  <c r="U33" i="25"/>
  <c r="S62" i="25" s="1"/>
  <c r="DO62" i="25" s="1"/>
  <c r="V33" i="25"/>
  <c r="T62" i="25" s="1"/>
  <c r="DP62" i="25" s="1"/>
  <c r="W33" i="25"/>
  <c r="U62" i="25" s="1"/>
  <c r="DQ62" i="25" s="1"/>
  <c r="X33" i="25"/>
  <c r="V62" i="25" s="1"/>
  <c r="Q34" i="25"/>
  <c r="R34" i="25"/>
  <c r="S34" i="25"/>
  <c r="T34" i="25"/>
  <c r="R63" i="25" s="1"/>
  <c r="DN63" i="25" s="1"/>
  <c r="U34" i="25"/>
  <c r="S63" i="25" s="1"/>
  <c r="DO63" i="25" s="1"/>
  <c r="V34" i="25"/>
  <c r="T63" i="25" s="1"/>
  <c r="DP63" i="25" s="1"/>
  <c r="W34" i="25"/>
  <c r="U63" i="25" s="1"/>
  <c r="DQ63" i="25" s="1"/>
  <c r="X34" i="25"/>
  <c r="V63" i="25" s="1"/>
  <c r="DR63" i="25" s="1"/>
  <c r="Q35" i="25"/>
  <c r="R35" i="25"/>
  <c r="S35" i="25"/>
  <c r="T35" i="25"/>
  <c r="R64" i="25" s="1"/>
  <c r="DN64" i="25" s="1"/>
  <c r="U35" i="25"/>
  <c r="S64" i="25" s="1"/>
  <c r="DO64" i="25" s="1"/>
  <c r="V35" i="25"/>
  <c r="T64" i="25" s="1"/>
  <c r="DP64" i="25" s="1"/>
  <c r="W35" i="25"/>
  <c r="U64" i="25" s="1"/>
  <c r="X35" i="25"/>
  <c r="V64" i="25" s="1"/>
  <c r="DR64" i="25" s="1"/>
  <c r="Q36" i="25"/>
  <c r="R36" i="25"/>
  <c r="S36" i="25"/>
  <c r="T36" i="25"/>
  <c r="R65" i="25" s="1"/>
  <c r="DN65" i="25" s="1"/>
  <c r="U36" i="25"/>
  <c r="S65" i="25" s="1"/>
  <c r="DO65" i="25" s="1"/>
  <c r="V36" i="25"/>
  <c r="T65" i="25" s="1"/>
  <c r="DP65" i="25" s="1"/>
  <c r="W36" i="25"/>
  <c r="U65" i="25" s="1"/>
  <c r="DQ65" i="25" s="1"/>
  <c r="X36" i="25"/>
  <c r="V65" i="25" s="1"/>
  <c r="Q37" i="25"/>
  <c r="R37" i="25"/>
  <c r="S37" i="25"/>
  <c r="T37" i="25"/>
  <c r="R66" i="25" s="1"/>
  <c r="DN66" i="25" s="1"/>
  <c r="U37" i="25"/>
  <c r="S66" i="25" s="1"/>
  <c r="DO66" i="25" s="1"/>
  <c r="V37" i="25"/>
  <c r="T66" i="25" s="1"/>
  <c r="DP66" i="25" s="1"/>
  <c r="W37" i="25"/>
  <c r="U66" i="25" s="1"/>
  <c r="DQ66" i="25" s="1"/>
  <c r="X37" i="25"/>
  <c r="V66" i="25" s="1"/>
  <c r="Q38" i="25"/>
  <c r="R38" i="25"/>
  <c r="S38" i="25"/>
  <c r="T38" i="25"/>
  <c r="R67" i="25" s="1"/>
  <c r="DN67" i="25" s="1"/>
  <c r="U38" i="25"/>
  <c r="S67" i="25" s="1"/>
  <c r="DO67" i="25" s="1"/>
  <c r="V38" i="25"/>
  <c r="T67" i="25" s="1"/>
  <c r="W38" i="25"/>
  <c r="U67" i="25" s="1"/>
  <c r="DQ67" i="25" s="1"/>
  <c r="X38" i="25"/>
  <c r="V67" i="25" s="1"/>
  <c r="DR67" i="25" s="1"/>
  <c r="Q39" i="25"/>
  <c r="R39" i="25"/>
  <c r="S39" i="25"/>
  <c r="T39" i="25"/>
  <c r="R68" i="25" s="1"/>
  <c r="DN68" i="25" s="1"/>
  <c r="U39" i="25"/>
  <c r="S68" i="25" s="1"/>
  <c r="DO68" i="25" s="1"/>
  <c r="V39" i="25"/>
  <c r="T68" i="25" s="1"/>
  <c r="AA68" i="25" s="1"/>
  <c r="DW68" i="25" s="1"/>
  <c r="W39" i="25"/>
  <c r="U68" i="25" s="1"/>
  <c r="X39" i="25"/>
  <c r="V68" i="25" s="1"/>
  <c r="DR68" i="25" s="1"/>
  <c r="Q40" i="25"/>
  <c r="R40" i="25"/>
  <c r="S40" i="25"/>
  <c r="T40" i="25"/>
  <c r="R69" i="25" s="1"/>
  <c r="DN69" i="25" s="1"/>
  <c r="U40" i="25"/>
  <c r="S69" i="25" s="1"/>
  <c r="DO69" i="25" s="1"/>
  <c r="V40" i="25"/>
  <c r="T69" i="25" s="1"/>
  <c r="AA69" i="25" s="1"/>
  <c r="DW69" i="25" s="1"/>
  <c r="W40" i="25"/>
  <c r="U69" i="25" s="1"/>
  <c r="DQ69" i="25" s="1"/>
  <c r="X40" i="25"/>
  <c r="V69" i="25" s="1"/>
  <c r="DR69" i="25" s="1"/>
  <c r="Q41" i="25"/>
  <c r="R41" i="25"/>
  <c r="S41" i="25"/>
  <c r="T41" i="25"/>
  <c r="R70" i="25" s="1"/>
  <c r="DN70" i="25" s="1"/>
  <c r="U41" i="25"/>
  <c r="S70" i="25" s="1"/>
  <c r="DO70" i="25" s="1"/>
  <c r="V41" i="25"/>
  <c r="T70" i="25" s="1"/>
  <c r="W41" i="25"/>
  <c r="U70" i="25" s="1"/>
  <c r="DQ70" i="25" s="1"/>
  <c r="X41" i="25"/>
  <c r="V70" i="25" s="1"/>
  <c r="Q42" i="25"/>
  <c r="R42" i="25"/>
  <c r="S42" i="25"/>
  <c r="T42" i="25"/>
  <c r="R71" i="25" s="1"/>
  <c r="DN71" i="25" s="1"/>
  <c r="U42" i="25"/>
  <c r="S71" i="25" s="1"/>
  <c r="DO71" i="25" s="1"/>
  <c r="V42" i="25"/>
  <c r="T71" i="25" s="1"/>
  <c r="W42" i="25"/>
  <c r="U71" i="25" s="1"/>
  <c r="DQ71" i="25" s="1"/>
  <c r="X42" i="25"/>
  <c r="V71" i="25" s="1"/>
  <c r="Q43" i="25"/>
  <c r="R43" i="25"/>
  <c r="S43" i="25"/>
  <c r="T43" i="25"/>
  <c r="R72" i="25" s="1"/>
  <c r="DN72" i="25" s="1"/>
  <c r="U43" i="25"/>
  <c r="S72" i="25" s="1"/>
  <c r="DO72" i="25" s="1"/>
  <c r="V43" i="25"/>
  <c r="T72" i="25" s="1"/>
  <c r="W43" i="25"/>
  <c r="U72" i="25" s="1"/>
  <c r="X43" i="25"/>
  <c r="V72" i="25" s="1"/>
  <c r="DR72" i="25" s="1"/>
  <c r="Q44" i="25"/>
  <c r="R44" i="25"/>
  <c r="S44" i="25"/>
  <c r="T44" i="25"/>
  <c r="R73" i="25" s="1"/>
  <c r="DN73" i="25" s="1"/>
  <c r="U44" i="25"/>
  <c r="S73" i="25" s="1"/>
  <c r="DO73" i="25" s="1"/>
  <c r="V44" i="25"/>
  <c r="T73" i="25" s="1"/>
  <c r="DP73" i="25" s="1"/>
  <c r="W44" i="25"/>
  <c r="U73" i="25" s="1"/>
  <c r="DQ73" i="25" s="1"/>
  <c r="X44" i="25"/>
  <c r="V73" i="25" s="1"/>
  <c r="DR73" i="25" s="1"/>
  <c r="Q45" i="25"/>
  <c r="R45" i="25"/>
  <c r="S45" i="25"/>
  <c r="T45" i="25"/>
  <c r="R74" i="25" s="1"/>
  <c r="DN74" i="25" s="1"/>
  <c r="U45" i="25"/>
  <c r="S74" i="25" s="1"/>
  <c r="DO74" i="25" s="1"/>
  <c r="V45" i="25"/>
  <c r="T74" i="25" s="1"/>
  <c r="AA74" i="25" s="1"/>
  <c r="DW74" i="25" s="1"/>
  <c r="W45" i="25"/>
  <c r="U74" i="25" s="1"/>
  <c r="DQ74" i="25" s="1"/>
  <c r="X45" i="25"/>
  <c r="V74" i="25" s="1"/>
  <c r="DR74" i="25" s="1"/>
  <c r="Q46" i="25"/>
  <c r="R46" i="25"/>
  <c r="S46" i="25"/>
  <c r="T46" i="25"/>
  <c r="R75" i="25" s="1"/>
  <c r="DN75" i="25" s="1"/>
  <c r="U46" i="25"/>
  <c r="S75" i="25" s="1"/>
  <c r="DO75" i="25" s="1"/>
  <c r="V46" i="25"/>
  <c r="T75" i="25" s="1"/>
  <c r="AA75" i="25" s="1"/>
  <c r="DW75" i="25" s="1"/>
  <c r="W46" i="25"/>
  <c r="U75" i="25" s="1"/>
  <c r="DQ75" i="25" s="1"/>
  <c r="X46" i="25"/>
  <c r="V75" i="25" s="1"/>
  <c r="DR75" i="25" s="1"/>
  <c r="Q47" i="25"/>
  <c r="R47" i="25"/>
  <c r="S47" i="25"/>
  <c r="T47" i="25"/>
  <c r="R76" i="25" s="1"/>
  <c r="DN76" i="25" s="1"/>
  <c r="U47" i="25"/>
  <c r="S76" i="25" s="1"/>
  <c r="DO76" i="25" s="1"/>
  <c r="V47" i="25"/>
  <c r="T76" i="25" s="1"/>
  <c r="AA76" i="25" s="1"/>
  <c r="DW76" i="25" s="1"/>
  <c r="W47" i="25"/>
  <c r="U76" i="25" s="1"/>
  <c r="X47" i="25"/>
  <c r="V76" i="25" s="1"/>
  <c r="DR76" i="25" s="1"/>
  <c r="Q48" i="25"/>
  <c r="R48" i="25"/>
  <c r="S48" i="25"/>
  <c r="T48" i="25"/>
  <c r="R77" i="25" s="1"/>
  <c r="DN77" i="25" s="1"/>
  <c r="U48" i="25"/>
  <c r="S77" i="25" s="1"/>
  <c r="DO77" i="25" s="1"/>
  <c r="V48" i="25"/>
  <c r="T77" i="25" s="1"/>
  <c r="DP77" i="25" s="1"/>
  <c r="W48" i="25"/>
  <c r="U77" i="25" s="1"/>
  <c r="DQ77" i="25" s="1"/>
  <c r="X48" i="25"/>
  <c r="V77" i="25" s="1"/>
  <c r="DR77" i="25" s="1"/>
  <c r="Q49" i="25"/>
  <c r="R49" i="25"/>
  <c r="S49" i="25"/>
  <c r="T49" i="25"/>
  <c r="R78" i="25" s="1"/>
  <c r="DN78" i="25" s="1"/>
  <c r="U49" i="25"/>
  <c r="S78" i="25" s="1"/>
  <c r="DO78" i="25" s="1"/>
  <c r="V49" i="25"/>
  <c r="T78" i="25" s="1"/>
  <c r="DP78" i="25" s="1"/>
  <c r="W49" i="25"/>
  <c r="U78" i="25" s="1"/>
  <c r="DQ78" i="25" s="1"/>
  <c r="X49" i="25"/>
  <c r="V78" i="25" s="1"/>
  <c r="DR78" i="25" s="1"/>
  <c r="Q50" i="25"/>
  <c r="R50" i="25"/>
  <c r="S50" i="25"/>
  <c r="T50" i="25"/>
  <c r="R79" i="25" s="1"/>
  <c r="DN79" i="25" s="1"/>
  <c r="U50" i="25"/>
  <c r="S79" i="25" s="1"/>
  <c r="DO79" i="25" s="1"/>
  <c r="V50" i="25"/>
  <c r="T79" i="25" s="1"/>
  <c r="AA79" i="25" s="1"/>
  <c r="DW79" i="25" s="1"/>
  <c r="W50" i="25"/>
  <c r="U79" i="25" s="1"/>
  <c r="DQ79" i="25" s="1"/>
  <c r="X50" i="25"/>
  <c r="V79" i="25" s="1"/>
  <c r="DR79" i="25" s="1"/>
  <c r="Q51" i="25"/>
  <c r="R51" i="25"/>
  <c r="S51" i="25"/>
  <c r="T51" i="25"/>
  <c r="R80" i="25" s="1"/>
  <c r="DN80" i="25" s="1"/>
  <c r="U51" i="25"/>
  <c r="S80" i="25" s="1"/>
  <c r="DO80" i="25" s="1"/>
  <c r="V51" i="25"/>
  <c r="T80" i="25" s="1"/>
  <c r="DP80" i="25" s="1"/>
  <c r="W51" i="25"/>
  <c r="U80" i="25" s="1"/>
  <c r="DQ80" i="25" s="1"/>
  <c r="X51" i="25"/>
  <c r="V80" i="25" s="1"/>
  <c r="DR80" i="25" s="1"/>
  <c r="N5" i="25"/>
  <c r="N32" i="25" s="1"/>
  <c r="N6" i="25"/>
  <c r="N33" i="25" s="1"/>
  <c r="L31" i="24"/>
  <c r="K48" i="25"/>
  <c r="K41" i="25"/>
  <c r="K39" i="25"/>
  <c r="K38" i="25"/>
  <c r="P24" i="25"/>
  <c r="P51" i="25" s="1"/>
  <c r="O24" i="25"/>
  <c r="O51" i="25" s="1"/>
  <c r="N24" i="25"/>
  <c r="Z24" i="25" s="1"/>
  <c r="AC24" i="25" s="1"/>
  <c r="AF24" i="25" s="1"/>
  <c r="P23" i="25"/>
  <c r="P50" i="25" s="1"/>
  <c r="O23" i="25"/>
  <c r="O50" i="25" s="1"/>
  <c r="N23" i="25"/>
  <c r="Z23" i="25" s="1"/>
  <c r="AC23" i="25" s="1"/>
  <c r="AF23" i="25" s="1"/>
  <c r="P22" i="25"/>
  <c r="P49" i="25" s="1"/>
  <c r="O22" i="25"/>
  <c r="O49" i="25" s="1"/>
  <c r="N22" i="25"/>
  <c r="P21" i="25"/>
  <c r="P48" i="25" s="1"/>
  <c r="O21" i="25"/>
  <c r="O48" i="25" s="1"/>
  <c r="N21" i="25"/>
  <c r="P20" i="25"/>
  <c r="P47" i="25" s="1"/>
  <c r="O20" i="25"/>
  <c r="O47" i="25" s="1"/>
  <c r="N20" i="25"/>
  <c r="Z20" i="25" s="1"/>
  <c r="AC20" i="25" s="1"/>
  <c r="AF20" i="25" s="1"/>
  <c r="P19" i="25"/>
  <c r="P46" i="25" s="1"/>
  <c r="O19" i="25"/>
  <c r="O46" i="25" s="1"/>
  <c r="N19" i="25"/>
  <c r="P18" i="25"/>
  <c r="P45" i="25" s="1"/>
  <c r="O18" i="25"/>
  <c r="O45" i="25" s="1"/>
  <c r="N18" i="25"/>
  <c r="P17" i="25"/>
  <c r="P44" i="25" s="1"/>
  <c r="O17" i="25"/>
  <c r="O44" i="25" s="1"/>
  <c r="N17" i="25"/>
  <c r="P16" i="25"/>
  <c r="P43" i="25" s="1"/>
  <c r="O16" i="25"/>
  <c r="O43" i="25" s="1"/>
  <c r="N16" i="25"/>
  <c r="Z16" i="25" s="1"/>
  <c r="AC16" i="25" s="1"/>
  <c r="AF16" i="25" s="1"/>
  <c r="P15" i="25"/>
  <c r="P42" i="25" s="1"/>
  <c r="O15" i="25"/>
  <c r="O42" i="25" s="1"/>
  <c r="N15" i="25"/>
  <c r="P14" i="25"/>
  <c r="P41" i="25" s="1"/>
  <c r="O14" i="25"/>
  <c r="O41" i="25" s="1"/>
  <c r="N14" i="25"/>
  <c r="P13" i="25"/>
  <c r="P40" i="25" s="1"/>
  <c r="O13" i="25"/>
  <c r="O40" i="25" s="1"/>
  <c r="N13" i="25"/>
  <c r="P12" i="25"/>
  <c r="P39" i="25" s="1"/>
  <c r="O12" i="25"/>
  <c r="O39" i="25" s="1"/>
  <c r="N12" i="25"/>
  <c r="Z12" i="25" s="1"/>
  <c r="AC12" i="25" s="1"/>
  <c r="AF12" i="25" s="1"/>
  <c r="P11" i="25"/>
  <c r="P38" i="25" s="1"/>
  <c r="O11" i="25"/>
  <c r="O38" i="25" s="1"/>
  <c r="P10" i="25"/>
  <c r="P37" i="25" s="1"/>
  <c r="O10" i="25"/>
  <c r="O37" i="25" s="1"/>
  <c r="N10" i="25"/>
  <c r="P9" i="25"/>
  <c r="P36" i="25" s="1"/>
  <c r="O9" i="25"/>
  <c r="O36" i="25" s="1"/>
  <c r="N9" i="25"/>
  <c r="P8" i="25"/>
  <c r="P35" i="25" s="1"/>
  <c r="O8" i="25"/>
  <c r="O35" i="25" s="1"/>
  <c r="N8" i="25"/>
  <c r="Z8" i="25" s="1"/>
  <c r="AC8" i="25" s="1"/>
  <c r="AF8" i="25" s="1"/>
  <c r="P7" i="25"/>
  <c r="P34" i="25" s="1"/>
  <c r="O7" i="25"/>
  <c r="O34" i="25" s="1"/>
  <c r="N7" i="25"/>
  <c r="P6" i="25"/>
  <c r="P33" i="25" s="1"/>
  <c r="O6" i="25"/>
  <c r="O33" i="25" s="1"/>
  <c r="P5" i="25"/>
  <c r="O5" i="25"/>
  <c r="O32" i="25" s="1"/>
  <c r="K21" i="25"/>
  <c r="K14" i="25"/>
  <c r="K12" i="25"/>
  <c r="K11" i="25"/>
  <c r="J9" i="10"/>
  <c r="J10" i="10"/>
  <c r="K13" i="22"/>
  <c r="DH79" i="25" l="1"/>
  <c r="DH71" i="25"/>
  <c r="DH63" i="25"/>
  <c r="DH74" i="25"/>
  <c r="DH77" i="25"/>
  <c r="DH73" i="25"/>
  <c r="DH69" i="25"/>
  <c r="DH65" i="25"/>
  <c r="DH75" i="25"/>
  <c r="DH67" i="25"/>
  <c r="DH78" i="25"/>
  <c r="DH70" i="25"/>
  <c r="DH66" i="25"/>
  <c r="AH66" i="25"/>
  <c r="DH80" i="25"/>
  <c r="DH76" i="25"/>
  <c r="DH72" i="25"/>
  <c r="DH68" i="25"/>
  <c r="DH64" i="25"/>
  <c r="T98" i="25"/>
  <c r="AA98" i="25" s="1"/>
  <c r="DG73" i="25"/>
  <c r="AE62" i="25"/>
  <c r="DH62" i="25"/>
  <c r="AE61" i="25"/>
  <c r="DH61" i="25"/>
  <c r="N97" i="25"/>
  <c r="AE97" i="25" s="1"/>
  <c r="AB10" i="25"/>
  <c r="AE10" i="25" s="1"/>
  <c r="AB6" i="25"/>
  <c r="AE6" i="25" s="1"/>
  <c r="P101" i="25"/>
  <c r="AG101" i="25" s="1"/>
  <c r="P99" i="25"/>
  <c r="AG99" i="25" s="1"/>
  <c r="AB15" i="25"/>
  <c r="AE15" i="25" s="1"/>
  <c r="P32" i="25"/>
  <c r="AB5" i="25"/>
  <c r="AE5" i="25" s="1"/>
  <c r="Q76" i="25"/>
  <c r="DK76" i="25" s="1"/>
  <c r="AB61" i="25"/>
  <c r="DL61" i="25" s="1"/>
  <c r="AE63" i="25"/>
  <c r="AB23" i="25"/>
  <c r="AE23" i="25" s="1"/>
  <c r="AB19" i="25"/>
  <c r="AE19" i="25" s="1"/>
  <c r="AB14" i="25"/>
  <c r="AE14" i="25" s="1"/>
  <c r="AB9" i="25"/>
  <c r="AE9" i="25" s="1"/>
  <c r="P96" i="25"/>
  <c r="AG96" i="25" s="1"/>
  <c r="AB24" i="25"/>
  <c r="AE24" i="25" s="1"/>
  <c r="P98" i="25"/>
  <c r="AG98" i="25" s="1"/>
  <c r="M89" i="25"/>
  <c r="DF89" i="25" s="1"/>
  <c r="AB22" i="25"/>
  <c r="AE22" i="25" s="1"/>
  <c r="AB18" i="25"/>
  <c r="AE18" i="25" s="1"/>
  <c r="AB13" i="25"/>
  <c r="AE13" i="25" s="1"/>
  <c r="AB8" i="25"/>
  <c r="AE8" i="25" s="1"/>
  <c r="AB20" i="25"/>
  <c r="AE20" i="25" s="1"/>
  <c r="P102" i="25"/>
  <c r="AG102" i="25" s="1"/>
  <c r="T95" i="25"/>
  <c r="DO95" i="25" s="1"/>
  <c r="T99" i="25"/>
  <c r="AA99" i="25" s="1"/>
  <c r="P97" i="25"/>
  <c r="AG97" i="25" s="1"/>
  <c r="AB21" i="25"/>
  <c r="AE21" i="25" s="1"/>
  <c r="AB17" i="25"/>
  <c r="AE17" i="25" s="1"/>
  <c r="AB12" i="25"/>
  <c r="AE12" i="25" s="1"/>
  <c r="AB7" i="25"/>
  <c r="AE7" i="25" s="1"/>
  <c r="AB16" i="25"/>
  <c r="AE16" i="25" s="1"/>
  <c r="AA72" i="25"/>
  <c r="DW72" i="25" s="1"/>
  <c r="AB11" i="25"/>
  <c r="AE11" i="25" s="1"/>
  <c r="Q71" i="25"/>
  <c r="DK71" i="25" s="1"/>
  <c r="DR71" i="25"/>
  <c r="Q64" i="25"/>
  <c r="DK64" i="25" s="1"/>
  <c r="DQ64" i="25"/>
  <c r="AC96" i="25"/>
  <c r="DP76" i="25"/>
  <c r="AB98" i="25"/>
  <c r="Q72" i="25"/>
  <c r="DK72" i="25" s="1"/>
  <c r="DQ72" i="25"/>
  <c r="AA71" i="25"/>
  <c r="DW71" i="25" s="1"/>
  <c r="DP71" i="25"/>
  <c r="AA70" i="25"/>
  <c r="DW70" i="25" s="1"/>
  <c r="DP70" i="25"/>
  <c r="AA67" i="25"/>
  <c r="DW67" i="25" s="1"/>
  <c r="DP67" i="25"/>
  <c r="T90" i="25"/>
  <c r="DO90" i="25" s="1"/>
  <c r="Q101" i="25"/>
  <c r="AC101" i="25"/>
  <c r="AB101" i="25"/>
  <c r="AC102" i="25"/>
  <c r="Q99" i="25"/>
  <c r="AC99" i="25"/>
  <c r="AB99" i="25"/>
  <c r="DP61" i="25"/>
  <c r="AC97" i="25"/>
  <c r="AB97" i="25"/>
  <c r="AC98" i="25"/>
  <c r="DP74" i="25"/>
  <c r="DP72" i="25"/>
  <c r="DP68" i="25"/>
  <c r="AB102" i="25"/>
  <c r="Q68" i="25"/>
  <c r="DK68" i="25" s="1"/>
  <c r="DQ68" i="25"/>
  <c r="Q80" i="25"/>
  <c r="DK80" i="25" s="1"/>
  <c r="Q79" i="25"/>
  <c r="DK79" i="25" s="1"/>
  <c r="Q78" i="25"/>
  <c r="DK78" i="25" s="1"/>
  <c r="Q75" i="25"/>
  <c r="DK75" i="25" s="1"/>
  <c r="Q74" i="25"/>
  <c r="DK74" i="25" s="1"/>
  <c r="Q70" i="25"/>
  <c r="DK70" i="25" s="1"/>
  <c r="Q67" i="25"/>
  <c r="DK67" i="25" s="1"/>
  <c r="Q66" i="25"/>
  <c r="DK66" i="25" s="1"/>
  <c r="DR66" i="25"/>
  <c r="Q65" i="25"/>
  <c r="DK65" i="25" s="1"/>
  <c r="DR65" i="25"/>
  <c r="Q63" i="25"/>
  <c r="DK63" i="25" s="1"/>
  <c r="Q62" i="25"/>
  <c r="DK62" i="25" s="1"/>
  <c r="DR62" i="25"/>
  <c r="Q61" i="25"/>
  <c r="DK61" i="25" s="1"/>
  <c r="DR61" i="25"/>
  <c r="T97" i="25"/>
  <c r="AA97" i="25" s="1"/>
  <c r="DP79" i="25"/>
  <c r="DQ76" i="25"/>
  <c r="DP75" i="25"/>
  <c r="DR70" i="25"/>
  <c r="DP69" i="25"/>
  <c r="AB96" i="25"/>
  <c r="AA73" i="25"/>
  <c r="DW73" i="25" s="1"/>
  <c r="T93" i="25"/>
  <c r="Q77" i="25"/>
  <c r="DK77" i="25" s="1"/>
  <c r="Q73" i="25"/>
  <c r="DK73" i="25" s="1"/>
  <c r="Q69" i="25"/>
  <c r="DK69" i="25" s="1"/>
  <c r="N91" i="25"/>
  <c r="DG91" i="25" s="1"/>
  <c r="T94" i="25"/>
  <c r="DO94" i="25" s="1"/>
  <c r="T102" i="25"/>
  <c r="AA102" i="25" s="1"/>
  <c r="AA78" i="25"/>
  <c r="DW78" i="25" s="1"/>
  <c r="AA64" i="25"/>
  <c r="DW64" i="25" s="1"/>
  <c r="N102" i="25"/>
  <c r="AE102" i="25" s="1"/>
  <c r="N94" i="25"/>
  <c r="DG94" i="25" s="1"/>
  <c r="N93" i="25"/>
  <c r="DG93" i="25" s="1"/>
  <c r="N90" i="25"/>
  <c r="S102" i="25"/>
  <c r="O102" i="25"/>
  <c r="W102" i="25" s="1"/>
  <c r="S95" i="25"/>
  <c r="DN95" i="25" s="1"/>
  <c r="S101" i="25"/>
  <c r="O101" i="25"/>
  <c r="Y101" i="25" s="1"/>
  <c r="S100" i="25"/>
  <c r="S94" i="25"/>
  <c r="DN94" i="25" s="1"/>
  <c r="S99" i="25"/>
  <c r="O99" i="25"/>
  <c r="Z99" i="25" s="1"/>
  <c r="S98" i="25"/>
  <c r="O98" i="25"/>
  <c r="Y98" i="25" s="1"/>
  <c r="S97" i="25"/>
  <c r="O97" i="25"/>
  <c r="X97" i="25" s="1"/>
  <c r="S93" i="25"/>
  <c r="DN93" i="25" s="1"/>
  <c r="S92" i="25"/>
  <c r="DN92" i="25" s="1"/>
  <c r="S96" i="25"/>
  <c r="O96" i="25"/>
  <c r="Y96" i="25" s="1"/>
  <c r="S91" i="25"/>
  <c r="DN91" i="25" s="1"/>
  <c r="S90" i="25"/>
  <c r="DN90" i="25" s="1"/>
  <c r="N100" i="25"/>
  <c r="T101" i="25"/>
  <c r="AA101" i="25" s="1"/>
  <c r="T92" i="25"/>
  <c r="T96" i="25"/>
  <c r="AA96" i="25" s="1"/>
  <c r="Z33" i="25"/>
  <c r="O62" i="25" s="1"/>
  <c r="AH62" i="25" s="1"/>
  <c r="AA80" i="25"/>
  <c r="DW80" i="25" s="1"/>
  <c r="N95" i="25"/>
  <c r="DG95" i="25" s="1"/>
  <c r="N99" i="25"/>
  <c r="AE99" i="25" s="1"/>
  <c r="N92" i="25"/>
  <c r="DG92" i="25" s="1"/>
  <c r="V102" i="25"/>
  <c r="R102" i="25"/>
  <c r="V95" i="25"/>
  <c r="DQ95" i="25" s="1"/>
  <c r="R95" i="25"/>
  <c r="DM95" i="25" s="1"/>
  <c r="V101" i="25"/>
  <c r="R101" i="25"/>
  <c r="V100" i="25"/>
  <c r="R100" i="25"/>
  <c r="V94" i="25"/>
  <c r="DQ94" i="25" s="1"/>
  <c r="R94" i="25"/>
  <c r="DM94" i="25" s="1"/>
  <c r="V99" i="25"/>
  <c r="R99" i="25"/>
  <c r="V98" i="25"/>
  <c r="R98" i="25"/>
  <c r="V97" i="25"/>
  <c r="R97" i="25"/>
  <c r="V93" i="25"/>
  <c r="DQ93" i="25" s="1"/>
  <c r="R93" i="25"/>
  <c r="DM93" i="25" s="1"/>
  <c r="V92" i="25"/>
  <c r="DQ92" i="25" s="1"/>
  <c r="R92" i="25"/>
  <c r="DM92" i="25" s="1"/>
  <c r="V96" i="25"/>
  <c r="R96" i="25"/>
  <c r="V91" i="25"/>
  <c r="DQ91" i="25" s="1"/>
  <c r="R91" i="25"/>
  <c r="DM91" i="25" s="1"/>
  <c r="V90" i="25"/>
  <c r="DQ90" i="25" s="1"/>
  <c r="R90" i="25"/>
  <c r="DM90" i="25" s="1"/>
  <c r="T100" i="25"/>
  <c r="AA100" i="25" s="1"/>
  <c r="T91" i="25"/>
  <c r="DO91" i="25" s="1"/>
  <c r="Z32" i="25"/>
  <c r="O61" i="25" s="1"/>
  <c r="DI61" i="25" s="1"/>
  <c r="N101" i="25"/>
  <c r="AE101" i="25" s="1"/>
  <c r="N98" i="25"/>
  <c r="AE98" i="25" s="1"/>
  <c r="N96" i="25"/>
  <c r="AE96" i="25" s="1"/>
  <c r="U102" i="25"/>
  <c r="Q102" i="25"/>
  <c r="U95" i="25"/>
  <c r="U101" i="25"/>
  <c r="U100" i="25"/>
  <c r="U94" i="25"/>
  <c r="DP94" i="25" s="1"/>
  <c r="U99" i="25"/>
  <c r="U98" i="25"/>
  <c r="Q98" i="25"/>
  <c r="U97" i="25"/>
  <c r="Q97" i="25"/>
  <c r="U93" i="25"/>
  <c r="DP93" i="25" s="1"/>
  <c r="U92" i="25"/>
  <c r="DP92" i="25" s="1"/>
  <c r="U96" i="25"/>
  <c r="Q96" i="25"/>
  <c r="U91" i="25"/>
  <c r="DP91" i="25" s="1"/>
  <c r="U90" i="25"/>
  <c r="N47" i="25"/>
  <c r="Z47" i="25" s="1"/>
  <c r="O76" i="25" s="1"/>
  <c r="AH76" i="25" s="1"/>
  <c r="AA63" i="25"/>
  <c r="DW63" i="25" s="1"/>
  <c r="AA62" i="25"/>
  <c r="DW62" i="25" s="1"/>
  <c r="AA77" i="25"/>
  <c r="DW77" i="25" s="1"/>
  <c r="AA61" i="25"/>
  <c r="DW61" i="25" s="1"/>
  <c r="Z6" i="25"/>
  <c r="AC6" i="25" s="1"/>
  <c r="AF6" i="25" s="1"/>
  <c r="Z10" i="25"/>
  <c r="AC10" i="25" s="1"/>
  <c r="AF10" i="25" s="1"/>
  <c r="N37" i="25"/>
  <c r="Z37" i="25" s="1"/>
  <c r="O66" i="25" s="1"/>
  <c r="Z14" i="25"/>
  <c r="AC14" i="25" s="1"/>
  <c r="AF14" i="25" s="1"/>
  <c r="N41" i="25"/>
  <c r="Z41" i="25" s="1"/>
  <c r="O70" i="25" s="1"/>
  <c r="AH70" i="25" s="1"/>
  <c r="Z18" i="25"/>
  <c r="AC18" i="25" s="1"/>
  <c r="AF18" i="25" s="1"/>
  <c r="N45" i="25"/>
  <c r="Z45" i="25" s="1"/>
  <c r="O74" i="25" s="1"/>
  <c r="AH74" i="25" s="1"/>
  <c r="Z22" i="25"/>
  <c r="AC22" i="25" s="1"/>
  <c r="AF22" i="25" s="1"/>
  <c r="N49" i="25"/>
  <c r="Z49" i="25" s="1"/>
  <c r="O78" i="25" s="1"/>
  <c r="DI78" i="25" s="1"/>
  <c r="N50" i="25"/>
  <c r="Z50" i="25" s="1"/>
  <c r="O79" i="25" s="1"/>
  <c r="AH79" i="25" s="1"/>
  <c r="AA66" i="25"/>
  <c r="DW66" i="25" s="1"/>
  <c r="N35" i="25"/>
  <c r="Z35" i="25" s="1"/>
  <c r="O64" i="25" s="1"/>
  <c r="AH64" i="25" s="1"/>
  <c r="Z5" i="25"/>
  <c r="AC5" i="25" s="1"/>
  <c r="AF5" i="25" s="1"/>
  <c r="Z9" i="25"/>
  <c r="AC9" i="25" s="1"/>
  <c r="AF9" i="25" s="1"/>
  <c r="N36" i="25"/>
  <c r="Z36" i="25" s="1"/>
  <c r="O65" i="25" s="1"/>
  <c r="AH65" i="25" s="1"/>
  <c r="Z13" i="25"/>
  <c r="AC13" i="25" s="1"/>
  <c r="AF13" i="25" s="1"/>
  <c r="N40" i="25"/>
  <c r="Z40" i="25" s="1"/>
  <c r="O69" i="25" s="1"/>
  <c r="DI69" i="25" s="1"/>
  <c r="Z17" i="25"/>
  <c r="AC17" i="25" s="1"/>
  <c r="AF17" i="25" s="1"/>
  <c r="N44" i="25"/>
  <c r="Z44" i="25" s="1"/>
  <c r="O73" i="25" s="1"/>
  <c r="AH73" i="25" s="1"/>
  <c r="Z21" i="25"/>
  <c r="AC21" i="25" s="1"/>
  <c r="AF21" i="25" s="1"/>
  <c r="N48" i="25"/>
  <c r="Z48" i="25" s="1"/>
  <c r="O77" i="25" s="1"/>
  <c r="AH77" i="25" s="1"/>
  <c r="N51" i="25"/>
  <c r="Z51" i="25" s="1"/>
  <c r="O80" i="25" s="1"/>
  <c r="AH80" i="25" s="1"/>
  <c r="N39" i="25"/>
  <c r="Z39" i="25" s="1"/>
  <c r="O68" i="25" s="1"/>
  <c r="DI68" i="25" s="1"/>
  <c r="Z7" i="25"/>
  <c r="AC7" i="25" s="1"/>
  <c r="AF7" i="25" s="1"/>
  <c r="N34" i="25"/>
  <c r="Z34" i="25" s="1"/>
  <c r="O63" i="25" s="1"/>
  <c r="AH63" i="25" s="1"/>
  <c r="Z11" i="25"/>
  <c r="AC11" i="25" s="1"/>
  <c r="AF11" i="25" s="1"/>
  <c r="N38" i="25"/>
  <c r="Z38" i="25" s="1"/>
  <c r="O67" i="25" s="1"/>
  <c r="AH67" i="25" s="1"/>
  <c r="Z15" i="25"/>
  <c r="AC15" i="25" s="1"/>
  <c r="AF15" i="25" s="1"/>
  <c r="N42" i="25"/>
  <c r="Z42" i="25" s="1"/>
  <c r="O71" i="25" s="1"/>
  <c r="AH71" i="25" s="1"/>
  <c r="Z19" i="25"/>
  <c r="AC19" i="25" s="1"/>
  <c r="AF19" i="25" s="1"/>
  <c r="N46" i="25"/>
  <c r="Z46" i="25" s="1"/>
  <c r="O75" i="25" s="1"/>
  <c r="AH75" i="25" s="1"/>
  <c r="N43" i="25"/>
  <c r="Z43" i="25" s="1"/>
  <c r="O72" i="25" s="1"/>
  <c r="AH72" i="25" s="1"/>
  <c r="AA65" i="25"/>
  <c r="DW65" i="25" s="1"/>
  <c r="E42" i="5"/>
  <c r="E43" i="5"/>
  <c r="E44" i="5"/>
  <c r="L51" i="5"/>
  <c r="AH68" i="25" l="1"/>
  <c r="AH78" i="25"/>
  <c r="AH69" i="25"/>
  <c r="AH61" i="25"/>
  <c r="P62" i="25"/>
  <c r="DJ62" i="25" s="1"/>
  <c r="DI62" i="25"/>
  <c r="P75" i="25"/>
  <c r="P100" i="25" s="1"/>
  <c r="DI75" i="25"/>
  <c r="P67" i="25"/>
  <c r="DJ67" i="25" s="1"/>
  <c r="DI67" i="25"/>
  <c r="P73" i="25"/>
  <c r="DI73" i="25"/>
  <c r="P65" i="25"/>
  <c r="DI65" i="25"/>
  <c r="P74" i="25"/>
  <c r="DI74" i="25"/>
  <c r="P66" i="25"/>
  <c r="DI66" i="25"/>
  <c r="P80" i="25"/>
  <c r="DJ80" i="25" s="1"/>
  <c r="DI80" i="25"/>
  <c r="P79" i="25"/>
  <c r="DI79" i="25"/>
  <c r="P71" i="25"/>
  <c r="DJ71" i="25" s="1"/>
  <c r="DI71" i="25"/>
  <c r="P63" i="25"/>
  <c r="DJ63" i="25" s="1"/>
  <c r="DI63" i="25"/>
  <c r="P77" i="25"/>
  <c r="DI77" i="25"/>
  <c r="P70" i="25"/>
  <c r="DJ70" i="25" s="1"/>
  <c r="DI70" i="25"/>
  <c r="P72" i="25"/>
  <c r="DJ72" i="25" s="1"/>
  <c r="DI72" i="25"/>
  <c r="P64" i="25"/>
  <c r="DI64" i="25"/>
  <c r="P76" i="25"/>
  <c r="DJ76" i="25" s="1"/>
  <c r="DI76" i="25"/>
  <c r="W98" i="25"/>
  <c r="Q100" i="25"/>
  <c r="X101" i="25"/>
  <c r="Q95" i="25"/>
  <c r="AC61" i="25"/>
  <c r="DM61" i="25" s="1"/>
  <c r="X61" i="25"/>
  <c r="DT61" i="25" s="1"/>
  <c r="Q90" i="25"/>
  <c r="Q93" i="25"/>
  <c r="AF61" i="25"/>
  <c r="AH83" i="25" s="1"/>
  <c r="W96" i="25"/>
  <c r="P69" i="25"/>
  <c r="DJ69" i="25" s="1"/>
  <c r="AG69" i="25"/>
  <c r="Y62" i="25"/>
  <c r="DU62" i="25" s="1"/>
  <c r="X62" i="25"/>
  <c r="DT62" i="25" s="1"/>
  <c r="AD61" i="25"/>
  <c r="P78" i="25"/>
  <c r="P68" i="25"/>
  <c r="AG68" i="25"/>
  <c r="W62" i="25"/>
  <c r="DS62" i="25" s="1"/>
  <c r="Q92" i="25"/>
  <c r="Q94" i="25"/>
  <c r="P61" i="25"/>
  <c r="DJ61" i="25" s="1"/>
  <c r="DM96" i="25"/>
  <c r="DM97" i="25" s="1"/>
  <c r="DQ96" i="25"/>
  <c r="DQ97" i="25" s="1"/>
  <c r="Y97" i="25"/>
  <c r="X96" i="25"/>
  <c r="DG90" i="25"/>
  <c r="DG96" i="25" s="1"/>
  <c r="DG97" i="25" s="1"/>
  <c r="AE90" i="25"/>
  <c r="W99" i="25"/>
  <c r="W97" i="25"/>
  <c r="DN96" i="25"/>
  <c r="DN97" i="25" s="1"/>
  <c r="Y102" i="25"/>
  <c r="Z102" i="25"/>
  <c r="Z97" i="25"/>
  <c r="W101" i="25"/>
  <c r="Z101" i="25"/>
  <c r="Y99" i="25"/>
  <c r="Z96" i="25"/>
  <c r="X102" i="25"/>
  <c r="X99" i="25"/>
  <c r="Z98" i="25"/>
  <c r="X98" i="25"/>
  <c r="AF97" i="25"/>
  <c r="AD97" i="25"/>
  <c r="AF99" i="25"/>
  <c r="AD99" i="25"/>
  <c r="AF101" i="25"/>
  <c r="AD101" i="25"/>
  <c r="AD98" i="25"/>
  <c r="AF98" i="25"/>
  <c r="AF96" i="25"/>
  <c r="AD96" i="25"/>
  <c r="AF102" i="25"/>
  <c r="AD102" i="25"/>
  <c r="Z63" i="25"/>
  <c r="DV63" i="25" s="1"/>
  <c r="Z68" i="25"/>
  <c r="DV68" i="25" s="1"/>
  <c r="Z73" i="25"/>
  <c r="DV73" i="25" s="1"/>
  <c r="Z65" i="25"/>
  <c r="DV65" i="25" s="1"/>
  <c r="Z64" i="25"/>
  <c r="DV64" i="25" s="1"/>
  <c r="Z76" i="25"/>
  <c r="DV76" i="25" s="1"/>
  <c r="AA90" i="25"/>
  <c r="DP90" i="25"/>
  <c r="AA93" i="25"/>
  <c r="DO93" i="25"/>
  <c r="Z62" i="25"/>
  <c r="DV62" i="25" s="1"/>
  <c r="Z70" i="25"/>
  <c r="DV70" i="25" s="1"/>
  <c r="Z71" i="25"/>
  <c r="DV71" i="25" s="1"/>
  <c r="Z72" i="25"/>
  <c r="DV72" i="25" s="1"/>
  <c r="Z80" i="25"/>
  <c r="DV80" i="25" s="1"/>
  <c r="Z66" i="25"/>
  <c r="DV66" i="25" s="1"/>
  <c r="Z75" i="25"/>
  <c r="DV75" i="25" s="1"/>
  <c r="Z67" i="25"/>
  <c r="DV67" i="25" s="1"/>
  <c r="DJ66" i="25"/>
  <c r="Z77" i="25"/>
  <c r="DV77" i="25" s="1"/>
  <c r="Z69" i="25"/>
  <c r="DV69" i="25" s="1"/>
  <c r="Z79" i="25"/>
  <c r="DV79" i="25" s="1"/>
  <c r="AA95" i="25"/>
  <c r="DP95" i="25"/>
  <c r="Q91" i="25"/>
  <c r="Z74" i="25"/>
  <c r="DV74" i="25" s="1"/>
  <c r="AA92" i="25"/>
  <c r="DO92" i="25"/>
  <c r="Z78" i="25"/>
  <c r="DV78" i="25" s="1"/>
  <c r="O95" i="25"/>
  <c r="O91" i="25"/>
  <c r="O92" i="25"/>
  <c r="O100" i="25"/>
  <c r="Z61" i="25"/>
  <c r="DV61" i="25" s="1"/>
  <c r="Y61" i="25"/>
  <c r="DU61" i="25" s="1"/>
  <c r="W61" i="25"/>
  <c r="DS61" i="25" s="1"/>
  <c r="AA91" i="25"/>
  <c r="O90" i="25"/>
  <c r="O93" i="25"/>
  <c r="O94" i="25"/>
  <c r="AA94" i="25"/>
  <c r="W74" i="25"/>
  <c r="DS74" i="25" s="1"/>
  <c r="X74" i="25"/>
  <c r="DT74" i="25" s="1"/>
  <c r="Y74" i="25"/>
  <c r="DU74" i="25" s="1"/>
  <c r="W75" i="25"/>
  <c r="DS75" i="25" s="1"/>
  <c r="X75" i="25"/>
  <c r="DT75" i="25" s="1"/>
  <c r="Y75" i="25"/>
  <c r="DU75" i="25" s="1"/>
  <c r="W67" i="25"/>
  <c r="DS67" i="25" s="1"/>
  <c r="X67" i="25"/>
  <c r="DT67" i="25" s="1"/>
  <c r="Y67" i="25"/>
  <c r="DU67" i="25" s="1"/>
  <c r="W68" i="25"/>
  <c r="DS68" i="25" s="1"/>
  <c r="X68" i="25"/>
  <c r="DT68" i="25" s="1"/>
  <c r="Y68" i="25"/>
  <c r="DU68" i="25" s="1"/>
  <c r="W73" i="25"/>
  <c r="DS73" i="25" s="1"/>
  <c r="X73" i="25"/>
  <c r="DT73" i="25" s="1"/>
  <c r="Y73" i="25"/>
  <c r="DU73" i="25" s="1"/>
  <c r="W65" i="25"/>
  <c r="DS65" i="25" s="1"/>
  <c r="X65" i="25"/>
  <c r="DT65" i="25" s="1"/>
  <c r="Y65" i="25"/>
  <c r="DU65" i="25" s="1"/>
  <c r="W64" i="25"/>
  <c r="DS64" i="25" s="1"/>
  <c r="X64" i="25"/>
  <c r="DT64" i="25" s="1"/>
  <c r="Y64" i="25"/>
  <c r="DU64" i="25" s="1"/>
  <c r="W80" i="25"/>
  <c r="DS80" i="25" s="1"/>
  <c r="X80" i="25"/>
  <c r="DT80" i="25" s="1"/>
  <c r="Y80" i="25"/>
  <c r="DU80" i="25" s="1"/>
  <c r="W66" i="25"/>
  <c r="DS66" i="25" s="1"/>
  <c r="X66" i="25"/>
  <c r="DT66" i="25" s="1"/>
  <c r="Y66" i="25"/>
  <c r="DU66" i="25" s="1"/>
  <c r="W76" i="25"/>
  <c r="DS76" i="25" s="1"/>
  <c r="X76" i="25"/>
  <c r="DT76" i="25" s="1"/>
  <c r="Y76" i="25"/>
  <c r="DU76" i="25" s="1"/>
  <c r="W72" i="25"/>
  <c r="DS72" i="25" s="1"/>
  <c r="X72" i="25"/>
  <c r="DT72" i="25" s="1"/>
  <c r="Y72" i="25"/>
  <c r="DU72" i="25" s="1"/>
  <c r="W71" i="25"/>
  <c r="DS71" i="25" s="1"/>
  <c r="X71" i="25"/>
  <c r="DT71" i="25" s="1"/>
  <c r="Y71" i="25"/>
  <c r="DU71" i="25" s="1"/>
  <c r="W63" i="25"/>
  <c r="DS63" i="25" s="1"/>
  <c r="X63" i="25"/>
  <c r="DT63" i="25" s="1"/>
  <c r="Y63" i="25"/>
  <c r="DU63" i="25" s="1"/>
  <c r="W77" i="25"/>
  <c r="DS77" i="25" s="1"/>
  <c r="X77" i="25"/>
  <c r="DT77" i="25" s="1"/>
  <c r="Y77" i="25"/>
  <c r="DU77" i="25" s="1"/>
  <c r="W69" i="25"/>
  <c r="DS69" i="25" s="1"/>
  <c r="X69" i="25"/>
  <c r="DT69" i="25" s="1"/>
  <c r="Y69" i="25"/>
  <c r="DU69" i="25" s="1"/>
  <c r="W79" i="25"/>
  <c r="DS79" i="25" s="1"/>
  <c r="X79" i="25"/>
  <c r="DT79" i="25" s="1"/>
  <c r="Y79" i="25"/>
  <c r="DU79" i="25" s="1"/>
  <c r="DJ77" i="25"/>
  <c r="W78" i="25"/>
  <c r="DS78" i="25" s="1"/>
  <c r="X78" i="25"/>
  <c r="DT78" i="25" s="1"/>
  <c r="Y78" i="25"/>
  <c r="DU78" i="25" s="1"/>
  <c r="DJ79" i="25"/>
  <c r="W70" i="25"/>
  <c r="DS70" i="25" s="1"/>
  <c r="X70" i="25"/>
  <c r="DT70" i="25" s="1"/>
  <c r="Y70" i="25"/>
  <c r="DU70" i="25" s="1"/>
  <c r="DJ65" i="25"/>
  <c r="J123" i="5"/>
  <c r="J115" i="5"/>
  <c r="N66" i="24" a="1"/>
  <c r="N66" i="24" s="1"/>
  <c r="I55" i="24"/>
  <c r="P84" i="24" s="1"/>
  <c r="J69" i="24"/>
  <c r="J70" i="24"/>
  <c r="N234" i="24"/>
  <c r="N233" i="24"/>
  <c r="N232" i="24"/>
  <c r="N231" i="24"/>
  <c r="N230" i="24"/>
  <c r="N102" i="24"/>
  <c r="R102" i="24" s="1"/>
  <c r="N103" i="24"/>
  <c r="R103" i="24" s="1"/>
  <c r="N104" i="24"/>
  <c r="R104" i="24" s="1"/>
  <c r="N105" i="24"/>
  <c r="R105" i="24" s="1"/>
  <c r="N101" i="24"/>
  <c r="R101" i="24" s="1"/>
  <c r="T102" i="24"/>
  <c r="T103" i="24"/>
  <c r="T104" i="24"/>
  <c r="T105" i="24"/>
  <c r="T101" i="24"/>
  <c r="O102" i="24"/>
  <c r="O103" i="24"/>
  <c r="O104" i="24"/>
  <c r="O105" i="24"/>
  <c r="O101" i="24"/>
  <c r="O95" i="24"/>
  <c r="P105" i="24" s="1"/>
  <c r="P234" i="24" s="1"/>
  <c r="O93" i="24"/>
  <c r="P104" i="24" s="1"/>
  <c r="P233" i="24" s="1"/>
  <c r="O91" i="24"/>
  <c r="P103" i="24" s="1"/>
  <c r="O89" i="24"/>
  <c r="P102" i="24" s="1"/>
  <c r="P232" i="24" s="1"/>
  <c r="O87" i="24"/>
  <c r="P101" i="24" s="1"/>
  <c r="P231" i="24" s="1"/>
  <c r="O85" i="24"/>
  <c r="P230" i="24" s="1"/>
  <c r="D86" i="1" a="1"/>
  <c r="D86" i="1" s="1"/>
  <c r="P91" i="24"/>
  <c r="P90" i="24" s="1"/>
  <c r="AG61" i="25" l="1"/>
  <c r="DO96" i="25"/>
  <c r="DO97" i="25" s="1"/>
  <c r="DP96" i="25"/>
  <c r="DP97" i="25" s="1"/>
  <c r="DH94" i="25"/>
  <c r="P94" i="25"/>
  <c r="DH92" i="25"/>
  <c r="P92" i="25"/>
  <c r="DH91" i="25"/>
  <c r="P91" i="25"/>
  <c r="DH95" i="25"/>
  <c r="P95" i="25"/>
  <c r="DH93" i="25"/>
  <c r="P93" i="25"/>
  <c r="DH90" i="25"/>
  <c r="P90" i="25"/>
  <c r="DJ64" i="25"/>
  <c r="DJ74" i="25"/>
  <c r="DJ73" i="25"/>
  <c r="DJ78" i="25"/>
  <c r="DJ68" i="25"/>
  <c r="DJ75" i="25"/>
  <c r="W93" i="25"/>
  <c r="Y93" i="25"/>
  <c r="X93" i="25"/>
  <c r="Z93" i="25"/>
  <c r="X91" i="25"/>
  <c r="Z91" i="25"/>
  <c r="Y91" i="25"/>
  <c r="W91" i="25"/>
  <c r="X90" i="25"/>
  <c r="W90" i="25"/>
  <c r="Z90" i="25"/>
  <c r="Y90" i="25"/>
  <c r="X100" i="25"/>
  <c r="Z100" i="25"/>
  <c r="W100" i="25"/>
  <c r="Y100" i="25"/>
  <c r="Z95" i="25"/>
  <c r="W95" i="25"/>
  <c r="X95" i="25"/>
  <c r="Y95" i="25"/>
  <c r="W94" i="25"/>
  <c r="Y94" i="25"/>
  <c r="Z94" i="25"/>
  <c r="X94" i="25"/>
  <c r="Z92" i="25"/>
  <c r="W92" i="25"/>
  <c r="X92" i="25"/>
  <c r="Y92" i="25"/>
  <c r="P93" i="24"/>
  <c r="P92" i="24" s="1"/>
  <c r="I59" i="24"/>
  <c r="P87" i="24"/>
  <c r="P86" i="24" s="1"/>
  <c r="P95" i="24"/>
  <c r="P94" i="24" s="1"/>
  <c r="P89" i="24"/>
  <c r="P88" i="24" s="1"/>
  <c r="DH96" i="25" l="1"/>
  <c r="DH97" i="25" s="1"/>
  <c r="D42" i="24"/>
  <c r="D41" i="24"/>
  <c r="D43" i="24" l="1"/>
  <c r="I34" i="24"/>
  <c r="R233" i="24" s="1"/>
  <c r="O200" i="24" a="1"/>
  <c r="O200" i="24" s="1"/>
  <c r="P177" i="24"/>
  <c r="P179" i="24"/>
  <c r="O183" i="24"/>
  <c r="O181" i="24"/>
  <c r="O179" i="24"/>
  <c r="O177" i="24"/>
  <c r="O175" i="24"/>
  <c r="O173" i="24"/>
  <c r="J34" i="24"/>
  <c r="O156" i="24" s="1"/>
  <c r="N153" i="24" l="1" a="1"/>
  <c r="N153" i="24" s="1"/>
  <c r="N162" i="24" s="1" a="1"/>
  <c r="N162" i="24" s="1"/>
  <c r="N172" i="24" s="1"/>
  <c r="N84" i="4" a="1"/>
  <c r="N84" i="4" s="1"/>
  <c r="K34" i="24" l="1"/>
  <c r="S197" i="24"/>
  <c r="S196" i="24"/>
  <c r="S195" i="24"/>
  <c r="O218" i="24" a="1"/>
  <c r="O218" i="24" s="1"/>
  <c r="O212" i="24" a="1"/>
  <c r="O212" i="24" s="1"/>
  <c r="O206" i="24" a="1"/>
  <c r="O206" i="24" s="1"/>
  <c r="O194" i="24" a="1"/>
  <c r="O194" i="24" s="1"/>
  <c r="O146" i="24"/>
  <c r="O145" i="24"/>
  <c r="O167" i="24" s="1"/>
  <c r="O144" i="24"/>
  <c r="O143" i="24"/>
  <c r="O166" i="24" s="1"/>
  <c r="O142" i="24"/>
  <c r="O141" i="24"/>
  <c r="O140" i="24"/>
  <c r="O164" i="24" s="1"/>
  <c r="O139" i="24"/>
  <c r="O138" i="24"/>
  <c r="O163" i="24" s="1"/>
  <c r="O137" i="24"/>
  <c r="N126" i="24" a="1"/>
  <c r="N126" i="24" s="1"/>
  <c r="N137" i="24" s="1"/>
  <c r="N74" i="4" a="1"/>
  <c r="N74" i="4" s="1"/>
  <c r="V69" i="24"/>
  <c r="V70" i="24"/>
  <c r="P79" i="24"/>
  <c r="P78" i="24"/>
  <c r="O112" i="24" a="1"/>
  <c r="O55" i="24" a="1"/>
  <c r="O55" i="24" s="1"/>
  <c r="O126" i="24" s="1" a="1"/>
  <c r="O126" i="24" s="1"/>
  <c r="D80" i="1" a="1"/>
  <c r="D80" i="1" s="1"/>
  <c r="N55" i="24" a="1"/>
  <c r="N55" i="24" s="1"/>
  <c r="S55" i="24" s="1" a="1"/>
  <c r="S55" i="24" s="1"/>
  <c r="K25" i="23"/>
  <c r="AB80" i="25" s="1"/>
  <c r="K24" i="23"/>
  <c r="AB79" i="25" s="1"/>
  <c r="K23" i="23"/>
  <c r="AB78" i="25" s="1"/>
  <c r="K22" i="23"/>
  <c r="AB77" i="25" s="1"/>
  <c r="K21" i="23"/>
  <c r="AB76" i="25" s="1"/>
  <c r="K20" i="23"/>
  <c r="AB75" i="25" s="1"/>
  <c r="K19" i="23"/>
  <c r="AB74" i="25" s="1"/>
  <c r="K18" i="23"/>
  <c r="AB73" i="25" s="1"/>
  <c r="K17" i="23"/>
  <c r="AB72" i="25" s="1"/>
  <c r="K16" i="23"/>
  <c r="AB71" i="25" s="1"/>
  <c r="K15" i="23"/>
  <c r="AB70" i="25" s="1"/>
  <c r="K14" i="23"/>
  <c r="AB69" i="25" s="1"/>
  <c r="K13" i="23"/>
  <c r="AB68" i="25" s="1"/>
  <c r="K12" i="23"/>
  <c r="AB67" i="25" s="1"/>
  <c r="K11" i="23"/>
  <c r="AB66" i="25" s="1"/>
  <c r="K10" i="23"/>
  <c r="AB65" i="25" s="1"/>
  <c r="K9" i="23"/>
  <c r="AB64" i="25" s="1"/>
  <c r="K8" i="23"/>
  <c r="AB63" i="25" s="1"/>
  <c r="K7" i="23"/>
  <c r="AF71" i="25" l="1"/>
  <c r="AG71" i="25" s="1"/>
  <c r="AD71" i="25"/>
  <c r="AE71" i="25" s="1"/>
  <c r="DL71" i="25"/>
  <c r="AC71" i="25"/>
  <c r="DM71" i="25" s="1"/>
  <c r="AS8" i="23"/>
  <c r="AB91" i="25"/>
  <c r="AF64" i="25"/>
  <c r="AG64" i="25" s="1"/>
  <c r="AD64" i="25"/>
  <c r="AE64" i="25" s="1"/>
  <c r="DL64" i="25"/>
  <c r="AC64" i="25"/>
  <c r="AF68" i="25"/>
  <c r="AD68" i="25"/>
  <c r="AE68" i="25" s="1"/>
  <c r="AB92" i="25"/>
  <c r="AC68" i="25"/>
  <c r="DL68" i="25"/>
  <c r="AF72" i="25"/>
  <c r="AG72" i="25" s="1"/>
  <c r="AD72" i="25"/>
  <c r="AE72" i="25" s="1"/>
  <c r="AC72" i="25"/>
  <c r="DM72" i="25" s="1"/>
  <c r="DL72" i="25"/>
  <c r="AF76" i="25"/>
  <c r="AG76" i="25" s="1"/>
  <c r="AD76" i="25"/>
  <c r="AE76" i="25" s="1"/>
  <c r="AC76" i="25"/>
  <c r="DM76" i="25" s="1"/>
  <c r="DL76" i="25"/>
  <c r="AF80" i="25"/>
  <c r="AG80" i="25" s="1"/>
  <c r="AD80" i="25"/>
  <c r="AE80" i="25" s="1"/>
  <c r="AC80" i="25"/>
  <c r="DM80" i="25" s="1"/>
  <c r="DL80" i="25"/>
  <c r="AS9" i="23"/>
  <c r="AF63" i="25"/>
  <c r="AG63" i="25" s="1"/>
  <c r="AD63" i="25"/>
  <c r="DL63" i="25"/>
  <c r="AC63" i="25"/>
  <c r="DM63" i="25" s="1"/>
  <c r="AF79" i="25"/>
  <c r="AG79" i="25" s="1"/>
  <c r="AD79" i="25"/>
  <c r="AE79" i="25" s="1"/>
  <c r="AC79" i="25"/>
  <c r="DM79" i="25" s="1"/>
  <c r="DL79" i="25"/>
  <c r="AD65" i="25"/>
  <c r="AE65" i="25" s="1"/>
  <c r="AF65" i="25"/>
  <c r="AG65" i="25" s="1"/>
  <c r="DL65" i="25"/>
  <c r="AC65" i="25"/>
  <c r="DM65" i="25" s="1"/>
  <c r="AD69" i="25"/>
  <c r="AE69" i="25" s="1"/>
  <c r="AF69" i="25"/>
  <c r="DL69" i="25"/>
  <c r="AC69" i="25"/>
  <c r="DM69" i="25" s="1"/>
  <c r="AD73" i="25"/>
  <c r="AE73" i="25" s="1"/>
  <c r="AF73" i="25"/>
  <c r="AG73" i="25" s="1"/>
  <c r="AB93" i="25"/>
  <c r="AC73" i="25"/>
  <c r="DL73" i="25"/>
  <c r="AD77" i="25"/>
  <c r="AE77" i="25" s="1"/>
  <c r="DL77" i="25"/>
  <c r="AF77" i="25"/>
  <c r="AG77" i="25" s="1"/>
  <c r="AC77" i="25"/>
  <c r="DM77" i="25" s="1"/>
  <c r="AS10" i="23"/>
  <c r="AF67" i="25"/>
  <c r="AG67" i="25" s="1"/>
  <c r="AD67" i="25"/>
  <c r="AE67" i="25" s="1"/>
  <c r="DL67" i="25"/>
  <c r="AC67" i="25"/>
  <c r="DM67" i="25" s="1"/>
  <c r="AF75" i="25"/>
  <c r="AG75" i="25" s="1"/>
  <c r="AD75" i="25"/>
  <c r="AE75" i="25" s="1"/>
  <c r="AB100" i="25"/>
  <c r="AC75" i="25"/>
  <c r="DL75" i="25"/>
  <c r="AS6" i="23"/>
  <c r="AB62" i="25"/>
  <c r="AF66" i="25"/>
  <c r="AG66" i="25" s="1"/>
  <c r="AD66" i="25"/>
  <c r="AE66" i="25" s="1"/>
  <c r="DL66" i="25"/>
  <c r="AC66" i="25"/>
  <c r="DM66" i="25" s="1"/>
  <c r="AF70" i="25"/>
  <c r="AG70" i="25" s="1"/>
  <c r="AD70" i="25"/>
  <c r="AE70" i="25" s="1"/>
  <c r="DL70" i="25"/>
  <c r="AC70" i="25"/>
  <c r="DM70" i="25" s="1"/>
  <c r="AF74" i="25"/>
  <c r="AG74" i="25" s="1"/>
  <c r="AD74" i="25"/>
  <c r="AE74" i="25" s="1"/>
  <c r="AB94" i="25"/>
  <c r="AC74" i="25"/>
  <c r="DL74" i="25"/>
  <c r="AF78" i="25"/>
  <c r="AG78" i="25" s="1"/>
  <c r="AD78" i="25"/>
  <c r="AE78" i="25" s="1"/>
  <c r="DL78" i="25"/>
  <c r="AB95" i="25"/>
  <c r="AC78" i="25"/>
  <c r="AS7" i="23"/>
  <c r="AS11" i="23"/>
  <c r="O162" i="24"/>
  <c r="O230" i="24"/>
  <c r="O112" i="24"/>
  <c r="S103" i="24"/>
  <c r="S104" i="24"/>
  <c r="S105" i="24"/>
  <c r="S102" i="24"/>
  <c r="S101" i="24"/>
  <c r="N77" i="24"/>
  <c r="N145" i="24"/>
  <c r="N140" i="24"/>
  <c r="N138" i="24"/>
  <c r="N143" i="24"/>
  <c r="N142" i="24"/>
  <c r="N79" i="24"/>
  <c r="N112" i="24" a="1"/>
  <c r="N112" i="24" s="1"/>
  <c r="T66" i="24" a="1"/>
  <c r="T66" i="24" s="1"/>
  <c r="N78" i="24"/>
  <c r="DI94" i="25" l="1"/>
  <c r="AF94" i="25"/>
  <c r="AG94" i="25" s="1"/>
  <c r="AD94" i="25"/>
  <c r="AE94" i="25" s="1"/>
  <c r="DM73" i="25"/>
  <c r="AC93" i="25"/>
  <c r="DL93" i="25" s="1"/>
  <c r="DM78" i="25"/>
  <c r="AC95" i="25"/>
  <c r="DL95" i="25" s="1"/>
  <c r="AF93" i="25"/>
  <c r="AG93" i="25" s="1"/>
  <c r="AD93" i="25"/>
  <c r="AE93" i="25" s="1"/>
  <c r="DI93" i="25"/>
  <c r="AF95" i="25"/>
  <c r="AG95" i="25" s="1"/>
  <c r="AD95" i="25"/>
  <c r="AE95" i="25" s="1"/>
  <c r="DI95" i="25"/>
  <c r="DM75" i="25"/>
  <c r="AC100" i="25"/>
  <c r="DM68" i="25"/>
  <c r="AC92" i="25"/>
  <c r="DL92" i="25" s="1"/>
  <c r="DM64" i="25"/>
  <c r="AC91" i="25"/>
  <c r="DL91" i="25" s="1"/>
  <c r="AF91" i="25"/>
  <c r="AG91" i="25" s="1"/>
  <c r="AD91" i="25"/>
  <c r="AE91" i="25" s="1"/>
  <c r="DI91" i="25"/>
  <c r="DM74" i="25"/>
  <c r="AC94" i="25"/>
  <c r="DL94" i="25" s="1"/>
  <c r="AF62" i="25"/>
  <c r="AD62" i="25"/>
  <c r="AB90" i="25"/>
  <c r="DL62" i="25"/>
  <c r="AC62" i="25"/>
  <c r="AF100" i="25"/>
  <c r="AG100" i="25" s="1"/>
  <c r="AD100" i="25"/>
  <c r="AE100" i="25" s="1"/>
  <c r="AF92" i="25"/>
  <c r="AG92" i="25" s="1"/>
  <c r="AD92" i="25"/>
  <c r="AE92" i="25" s="1"/>
  <c r="DI92" i="25"/>
  <c r="O43" i="24" a="1"/>
  <c r="N43" i="24" a="1"/>
  <c r="N43" i="24" s="1"/>
  <c r="Y36" i="24"/>
  <c r="V71" i="24" s="1"/>
  <c r="Y33" i="24"/>
  <c r="V68" i="24" s="1"/>
  <c r="Y32" i="24"/>
  <c r="V67" i="24" s="1"/>
  <c r="Y31" i="24"/>
  <c r="W25" i="22"/>
  <c r="W26" i="22"/>
  <c r="S6" i="24"/>
  <c r="S7" i="24"/>
  <c r="S8" i="24"/>
  <c r="S9" i="24"/>
  <c r="S10" i="24"/>
  <c r="S11" i="24"/>
  <c r="S12" i="24"/>
  <c r="S13" i="24"/>
  <c r="S14" i="24"/>
  <c r="S15" i="24"/>
  <c r="S16" i="24"/>
  <c r="S17" i="24"/>
  <c r="S18" i="24"/>
  <c r="S19" i="24"/>
  <c r="S20" i="24"/>
  <c r="S21" i="24"/>
  <c r="S22" i="24"/>
  <c r="S23" i="24"/>
  <c r="S24" i="24"/>
  <c r="S25" i="24"/>
  <c r="U5" i="24"/>
  <c r="T5" i="24"/>
  <c r="L5" i="24"/>
  <c r="M5" i="24"/>
  <c r="N5" i="24"/>
  <c r="O5" i="24"/>
  <c r="O30" i="24" s="1"/>
  <c r="P5" i="24"/>
  <c r="Q5" i="24"/>
  <c r="R5" i="24"/>
  <c r="S5" i="24"/>
  <c r="L6" i="24"/>
  <c r="M6" i="24"/>
  <c r="N6" i="24"/>
  <c r="O6" i="24"/>
  <c r="P6" i="24"/>
  <c r="Q6" i="24"/>
  <c r="R6" i="24"/>
  <c r="L7" i="24"/>
  <c r="M7" i="24"/>
  <c r="N7" i="24"/>
  <c r="O7" i="24"/>
  <c r="P7" i="24"/>
  <c r="Q7" i="24"/>
  <c r="R7" i="24"/>
  <c r="L8" i="24"/>
  <c r="M8" i="24"/>
  <c r="N8" i="24"/>
  <c r="O8" i="24"/>
  <c r="P8" i="24"/>
  <c r="Q8" i="24"/>
  <c r="R8" i="24"/>
  <c r="L9" i="24"/>
  <c r="M9" i="24"/>
  <c r="N9" i="24"/>
  <c r="O9" i="24"/>
  <c r="P9" i="24"/>
  <c r="Q9" i="24"/>
  <c r="L10" i="24"/>
  <c r="M10" i="24"/>
  <c r="N10" i="24"/>
  <c r="O10" i="24"/>
  <c r="P10" i="24"/>
  <c r="Q10" i="24"/>
  <c r="L11" i="24"/>
  <c r="M11" i="24"/>
  <c r="N11" i="24"/>
  <c r="O11" i="24"/>
  <c r="P11" i="24"/>
  <c r="Q11" i="24"/>
  <c r="L12" i="24"/>
  <c r="M12" i="24"/>
  <c r="N12" i="24"/>
  <c r="O12" i="24"/>
  <c r="P12" i="24"/>
  <c r="Q12" i="24"/>
  <c r="L13" i="24"/>
  <c r="M13" i="24"/>
  <c r="N13" i="24"/>
  <c r="O13" i="24"/>
  <c r="P13" i="24"/>
  <c r="Q13" i="24"/>
  <c r="L14" i="24"/>
  <c r="M14" i="24"/>
  <c r="N14" i="24"/>
  <c r="O14" i="24"/>
  <c r="P14" i="24"/>
  <c r="Q14" i="24"/>
  <c r="L15" i="24"/>
  <c r="M15" i="24"/>
  <c r="N15" i="24"/>
  <c r="O15" i="24"/>
  <c r="P15" i="24"/>
  <c r="Q15" i="24"/>
  <c r="L16" i="24"/>
  <c r="M16" i="24"/>
  <c r="N16" i="24"/>
  <c r="O16" i="24"/>
  <c r="P16" i="24"/>
  <c r="Q16" i="24"/>
  <c r="L17" i="24"/>
  <c r="M17" i="24"/>
  <c r="N17" i="24"/>
  <c r="O17" i="24"/>
  <c r="P17" i="24"/>
  <c r="Q17" i="24"/>
  <c r="L18" i="24"/>
  <c r="M18" i="24"/>
  <c r="N18" i="24"/>
  <c r="O18" i="24"/>
  <c r="P18" i="24"/>
  <c r="Q18" i="24"/>
  <c r="L19" i="24"/>
  <c r="M19" i="24"/>
  <c r="N19" i="24"/>
  <c r="O19" i="24"/>
  <c r="P19" i="24"/>
  <c r="Q19" i="24"/>
  <c r="L20" i="24"/>
  <c r="M20" i="24"/>
  <c r="N20" i="24"/>
  <c r="O20" i="24"/>
  <c r="P20" i="24"/>
  <c r="Q20" i="24"/>
  <c r="L21" i="24"/>
  <c r="M21" i="24"/>
  <c r="N21" i="24"/>
  <c r="O21" i="24"/>
  <c r="P21" i="24"/>
  <c r="Q21" i="24"/>
  <c r="L22" i="24"/>
  <c r="M22" i="24"/>
  <c r="N22" i="24"/>
  <c r="O22" i="24"/>
  <c r="P22" i="24"/>
  <c r="Q22" i="24"/>
  <c r="L23" i="24"/>
  <c r="M23" i="24"/>
  <c r="N23" i="24"/>
  <c r="O23" i="24"/>
  <c r="P23" i="24"/>
  <c r="Q23" i="24"/>
  <c r="L24" i="24"/>
  <c r="M24" i="24"/>
  <c r="N24" i="24"/>
  <c r="O24" i="24"/>
  <c r="P24" i="24"/>
  <c r="Q24" i="24"/>
  <c r="L25" i="24"/>
  <c r="M25" i="24"/>
  <c r="N25" i="24"/>
  <c r="O25" i="24"/>
  <c r="P25" i="24"/>
  <c r="Q25" i="24"/>
  <c r="F17" i="24"/>
  <c r="E17" i="24"/>
  <c r="D17" i="24"/>
  <c r="F16" i="24"/>
  <c r="E16" i="24"/>
  <c r="D16" i="24"/>
  <c r="F15" i="24"/>
  <c r="E15" i="24"/>
  <c r="D15" i="24"/>
  <c r="C15" i="24"/>
  <c r="F14" i="24"/>
  <c r="E14" i="24"/>
  <c r="D14" i="24"/>
  <c r="C14" i="24"/>
  <c r="F13" i="24"/>
  <c r="E13" i="24"/>
  <c r="Q48" i="24" s="1"/>
  <c r="D13" i="24"/>
  <c r="C13" i="24"/>
  <c r="F12" i="24"/>
  <c r="E12" i="24"/>
  <c r="Q47" i="24" s="1"/>
  <c r="D12" i="24"/>
  <c r="C12" i="24"/>
  <c r="F11" i="24"/>
  <c r="E11" i="24"/>
  <c r="Q46" i="24" s="1"/>
  <c r="D11" i="24"/>
  <c r="C11" i="24"/>
  <c r="D10" i="24"/>
  <c r="C10" i="24"/>
  <c r="D9" i="24"/>
  <c r="C9" i="24"/>
  <c r="F8" i="24"/>
  <c r="E8" i="24"/>
  <c r="D8" i="24"/>
  <c r="C8" i="24"/>
  <c r="F7" i="24"/>
  <c r="E7" i="24"/>
  <c r="D7" i="24"/>
  <c r="C7" i="24"/>
  <c r="F6" i="24"/>
  <c r="E6" i="24"/>
  <c r="D6" i="24"/>
  <c r="F5" i="24"/>
  <c r="F4" i="24"/>
  <c r="E4" i="24"/>
  <c r="R2" i="23"/>
  <c r="O1" i="23"/>
  <c r="O2" i="23" s="1"/>
  <c r="AG56" i="23"/>
  <c r="AK39" i="23"/>
  <c r="U7" i="23" s="1"/>
  <c r="AL39" i="23"/>
  <c r="V7" i="23" s="1"/>
  <c r="AM39" i="23"/>
  <c r="W7" i="23" s="1"/>
  <c r="AN39" i="23"/>
  <c r="X7" i="23" s="1"/>
  <c r="AO39" i="23"/>
  <c r="Y7" i="23" s="1"/>
  <c r="AI40" i="23"/>
  <c r="AJ40" i="23"/>
  <c r="AK40" i="23"/>
  <c r="AL40" i="23"/>
  <c r="AM40" i="23"/>
  <c r="AN40" i="23"/>
  <c r="AO40" i="23"/>
  <c r="Y19" i="23" s="1"/>
  <c r="AJ42" i="23"/>
  <c r="AK42" i="23"/>
  <c r="AL42" i="23"/>
  <c r="AM42" i="23"/>
  <c r="AN42" i="23"/>
  <c r="AO42" i="23"/>
  <c r="AL43" i="23"/>
  <c r="AM43" i="23"/>
  <c r="AN43" i="23"/>
  <c r="AO43" i="23"/>
  <c r="AK45" i="23"/>
  <c r="AL45" i="23"/>
  <c r="AM45" i="23"/>
  <c r="AN45" i="23"/>
  <c r="AO45" i="23"/>
  <c r="AM46" i="23"/>
  <c r="AN46" i="23"/>
  <c r="AO46" i="23"/>
  <c r="AF47" i="23"/>
  <c r="P6" i="23" s="1"/>
  <c r="AG47" i="23"/>
  <c r="Q6" i="23" s="1"/>
  <c r="AH47" i="23"/>
  <c r="R6" i="23" s="1"/>
  <c r="AI47" i="23"/>
  <c r="S6" i="23" s="1"/>
  <c r="AJ47" i="23"/>
  <c r="T6" i="23" s="1"/>
  <c r="AK47" i="23"/>
  <c r="U6" i="23" s="1"/>
  <c r="AL47" i="23"/>
  <c r="V6" i="23" s="1"/>
  <c r="AM47" i="23"/>
  <c r="W6" i="23" s="1"/>
  <c r="AN47" i="23"/>
  <c r="X6" i="23" s="1"/>
  <c r="AO47" i="23"/>
  <c r="Y6" i="23" s="1"/>
  <c r="AI48" i="23"/>
  <c r="AJ48" i="23"/>
  <c r="AK48" i="23"/>
  <c r="AL48" i="23"/>
  <c r="AM48" i="23"/>
  <c r="AN48" i="23"/>
  <c r="AO48" i="23"/>
  <c r="AO49" i="23"/>
  <c r="AE51" i="23"/>
  <c r="AF51" i="23"/>
  <c r="AG51" i="23"/>
  <c r="AH51" i="23"/>
  <c r="AI51" i="23"/>
  <c r="AJ51" i="23"/>
  <c r="AK51" i="23"/>
  <c r="AL51" i="23"/>
  <c r="AM51" i="23"/>
  <c r="AN51" i="23"/>
  <c r="AO51" i="23"/>
  <c r="AE52" i="23"/>
  <c r="AF52" i="23"/>
  <c r="AG52" i="23"/>
  <c r="AH52" i="23"/>
  <c r="AI52" i="23"/>
  <c r="AJ52" i="23"/>
  <c r="AK52" i="23"/>
  <c r="AL52" i="23"/>
  <c r="AM52" i="23"/>
  <c r="AN52" i="23"/>
  <c r="AO52" i="23"/>
  <c r="AH53" i="23"/>
  <c r="AI53" i="23"/>
  <c r="AJ53" i="23"/>
  <c r="AK53" i="23"/>
  <c r="AL53" i="23"/>
  <c r="AM53" i="23"/>
  <c r="AN53" i="23"/>
  <c r="AO53" i="23"/>
  <c r="AK55" i="23"/>
  <c r="AL55" i="23"/>
  <c r="AM55" i="23"/>
  <c r="AN55" i="23"/>
  <c r="AO55" i="23"/>
  <c r="AH56" i="23"/>
  <c r="AI56" i="23"/>
  <c r="AJ56" i="23"/>
  <c r="AK56" i="23"/>
  <c r="AL56" i="23"/>
  <c r="AM56" i="23"/>
  <c r="AN56" i="23"/>
  <c r="AO56" i="23"/>
  <c r="AG58" i="23"/>
  <c r="Q8" i="23" s="1"/>
  <c r="AH58" i="23"/>
  <c r="R8" i="23" s="1"/>
  <c r="AI58" i="23"/>
  <c r="S8" i="23" s="1"/>
  <c r="AJ58" i="23"/>
  <c r="T8" i="23" s="1"/>
  <c r="AK58" i="23"/>
  <c r="U8" i="23" s="1"/>
  <c r="AL58" i="23"/>
  <c r="V8" i="23" s="1"/>
  <c r="AM58" i="23"/>
  <c r="W8" i="23" s="1"/>
  <c r="AN58" i="23"/>
  <c r="X8" i="23" s="1"/>
  <c r="AO58" i="23"/>
  <c r="Y8" i="23" s="1"/>
  <c r="AL59" i="23"/>
  <c r="AM59" i="23"/>
  <c r="AN59" i="23"/>
  <c r="AO59" i="23"/>
  <c r="AL60" i="23"/>
  <c r="V22" i="23" s="1"/>
  <c r="AM60" i="23"/>
  <c r="W22" i="23" s="1"/>
  <c r="AN60" i="23"/>
  <c r="X22" i="23" s="1"/>
  <c r="AO60" i="23"/>
  <c r="Y22" i="23" s="1"/>
  <c r="AM61" i="23"/>
  <c r="W18" i="23" s="1"/>
  <c r="AN61" i="23"/>
  <c r="X18" i="23" s="1"/>
  <c r="AO61" i="23"/>
  <c r="Y18" i="23" s="1"/>
  <c r="AL62" i="23"/>
  <c r="AM62" i="23"/>
  <c r="AN62" i="23"/>
  <c r="AO62" i="23"/>
  <c r="AH63" i="23"/>
  <c r="AI63" i="23"/>
  <c r="AJ63" i="23"/>
  <c r="AK63" i="23"/>
  <c r="AL63" i="23"/>
  <c r="AM63" i="23"/>
  <c r="AN63" i="23"/>
  <c r="AO63" i="23"/>
  <c r="AJ64" i="23"/>
  <c r="T13" i="23" s="1"/>
  <c r="AK64" i="23"/>
  <c r="U13" i="23" s="1"/>
  <c r="AL64" i="23"/>
  <c r="V13" i="23" s="1"/>
  <c r="AM64" i="23"/>
  <c r="W13" i="23" s="1"/>
  <c r="AN64" i="23"/>
  <c r="X13" i="23" s="1"/>
  <c r="AO64" i="23"/>
  <c r="Y13" i="23" s="1"/>
  <c r="AN66" i="23"/>
  <c r="X20" i="23" s="1"/>
  <c r="AO66" i="23"/>
  <c r="Y20" i="23" s="1"/>
  <c r="AG37" i="23"/>
  <c r="AH37" i="23"/>
  <c r="AI37" i="23"/>
  <c r="AJ37" i="23"/>
  <c r="AK37" i="23"/>
  <c r="AL37" i="23"/>
  <c r="AM37" i="23"/>
  <c r="AN37" i="23"/>
  <c r="AO37" i="23"/>
  <c r="AL38" i="23"/>
  <c r="AM38" i="23"/>
  <c r="AN38" i="23"/>
  <c r="AO38" i="23"/>
  <c r="AO36" i="23"/>
  <c r="Y16" i="23" s="1"/>
  <c r="Z37" i="23"/>
  <c r="Z38" i="23"/>
  <c r="Z39" i="23"/>
  <c r="Z40" i="23"/>
  <c r="Z41" i="23"/>
  <c r="Z42" i="23"/>
  <c r="Z43" i="23"/>
  <c r="Z44" i="23"/>
  <c r="Z45" i="23"/>
  <c r="Z46" i="23"/>
  <c r="Z47" i="23"/>
  <c r="Z48" i="23"/>
  <c r="Z49" i="23"/>
  <c r="Z50" i="23"/>
  <c r="Z51" i="23"/>
  <c r="Z52" i="23"/>
  <c r="Z53" i="23"/>
  <c r="Z54" i="23"/>
  <c r="Z55" i="23"/>
  <c r="Z56" i="23"/>
  <c r="Z57" i="23"/>
  <c r="Z58" i="23"/>
  <c r="Z59" i="23"/>
  <c r="Z60" i="23"/>
  <c r="Z61" i="23"/>
  <c r="Z62" i="23"/>
  <c r="Z63" i="23"/>
  <c r="Z64" i="23"/>
  <c r="Z65" i="23"/>
  <c r="Z66" i="23"/>
  <c r="Z67" i="23"/>
  <c r="Z68" i="23"/>
  <c r="Z36" i="23"/>
  <c r="DI90" i="25" l="1"/>
  <c r="DI96" i="25" s="1"/>
  <c r="DL96" i="25" s="1"/>
  <c r="AD90" i="25"/>
  <c r="AF90" i="25"/>
  <c r="AG90" i="25" s="1"/>
  <c r="DM62" i="25"/>
  <c r="AC90" i="25"/>
  <c r="DL90" i="25" s="1"/>
  <c r="AG62" i="25"/>
  <c r="AG83" i="25"/>
  <c r="AG82" i="25"/>
  <c r="O43" i="24"/>
  <c r="O84" i="24" s="1"/>
  <c r="O92" i="24"/>
  <c r="O86" i="24"/>
  <c r="O90" i="24"/>
  <c r="O94" i="24"/>
  <c r="O88" i="24"/>
  <c r="I33" i="24"/>
  <c r="R232" i="24" s="1"/>
  <c r="I35" i="24"/>
  <c r="R234" i="24" s="1"/>
  <c r="I32" i="24"/>
  <c r="R231" i="24" s="1"/>
  <c r="I31" i="24"/>
  <c r="R230" i="24" s="1"/>
  <c r="I36" i="24"/>
  <c r="J31" i="24"/>
  <c r="J35" i="24"/>
  <c r="J32" i="24"/>
  <c r="O154" i="24" s="1"/>
  <c r="J36" i="24"/>
  <c r="O158" i="24" s="1"/>
  <c r="J33" i="24"/>
  <c r="O155" i="24" s="1"/>
  <c r="K31" i="24"/>
  <c r="K36" i="24"/>
  <c r="K32" i="24"/>
  <c r="K35" i="24"/>
  <c r="E9" i="24"/>
  <c r="Q43" i="24"/>
  <c r="Q33" i="24"/>
  <c r="Q34" i="24"/>
  <c r="L34" i="24"/>
  <c r="L35" i="24"/>
  <c r="L33" i="24"/>
  <c r="L36" i="24"/>
  <c r="P77" i="24"/>
  <c r="V66" i="24"/>
  <c r="Q31" i="24"/>
  <c r="Q35" i="24"/>
  <c r="F9" i="24"/>
  <c r="Q32" i="24"/>
  <c r="Q36" i="24"/>
  <c r="Y11" i="23"/>
  <c r="Y17" i="23"/>
  <c r="V10" i="23"/>
  <c r="R10" i="23"/>
  <c r="V11" i="23"/>
  <c r="X17" i="23"/>
  <c r="Y10" i="23"/>
  <c r="U10" i="23"/>
  <c r="Q10" i="23"/>
  <c r="Y15" i="23"/>
  <c r="X10" i="23"/>
  <c r="T10" i="23"/>
  <c r="P10" i="23"/>
  <c r="X15" i="23"/>
  <c r="V17" i="23"/>
  <c r="W11" i="23"/>
  <c r="W10" i="23"/>
  <c r="S10" i="23"/>
  <c r="O10" i="23"/>
  <c r="W15" i="23"/>
  <c r="X11" i="23"/>
  <c r="W17" i="23"/>
  <c r="I38" i="24" l="1"/>
  <c r="I39" i="24" s="1"/>
  <c r="I42" i="24" s="1"/>
  <c r="I41" i="24"/>
  <c r="P174" i="24"/>
  <c r="P175" i="24" s="1"/>
  <c r="P182" i="24"/>
  <c r="P183" i="24" s="1"/>
  <c r="O157" i="24"/>
  <c r="P180" i="24"/>
  <c r="P181" i="24" s="1"/>
  <c r="E10" i="24"/>
  <c r="Q45" i="24" s="1"/>
  <c r="Q44" i="24"/>
  <c r="P172" i="24"/>
  <c r="P173" i="24" s="1"/>
  <c r="O153" i="24"/>
  <c r="F10" i="24"/>
  <c r="Y38" i="23" l="1"/>
  <c r="Y37" i="23"/>
  <c r="Y36" i="23"/>
  <c r="AD36" i="23" l="1"/>
  <c r="N16" i="23" s="1"/>
  <c r="AH36" i="23"/>
  <c r="R16" i="23" s="1"/>
  <c r="AL36" i="23"/>
  <c r="V16" i="23" s="1"/>
  <c r="M16" i="23"/>
  <c r="AE36" i="23"/>
  <c r="O16" i="23" s="1"/>
  <c r="AI36" i="23"/>
  <c r="S16" i="23" s="1"/>
  <c r="AM36" i="23"/>
  <c r="W16" i="23" s="1"/>
  <c r="AK36" i="23"/>
  <c r="U16" i="23" s="1"/>
  <c r="AF36" i="23"/>
  <c r="P16" i="23" s="1"/>
  <c r="AN36" i="23"/>
  <c r="X16" i="23" s="1"/>
  <c r="AG36" i="23"/>
  <c r="Q16" i="23" s="1"/>
  <c r="AJ36" i="23"/>
  <c r="T16" i="23" s="1"/>
  <c r="AE37" i="23"/>
  <c r="AF37" i="23"/>
  <c r="AC37" i="23"/>
  <c r="AD37" i="23"/>
  <c r="N17" i="23" s="1"/>
  <c r="AD38" i="23"/>
  <c r="AH38" i="23"/>
  <c r="R17" i="23" s="1"/>
  <c r="AE38" i="23"/>
  <c r="AI38" i="23"/>
  <c r="S17" i="23" s="1"/>
  <c r="AC38" i="23"/>
  <c r="AK38" i="23"/>
  <c r="U17" i="23" s="1"/>
  <c r="AF38" i="23"/>
  <c r="AG38" i="23"/>
  <c r="Q17" i="23" s="1"/>
  <c r="AJ38" i="23"/>
  <c r="T17" i="23" s="1"/>
  <c r="Y39" i="23"/>
  <c r="Y40" i="23"/>
  <c r="Y41" i="23"/>
  <c r="Y42" i="23"/>
  <c r="Y43" i="23"/>
  <c r="Y44" i="23"/>
  <c r="Y45" i="23"/>
  <c r="Y46" i="23"/>
  <c r="Y47" i="23"/>
  <c r="Y48" i="23"/>
  <c r="Y49" i="23"/>
  <c r="Y50" i="23"/>
  <c r="Y51" i="23"/>
  <c r="Y52" i="23"/>
  <c r="Y53" i="23"/>
  <c r="Y54" i="23"/>
  <c r="Y55" i="23"/>
  <c r="Y56" i="23"/>
  <c r="Y57" i="23"/>
  <c r="Y58" i="23"/>
  <c r="Y59" i="23"/>
  <c r="Y60" i="23"/>
  <c r="Y61" i="23"/>
  <c r="Y62" i="23"/>
  <c r="Y63" i="23"/>
  <c r="Y64" i="23"/>
  <c r="Y65" i="23"/>
  <c r="Y66" i="23"/>
  <c r="Y67" i="23"/>
  <c r="Y68" i="23"/>
  <c r="AB17" i="23" l="1"/>
  <c r="AE16" i="23"/>
  <c r="AK16" i="23"/>
  <c r="AJ16" i="23"/>
  <c r="AG17" i="23"/>
  <c r="AH16" i="23"/>
  <c r="AI17" i="23"/>
  <c r="AF17" i="23"/>
  <c r="AL16" i="23"/>
  <c r="AG16" i="23"/>
  <c r="AF16" i="23"/>
  <c r="AE17" i="23"/>
  <c r="AI16" i="23"/>
  <c r="AH17" i="23"/>
  <c r="AD16" i="23"/>
  <c r="AC16" i="23"/>
  <c r="AB16" i="23"/>
  <c r="Z16" i="23"/>
  <c r="AA16" i="23"/>
  <c r="M17" i="23"/>
  <c r="P17" i="23"/>
  <c r="AC62" i="23"/>
  <c r="AG62" i="23"/>
  <c r="U11" i="23"/>
  <c r="AD62" i="23"/>
  <c r="AH62" i="23"/>
  <c r="R11" i="23" s="1"/>
  <c r="AE62" i="23"/>
  <c r="AI62" i="23"/>
  <c r="S11" i="23" s="1"/>
  <c r="AJ62" i="23"/>
  <c r="T11" i="23" s="1"/>
  <c r="AF62" i="23"/>
  <c r="O17" i="23"/>
  <c r="AE65" i="23"/>
  <c r="O24" i="23" s="1"/>
  <c r="AI65" i="23"/>
  <c r="S24" i="23" s="1"/>
  <c r="AM65" i="23"/>
  <c r="W24" i="23" s="1"/>
  <c r="AF65" i="23"/>
  <c r="P24" i="23" s="1"/>
  <c r="AJ65" i="23"/>
  <c r="T24" i="23" s="1"/>
  <c r="AN65" i="23"/>
  <c r="X24" i="23" s="1"/>
  <c r="AD65" i="23"/>
  <c r="N24" i="23" s="1"/>
  <c r="AL65" i="23"/>
  <c r="V24" i="23" s="1"/>
  <c r="AG65" i="23"/>
  <c r="Q24" i="23" s="1"/>
  <c r="AO65" i="23"/>
  <c r="Y24" i="23" s="1"/>
  <c r="AH65" i="23"/>
  <c r="R24" i="23" s="1"/>
  <c r="AC65" i="23"/>
  <c r="M24" i="23" s="1"/>
  <c r="AK65" i="23"/>
  <c r="U24" i="23" s="1"/>
  <c r="AE61" i="23"/>
  <c r="O18" i="23" s="1"/>
  <c r="AI61" i="23"/>
  <c r="S18" i="23" s="1"/>
  <c r="AF61" i="23"/>
  <c r="P18" i="23" s="1"/>
  <c r="AJ61" i="23"/>
  <c r="T18" i="23" s="1"/>
  <c r="AH61" i="23"/>
  <c r="R18" i="23" s="1"/>
  <c r="AC61" i="23"/>
  <c r="M18" i="23" s="1"/>
  <c r="AK61" i="23"/>
  <c r="U18" i="23" s="1"/>
  <c r="AD61" i="23"/>
  <c r="N18" i="23" s="1"/>
  <c r="AL61" i="23"/>
  <c r="V18" i="23" s="1"/>
  <c r="AG61" i="23"/>
  <c r="Q18" i="23" s="1"/>
  <c r="AE57" i="23"/>
  <c r="AI57" i="23"/>
  <c r="S12" i="23" s="1"/>
  <c r="AM57" i="23"/>
  <c r="W12" i="23" s="1"/>
  <c r="AF57" i="23"/>
  <c r="AJ57" i="23"/>
  <c r="T12" i="23" s="1"/>
  <c r="AN57" i="23"/>
  <c r="X12" i="23" s="1"/>
  <c r="AD57" i="23"/>
  <c r="AL57" i="23"/>
  <c r="V12" i="23" s="1"/>
  <c r="AG57" i="23"/>
  <c r="Q12" i="23" s="1"/>
  <c r="AO57" i="23"/>
  <c r="Y12" i="23" s="1"/>
  <c r="AH57" i="23"/>
  <c r="R12" i="23" s="1"/>
  <c r="AC57" i="23"/>
  <c r="AK57" i="23"/>
  <c r="U12" i="23" s="1"/>
  <c r="AC53" i="23"/>
  <c r="AG53" i="23"/>
  <c r="AE53" i="23"/>
  <c r="AD53" i="23"/>
  <c r="AF53" i="23"/>
  <c r="AC49" i="23"/>
  <c r="AG49" i="23"/>
  <c r="AK49" i="23"/>
  <c r="AE49" i="23"/>
  <c r="AM49" i="23"/>
  <c r="AD49" i="23"/>
  <c r="AH49" i="23"/>
  <c r="AL49" i="23"/>
  <c r="AI49" i="23"/>
  <c r="AF49" i="23"/>
  <c r="AJ49" i="23"/>
  <c r="AC45" i="23"/>
  <c r="AG45" i="23"/>
  <c r="AE45" i="23"/>
  <c r="AD45" i="23"/>
  <c r="AH45" i="23"/>
  <c r="AI45" i="23"/>
  <c r="AF45" i="23"/>
  <c r="AJ45" i="23"/>
  <c r="AC41" i="23"/>
  <c r="AG41" i="23"/>
  <c r="AK41" i="23"/>
  <c r="U19" i="23" s="1"/>
  <c r="AI41" i="23"/>
  <c r="S19" i="23" s="1"/>
  <c r="AD41" i="23"/>
  <c r="AH41" i="23"/>
  <c r="AL41" i="23"/>
  <c r="V19" i="23" s="1"/>
  <c r="AE41" i="23"/>
  <c r="AM41" i="23"/>
  <c r="W19" i="23" s="1"/>
  <c r="AF41" i="23"/>
  <c r="AJ41" i="23"/>
  <c r="T19" i="23" s="1"/>
  <c r="AN41" i="23"/>
  <c r="X19" i="23" s="1"/>
  <c r="AF68" i="23"/>
  <c r="P21" i="23" s="1"/>
  <c r="AJ68" i="23"/>
  <c r="T21" i="23" s="1"/>
  <c r="AN68" i="23"/>
  <c r="X21" i="23" s="1"/>
  <c r="AC68" i="23"/>
  <c r="M21" i="23" s="1"/>
  <c r="AG68" i="23"/>
  <c r="Q21" i="23" s="1"/>
  <c r="AK68" i="23"/>
  <c r="U21" i="23" s="1"/>
  <c r="AO68" i="23"/>
  <c r="Y21" i="23" s="1"/>
  <c r="AE68" i="23"/>
  <c r="O21" i="23" s="1"/>
  <c r="AM68" i="23"/>
  <c r="W21" i="23" s="1"/>
  <c r="AH68" i="23"/>
  <c r="R21" i="23" s="1"/>
  <c r="AI68" i="23"/>
  <c r="S21" i="23" s="1"/>
  <c r="AD68" i="23"/>
  <c r="N21" i="23" s="1"/>
  <c r="AL68" i="23"/>
  <c r="V21" i="23" s="1"/>
  <c r="AF64" i="23"/>
  <c r="P13" i="23" s="1"/>
  <c r="AC64" i="23"/>
  <c r="M13" i="23" s="1"/>
  <c r="AG64" i="23"/>
  <c r="Q13" i="23" s="1"/>
  <c r="AI64" i="23"/>
  <c r="S13" i="23" s="1"/>
  <c r="AD64" i="23"/>
  <c r="N13" i="23" s="1"/>
  <c r="AE64" i="23"/>
  <c r="O13" i="23" s="1"/>
  <c r="AH64" i="23"/>
  <c r="R13" i="23" s="1"/>
  <c r="AF60" i="23"/>
  <c r="AJ60" i="23"/>
  <c r="AC60" i="23"/>
  <c r="AG60" i="23"/>
  <c r="AI60" i="23"/>
  <c r="AD60" i="23"/>
  <c r="AE60" i="23"/>
  <c r="AH60" i="23"/>
  <c r="AE56" i="23"/>
  <c r="AD56" i="23"/>
  <c r="N12" i="23" s="1"/>
  <c r="AF56" i="23"/>
  <c r="AC56" i="23"/>
  <c r="AD52" i="23"/>
  <c r="AC52" i="23"/>
  <c r="AD48" i="23"/>
  <c r="AH48" i="23"/>
  <c r="AE48" i="23"/>
  <c r="AF48" i="23"/>
  <c r="AC48" i="23"/>
  <c r="AG48" i="23"/>
  <c r="AD44" i="23"/>
  <c r="AH44" i="23"/>
  <c r="AL44" i="23"/>
  <c r="V14" i="23" s="1"/>
  <c r="AJ44" i="23"/>
  <c r="AE44" i="23"/>
  <c r="AI44" i="23"/>
  <c r="AM44" i="23"/>
  <c r="W14" i="23" s="1"/>
  <c r="AF44" i="23"/>
  <c r="AN44" i="23"/>
  <c r="X14" i="23" s="1"/>
  <c r="AK44" i="23"/>
  <c r="AO44" i="23"/>
  <c r="Y14" i="23" s="1"/>
  <c r="AC44" i="23"/>
  <c r="AG44" i="23"/>
  <c r="AD40" i="23"/>
  <c r="AH40" i="23"/>
  <c r="AF40" i="23"/>
  <c r="AE40" i="23"/>
  <c r="AC40" i="23"/>
  <c r="AG40" i="23"/>
  <c r="AC67" i="23"/>
  <c r="M25" i="23" s="1"/>
  <c r="AG67" i="23"/>
  <c r="Q25" i="23" s="1"/>
  <c r="AK67" i="23"/>
  <c r="U25" i="23" s="1"/>
  <c r="AO67" i="23"/>
  <c r="Y25" i="23" s="1"/>
  <c r="AD67" i="23"/>
  <c r="N25" i="23" s="1"/>
  <c r="AH67" i="23"/>
  <c r="R25" i="23" s="1"/>
  <c r="AL67" i="23"/>
  <c r="V25" i="23" s="1"/>
  <c r="AJ67" i="23"/>
  <c r="T25" i="23" s="1"/>
  <c r="AE67" i="23"/>
  <c r="O25" i="23" s="1"/>
  <c r="AM67" i="23"/>
  <c r="W25" i="23" s="1"/>
  <c r="AF67" i="23"/>
  <c r="P25" i="23" s="1"/>
  <c r="AN67" i="23"/>
  <c r="X25" i="23" s="1"/>
  <c r="AI67" i="23"/>
  <c r="S25" i="23" s="1"/>
  <c r="AC63" i="23"/>
  <c r="AG63" i="23"/>
  <c r="AD63" i="23"/>
  <c r="AF63" i="23"/>
  <c r="AE63" i="23"/>
  <c r="AC59" i="23"/>
  <c r="AG59" i="23"/>
  <c r="AD59" i="23"/>
  <c r="AH59" i="23"/>
  <c r="AJ59" i="23"/>
  <c r="AE59" i="23"/>
  <c r="AF59" i="23"/>
  <c r="AI59" i="23"/>
  <c r="AE55" i="23"/>
  <c r="AI55" i="23"/>
  <c r="AF55" i="23"/>
  <c r="AJ55" i="23"/>
  <c r="AH55" i="23"/>
  <c r="AC55" i="23"/>
  <c r="AD55" i="23"/>
  <c r="AG55" i="23"/>
  <c r="AC51" i="23"/>
  <c r="AD51" i="23"/>
  <c r="AE47" i="23"/>
  <c r="O6" i="23" s="1"/>
  <c r="AC47" i="23"/>
  <c r="AD47" i="23"/>
  <c r="N6" i="23" s="1"/>
  <c r="AE43" i="23"/>
  <c r="AI43" i="23"/>
  <c r="AG43" i="23"/>
  <c r="AF43" i="23"/>
  <c r="AJ43" i="23"/>
  <c r="AC43" i="23"/>
  <c r="AK43" i="23"/>
  <c r="AD43" i="23"/>
  <c r="AH43" i="23"/>
  <c r="AE39" i="23"/>
  <c r="O7" i="23" s="1"/>
  <c r="AI39" i="23"/>
  <c r="S7" i="23" s="1"/>
  <c r="AG39" i="23"/>
  <c r="Q7" i="23" s="1"/>
  <c r="AF39" i="23"/>
  <c r="AJ39" i="23"/>
  <c r="T7" i="23" s="1"/>
  <c r="AC39" i="23"/>
  <c r="AD39" i="23"/>
  <c r="N7" i="23" s="1"/>
  <c r="AH39" i="23"/>
  <c r="R7" i="23" s="1"/>
  <c r="AD66" i="23"/>
  <c r="N20" i="23" s="1"/>
  <c r="AH66" i="23"/>
  <c r="R20" i="23" s="1"/>
  <c r="AL66" i="23"/>
  <c r="V20" i="23" s="1"/>
  <c r="AE66" i="23"/>
  <c r="O20" i="23" s="1"/>
  <c r="AI66" i="23"/>
  <c r="S20" i="23" s="1"/>
  <c r="AM66" i="23"/>
  <c r="W20" i="23" s="1"/>
  <c r="AG66" i="23"/>
  <c r="Q20" i="23" s="1"/>
  <c r="AJ66" i="23"/>
  <c r="T20" i="23" s="1"/>
  <c r="AC66" i="23"/>
  <c r="M20" i="23" s="1"/>
  <c r="AK66" i="23"/>
  <c r="U20" i="23" s="1"/>
  <c r="AF66" i="23"/>
  <c r="P20" i="23" s="1"/>
  <c r="AD58" i="23"/>
  <c r="N8" i="23" s="1"/>
  <c r="AE58" i="23"/>
  <c r="O8" i="23" s="1"/>
  <c r="AC58" i="23"/>
  <c r="P8" i="23"/>
  <c r="AF54" i="23"/>
  <c r="AJ54" i="23"/>
  <c r="X23" i="23"/>
  <c r="AH54" i="23"/>
  <c r="R23" i="23" s="1"/>
  <c r="AC54" i="23"/>
  <c r="AG54" i="23"/>
  <c r="AK54" i="23"/>
  <c r="U23" i="23" s="1"/>
  <c r="Y23" i="23"/>
  <c r="AD54" i="23"/>
  <c r="AL54" i="23"/>
  <c r="V23" i="23" s="1"/>
  <c r="AM54" i="23"/>
  <c r="W23" i="23" s="1"/>
  <c r="AE54" i="23"/>
  <c r="AI54" i="23"/>
  <c r="S23" i="23" s="1"/>
  <c r="AF50" i="23"/>
  <c r="AJ50" i="23"/>
  <c r="AN50" i="23"/>
  <c r="AH50" i="23"/>
  <c r="AC50" i="23"/>
  <c r="AG50" i="23"/>
  <c r="AK50" i="23"/>
  <c r="AO50" i="23"/>
  <c r="Y9" i="23" s="1"/>
  <c r="AD50" i="23"/>
  <c r="AL50" i="23"/>
  <c r="AM50" i="23"/>
  <c r="AE50" i="23"/>
  <c r="AI50" i="23"/>
  <c r="AF46" i="23"/>
  <c r="AJ46" i="23"/>
  <c r="AH46" i="23"/>
  <c r="AL46" i="23"/>
  <c r="V15" i="23" s="1"/>
  <c r="AC46" i="23"/>
  <c r="AG46" i="23"/>
  <c r="AK46" i="23"/>
  <c r="U15" i="23" s="1"/>
  <c r="AD46" i="23"/>
  <c r="AE46" i="23"/>
  <c r="AI46" i="23"/>
  <c r="AF42" i="23"/>
  <c r="AD42" i="23"/>
  <c r="AC42" i="23"/>
  <c r="AG42" i="23"/>
  <c r="AH42" i="23"/>
  <c r="AE42" i="23"/>
  <c r="AI42" i="23"/>
  <c r="J43" i="22"/>
  <c r="AN16" i="23" l="1"/>
  <c r="AJ23" i="23"/>
  <c r="AC8" i="23"/>
  <c r="AB20" i="23"/>
  <c r="AC6" i="23"/>
  <c r="AG25" i="23"/>
  <c r="AA25" i="23"/>
  <c r="AE13" i="23"/>
  <c r="AN13" i="23" s="1"/>
  <c r="AA21" i="23"/>
  <c r="AM9" i="23"/>
  <c r="AG23" i="23"/>
  <c r="AB8" i="23"/>
  <c r="AH20" i="23"/>
  <c r="AC20" i="23"/>
  <c r="AF7" i="23"/>
  <c r="AY6" i="23" s="1"/>
  <c r="AD7" i="23"/>
  <c r="AW6" i="23" s="1"/>
  <c r="P7" i="23"/>
  <c r="T14" i="23"/>
  <c r="AL25" i="23"/>
  <c r="BE11" i="23" s="1"/>
  <c r="AH25" i="23"/>
  <c r="AM25" i="23"/>
  <c r="AM14" i="23"/>
  <c r="BF8" i="23" s="1"/>
  <c r="AK14" i="23"/>
  <c r="BD8" i="23" s="1"/>
  <c r="AJ14" i="23"/>
  <c r="AC13" i="23"/>
  <c r="AA13" i="23"/>
  <c r="AG21" i="23"/>
  <c r="AM21" i="23"/>
  <c r="AL21" i="23"/>
  <c r="AH19" i="23"/>
  <c r="AJ19" i="23"/>
  <c r="AI19" i="23"/>
  <c r="AJ12" i="23"/>
  <c r="AE18" i="23"/>
  <c r="AX9" i="23" s="1"/>
  <c r="AA18" i="23"/>
  <c r="AG18" i="23"/>
  <c r="AZ9" i="23" s="1"/>
  <c r="AF24" i="23"/>
  <c r="AB24" i="23"/>
  <c r="AK24" i="23"/>
  <c r="AF11" i="23"/>
  <c r="AJ15" i="23"/>
  <c r="AA20" i="23"/>
  <c r="AC7" i="23"/>
  <c r="AV6" i="23" s="1"/>
  <c r="AC25" i="23"/>
  <c r="AF13" i="23"/>
  <c r="AC21" i="23"/>
  <c r="AG19" i="23"/>
  <c r="AE12" i="23"/>
  <c r="AI18" i="23"/>
  <c r="BB9" i="23" s="1"/>
  <c r="AA24" i="23"/>
  <c r="AD24" i="23"/>
  <c r="AI15" i="23"/>
  <c r="AF23" i="23"/>
  <c r="AD20" i="23"/>
  <c r="AE20" i="23"/>
  <c r="AJ20" i="23"/>
  <c r="AB7" i="23"/>
  <c r="AE7" i="23"/>
  <c r="AX6" i="23" s="1"/>
  <c r="AB6" i="23"/>
  <c r="AU6" i="23" s="1"/>
  <c r="AD25" i="23"/>
  <c r="AJ25" i="23"/>
  <c r="AI25" i="23"/>
  <c r="AB12" i="23"/>
  <c r="AB13" i="23"/>
  <c r="AD13" i="23"/>
  <c r="AF21" i="23"/>
  <c r="AI21" i="23"/>
  <c r="AH21" i="23"/>
  <c r="P19" i="23"/>
  <c r="AF12" i="23"/>
  <c r="AK12" i="23"/>
  <c r="AJ18" i="23"/>
  <c r="AF18" i="23"/>
  <c r="AY9" i="23" s="1"/>
  <c r="AC18" i="23"/>
  <c r="AV9" i="23" s="1"/>
  <c r="AM24" i="23"/>
  <c r="AL24" i="23"/>
  <c r="AG24" i="23"/>
  <c r="AH11" i="23"/>
  <c r="AD17" i="23"/>
  <c r="AG20" i="23"/>
  <c r="AH7" i="23"/>
  <c r="BA6" i="23" s="1"/>
  <c r="AB25" i="23"/>
  <c r="AB21" i="23"/>
  <c r="AL19" i="23"/>
  <c r="AI12" i="23"/>
  <c r="AH12" i="23"/>
  <c r="AD18" i="23"/>
  <c r="AW9" i="23" s="1"/>
  <c r="AJ24" i="23"/>
  <c r="AI23" i="23"/>
  <c r="AA8" i="23"/>
  <c r="AI20" i="23"/>
  <c r="AK20" i="23"/>
  <c r="AF20" i="23"/>
  <c r="AG7" i="23"/>
  <c r="AZ6" i="23" s="1"/>
  <c r="AA6" i="23"/>
  <c r="AK25" i="23"/>
  <c r="AF25" i="23"/>
  <c r="AE25" i="23"/>
  <c r="AN25" i="23" s="1"/>
  <c r="AL14" i="23"/>
  <c r="BE8" i="23" s="1"/>
  <c r="O12" i="23"/>
  <c r="AG13" i="23"/>
  <c r="AJ21" i="23"/>
  <c r="AK21" i="23"/>
  <c r="AE21" i="23"/>
  <c r="AD21" i="23"/>
  <c r="AK19" i="23"/>
  <c r="BD10" i="23" s="1"/>
  <c r="AM12" i="23"/>
  <c r="AL12" i="23"/>
  <c r="AG12" i="23"/>
  <c r="AB18" i="23"/>
  <c r="AU9" i="23" s="1"/>
  <c r="AH18" i="23"/>
  <c r="BA9" i="23" s="1"/>
  <c r="AI24" i="23"/>
  <c r="AE24" i="23"/>
  <c r="AH24" i="23"/>
  <c r="AC24" i="23"/>
  <c r="AG11" i="23"/>
  <c r="AI11" i="23"/>
  <c r="AA17" i="23"/>
  <c r="T22" i="23"/>
  <c r="R19" i="23"/>
  <c r="BF11" i="23"/>
  <c r="U14" i="23"/>
  <c r="AN8" i="23"/>
  <c r="M12" i="23"/>
  <c r="BE10" i="23"/>
  <c r="U9" i="23"/>
  <c r="Z17" i="23"/>
  <c r="AC17" i="23"/>
  <c r="AT9" i="23"/>
  <c r="BG9" i="23" s="1"/>
  <c r="W34" i="24" s="1"/>
  <c r="Q69" i="24" s="1"/>
  <c r="T23" i="23"/>
  <c r="M14" i="23"/>
  <c r="S22" i="23"/>
  <c r="P15" i="23"/>
  <c r="Q9" i="23"/>
  <c r="R22" i="23"/>
  <c r="N19" i="23"/>
  <c r="Q19" i="23"/>
  <c r="S15" i="23"/>
  <c r="Q15" i="23"/>
  <c r="X9" i="23"/>
  <c r="O23" i="23"/>
  <c r="Z20" i="23"/>
  <c r="S14" i="23"/>
  <c r="O9" i="23"/>
  <c r="O15" i="23"/>
  <c r="Z24" i="23"/>
  <c r="Q11" i="23"/>
  <c r="N23" i="23"/>
  <c r="N10" i="23"/>
  <c r="Z25" i="23"/>
  <c r="P22" i="23"/>
  <c r="Z18" i="23"/>
  <c r="P11" i="23"/>
  <c r="M11" i="23"/>
  <c r="N14" i="23"/>
  <c r="P14" i="23"/>
  <c r="N9" i="23"/>
  <c r="P12" i="23"/>
  <c r="O22" i="23"/>
  <c r="Q22" i="23"/>
  <c r="Z21" i="23"/>
  <c r="O19" i="23"/>
  <c r="M19" i="23"/>
  <c r="R15" i="23"/>
  <c r="M15" i="23"/>
  <c r="S9" i="23"/>
  <c r="W9" i="23"/>
  <c r="Q23" i="23"/>
  <c r="N11" i="23"/>
  <c r="O11" i="23"/>
  <c r="R14" i="23"/>
  <c r="O14" i="23"/>
  <c r="R9" i="23"/>
  <c r="U22" i="23"/>
  <c r="Z8" i="23"/>
  <c r="Z7" i="23"/>
  <c r="Q14" i="23"/>
  <c r="Z6" i="23"/>
  <c r="P9" i="23"/>
  <c r="N22" i="23"/>
  <c r="M22" i="23"/>
  <c r="Z13" i="23"/>
  <c r="T15" i="23"/>
  <c r="N15" i="23"/>
  <c r="T9" i="23"/>
  <c r="V9" i="23"/>
  <c r="P23" i="23"/>
  <c r="M23" i="23"/>
  <c r="J39" i="22"/>
  <c r="J40" i="22"/>
  <c r="J41" i="22"/>
  <c r="J42" i="22"/>
  <c r="H68" i="23"/>
  <c r="E68" i="23" s="1"/>
  <c r="H67" i="23"/>
  <c r="E67" i="23" s="1"/>
  <c r="H66" i="23"/>
  <c r="E66" i="23" s="1"/>
  <c r="H65" i="23"/>
  <c r="E65" i="23" s="1"/>
  <c r="E64" i="23"/>
  <c r="F64" i="23" s="1"/>
  <c r="J64" i="23" s="1"/>
  <c r="H63" i="23"/>
  <c r="E63" i="23" s="1"/>
  <c r="H62" i="23"/>
  <c r="E62" i="23" s="1"/>
  <c r="H61" i="23"/>
  <c r="E61" i="23" s="1"/>
  <c r="H60" i="23"/>
  <c r="E60" i="23" s="1"/>
  <c r="H59" i="23"/>
  <c r="E59" i="23" s="1"/>
  <c r="E58" i="23"/>
  <c r="E57" i="23"/>
  <c r="H56" i="23"/>
  <c r="E56" i="23" s="1"/>
  <c r="H55" i="23"/>
  <c r="E55" i="23" s="1"/>
  <c r="H54" i="23"/>
  <c r="E54" i="23" s="1"/>
  <c r="H53" i="23"/>
  <c r="E53" i="23" s="1"/>
  <c r="H52" i="23"/>
  <c r="E52" i="23" s="1"/>
  <c r="H51" i="23"/>
  <c r="E51" i="23" s="1"/>
  <c r="H50" i="23"/>
  <c r="E50" i="23" s="1"/>
  <c r="H49" i="23"/>
  <c r="E49" i="23" s="1"/>
  <c r="H48" i="23"/>
  <c r="E48" i="23" s="1"/>
  <c r="E47" i="23"/>
  <c r="H46" i="23"/>
  <c r="E46" i="23" s="1"/>
  <c r="E45" i="23"/>
  <c r="H44" i="23"/>
  <c r="E44" i="23" s="1"/>
  <c r="F44" i="23" s="1"/>
  <c r="J44" i="23" s="1"/>
  <c r="E43" i="23"/>
  <c r="F43" i="23" s="1"/>
  <c r="J43" i="23" s="1"/>
  <c r="E42" i="23"/>
  <c r="F42" i="23" s="1"/>
  <c r="J42" i="23" s="1"/>
  <c r="H41" i="23"/>
  <c r="E41" i="23" s="1"/>
  <c r="F41" i="23" s="1"/>
  <c r="J41" i="23" s="1"/>
  <c r="H40" i="23"/>
  <c r="E40" i="23" s="1"/>
  <c r="E39" i="23"/>
  <c r="F39" i="23" s="1"/>
  <c r="H38" i="23"/>
  <c r="E38" i="23" s="1"/>
  <c r="H37" i="23"/>
  <c r="E37" i="23" s="1"/>
  <c r="H36" i="23"/>
  <c r="E36" i="23" s="1"/>
  <c r="AN17" i="23" l="1"/>
  <c r="AN6" i="23"/>
  <c r="BD11" i="23"/>
  <c r="AN20" i="23"/>
  <c r="BB11" i="23"/>
  <c r="AN24" i="23"/>
  <c r="AN21" i="23"/>
  <c r="AJ9" i="23"/>
  <c r="BC7" i="23" s="1"/>
  <c r="AC19" i="23"/>
  <c r="AB14" i="23"/>
  <c r="AL9" i="23"/>
  <c r="AB19" i="23"/>
  <c r="AG22" i="23"/>
  <c r="AZ10" i="23" s="1"/>
  <c r="AC12" i="23"/>
  <c r="AH9" i="23"/>
  <c r="BA7" i="23" s="1"/>
  <c r="AA22" i="23"/>
  <c r="AE14" i="23"/>
  <c r="AF9" i="23"/>
  <c r="AY7" i="23" s="1"/>
  <c r="AB11" i="23"/>
  <c r="AA15" i="23"/>
  <c r="AB9" i="23"/>
  <c r="AA11" i="23"/>
  <c r="AE11" i="23"/>
  <c r="AG14" i="23"/>
  <c r="AZ8" i="23" s="1"/>
  <c r="AE15" i="23"/>
  <c r="AF22" i="23"/>
  <c r="AA14" i="23"/>
  <c r="AT8" i="23" s="1"/>
  <c r="AN18" i="23"/>
  <c r="AI14" i="23"/>
  <c r="BB8" i="23" s="1"/>
  <c r="AF19" i="23"/>
  <c r="BB10" i="23"/>
  <c r="AH14" i="23"/>
  <c r="AZ11" i="23"/>
  <c r="AG9" i="23"/>
  <c r="AZ7" i="23" s="1"/>
  <c r="AA23" i="23"/>
  <c r="AT11" i="23" s="1"/>
  <c r="AB15" i="23"/>
  <c r="AU8" i="23" s="1"/>
  <c r="AB22" i="23"/>
  <c r="AC14" i="23"/>
  <c r="AE23" i="23"/>
  <c r="AX11" i="23" s="1"/>
  <c r="AF15" i="23"/>
  <c r="AE22" i="23"/>
  <c r="AA9" i="23"/>
  <c r="AD11" i="23"/>
  <c r="AB10" i="23"/>
  <c r="AG15" i="23"/>
  <c r="AE9" i="23"/>
  <c r="AH23" i="23"/>
  <c r="BA11" i="23" s="1"/>
  <c r="AA12" i="23"/>
  <c r="AH22" i="23"/>
  <c r="BA10" i="23" s="1"/>
  <c r="AA7" i="23"/>
  <c r="AN7" i="23" s="1"/>
  <c r="BC8" i="23"/>
  <c r="AC11" i="23"/>
  <c r="AD22" i="23"/>
  <c r="AC9" i="23"/>
  <c r="AV7" i="23" s="1"/>
  <c r="AD23" i="23"/>
  <c r="AW11" i="23" s="1"/>
  <c r="AH15" i="23"/>
  <c r="AD9" i="23"/>
  <c r="AF14" i="23"/>
  <c r="AK9" i="23"/>
  <c r="BD7" i="23" s="1"/>
  <c r="AA19" i="23"/>
  <c r="AC22" i="23"/>
  <c r="AD14" i="23"/>
  <c r="AB23" i="23"/>
  <c r="AU11" i="23" s="1"/>
  <c r="AC15" i="23"/>
  <c r="AC23" i="23"/>
  <c r="AV11" i="23" s="1"/>
  <c r="AE19" i="23"/>
  <c r="AX10" i="23" s="1"/>
  <c r="AD15" i="23"/>
  <c r="AI9" i="23"/>
  <c r="BB7" i="23" s="1"/>
  <c r="AD19" i="23"/>
  <c r="AY11" i="23"/>
  <c r="BC10" i="23"/>
  <c r="BF7" i="23"/>
  <c r="BC11" i="23"/>
  <c r="AX7" i="23"/>
  <c r="AY10" i="23"/>
  <c r="AV10" i="23"/>
  <c r="Z12" i="23"/>
  <c r="AD12" i="23"/>
  <c r="Z10" i="23"/>
  <c r="AA10" i="23"/>
  <c r="BE7" i="23"/>
  <c r="Z14" i="23"/>
  <c r="Z19" i="23"/>
  <c r="Z22" i="23"/>
  <c r="Z15" i="23"/>
  <c r="Z23" i="23"/>
  <c r="Z9" i="23"/>
  <c r="Z11" i="23"/>
  <c r="F54" i="23"/>
  <c r="J54" i="23" s="1"/>
  <c r="F49" i="23"/>
  <c r="J49" i="23" s="1"/>
  <c r="J39" i="23"/>
  <c r="G39" i="23"/>
  <c r="F53" i="23"/>
  <c r="J53" i="23" s="1"/>
  <c r="X71" i="23"/>
  <c r="F36" i="23"/>
  <c r="J36" i="23" s="1"/>
  <c r="F47" i="23"/>
  <c r="J47" i="23" s="1"/>
  <c r="F58" i="23"/>
  <c r="J58" i="23" s="1"/>
  <c r="F60" i="23"/>
  <c r="J60" i="23" s="1"/>
  <c r="F50" i="23"/>
  <c r="E74" i="23" s="1"/>
  <c r="F57" i="23"/>
  <c r="J57" i="23" s="1"/>
  <c r="F65" i="23"/>
  <c r="J65" i="23" s="1"/>
  <c r="G64" i="23"/>
  <c r="J44" i="22"/>
  <c r="K41" i="22" s="1"/>
  <c r="F38" i="23"/>
  <c r="J38" i="23" s="1"/>
  <c r="E71" i="23"/>
  <c r="F62" i="23"/>
  <c r="J62" i="23" s="1"/>
  <c r="F40" i="23"/>
  <c r="J40" i="23" s="1"/>
  <c r="F52" i="23"/>
  <c r="J52" i="23" s="1"/>
  <c r="F63" i="23"/>
  <c r="J63" i="23" s="1"/>
  <c r="F67" i="23"/>
  <c r="J67" i="23" s="1"/>
  <c r="F48" i="23"/>
  <c r="G48" i="23" s="1"/>
  <c r="F56" i="23"/>
  <c r="J56" i="23" s="1"/>
  <c r="U71" i="23"/>
  <c r="F46" i="23"/>
  <c r="J46" i="23" s="1"/>
  <c r="F59" i="23"/>
  <c r="J59" i="23" s="1"/>
  <c r="F68" i="23"/>
  <c r="J68" i="23" s="1"/>
  <c r="G42" i="23"/>
  <c r="G43" i="23"/>
  <c r="G44" i="23"/>
  <c r="F45" i="23"/>
  <c r="J45" i="23" s="1"/>
  <c r="F51" i="23"/>
  <c r="J51" i="23" s="1"/>
  <c r="F55" i="23"/>
  <c r="J55" i="23" s="1"/>
  <c r="F61" i="23"/>
  <c r="J61" i="23" s="1"/>
  <c r="F66" i="23"/>
  <c r="J66" i="23" s="1"/>
  <c r="N71" i="23"/>
  <c r="R71" i="23"/>
  <c r="V71" i="23"/>
  <c r="F37" i="23"/>
  <c r="J37" i="23" s="1"/>
  <c r="G41" i="23"/>
  <c r="O71" i="23"/>
  <c r="S71" i="23"/>
  <c r="W71" i="23"/>
  <c r="P71" i="23"/>
  <c r="T71" i="23"/>
  <c r="L71" i="23"/>
  <c r="Q71" i="23"/>
  <c r="K43" i="22" l="1"/>
  <c r="AN10" i="23"/>
  <c r="AN23" i="23"/>
  <c r="AT6" i="23"/>
  <c r="BG6" i="23" s="1"/>
  <c r="W31" i="24" s="1"/>
  <c r="AN14" i="23"/>
  <c r="AW8" i="23"/>
  <c r="AY8" i="23"/>
  <c r="BG11" i="23"/>
  <c r="AW7" i="23"/>
  <c r="AT10" i="23"/>
  <c r="BA8" i="23"/>
  <c r="AN22" i="23"/>
  <c r="AN9" i="23"/>
  <c r="AU7" i="23"/>
  <c r="AX8" i="23"/>
  <c r="BG8" i="23"/>
  <c r="W33" i="24" s="1"/>
  <c r="AN19" i="23"/>
  <c r="AW10" i="23"/>
  <c r="AV8" i="23"/>
  <c r="AU10" i="23"/>
  <c r="BG10" i="23" s="1"/>
  <c r="W35" i="24" s="1"/>
  <c r="Q70" i="24" s="1"/>
  <c r="AN11" i="23"/>
  <c r="AN15" i="23"/>
  <c r="AN12" i="23"/>
  <c r="BG15" i="23"/>
  <c r="BG16" i="23" s="1"/>
  <c r="W36" i="24"/>
  <c r="Q71" i="24" s="1"/>
  <c r="AM27" i="23"/>
  <c r="AT7" i="23"/>
  <c r="G36" i="23"/>
  <c r="E73" i="23"/>
  <c r="J50" i="23"/>
  <c r="G55" i="23"/>
  <c r="G62" i="23"/>
  <c r="G49" i="23"/>
  <c r="G65" i="23"/>
  <c r="G57" i="23"/>
  <c r="G58" i="23"/>
  <c r="G50" i="23"/>
  <c r="R72" i="23"/>
  <c r="L72" i="23"/>
  <c r="L73" i="23" s="1"/>
  <c r="G56" i="23"/>
  <c r="G68" i="23"/>
  <c r="G46" i="23"/>
  <c r="G51" i="23"/>
  <c r="G53" i="23"/>
  <c r="G61" i="23"/>
  <c r="G63" i="23"/>
  <c r="G60" i="23"/>
  <c r="G47" i="23"/>
  <c r="G54" i="23"/>
  <c r="K39" i="22"/>
  <c r="K42" i="22"/>
  <c r="K40" i="22"/>
  <c r="N72" i="23"/>
  <c r="N73" i="23" s="1"/>
  <c r="T72" i="23"/>
  <c r="G67" i="23"/>
  <c r="G40" i="23"/>
  <c r="G37" i="23"/>
  <c r="S72" i="23"/>
  <c r="P72" i="23"/>
  <c r="U72" i="23"/>
  <c r="G59" i="23"/>
  <c r="G66" i="23"/>
  <c r="E72" i="23"/>
  <c r="J48" i="23"/>
  <c r="G52" i="23"/>
  <c r="G38" i="23"/>
  <c r="W72" i="23"/>
  <c r="O72" i="23"/>
  <c r="V72" i="23"/>
  <c r="Q72" i="23"/>
  <c r="G45" i="23"/>
  <c r="X72" i="23"/>
  <c r="BG7" i="23" l="1"/>
  <c r="W32" i="24" s="1"/>
  <c r="AT13" i="23"/>
  <c r="L71" i="22"/>
  <c r="N71" i="22" s="1"/>
  <c r="O71" i="22" s="1"/>
  <c r="L70" i="22"/>
  <c r="N70" i="22" s="1"/>
  <c r="O70" i="22" s="1"/>
  <c r="L69" i="22"/>
  <c r="N69" i="22" s="1"/>
  <c r="O69" i="22" s="1"/>
  <c r="L68" i="22"/>
  <c r="N68" i="22" s="1"/>
  <c r="O68" i="22" s="1"/>
  <c r="L67" i="22"/>
  <c r="N67" i="22" s="1"/>
  <c r="O67" i="22" s="1"/>
  <c r="L66" i="22"/>
  <c r="N66" i="22" s="1"/>
  <c r="O66" i="22" s="1"/>
  <c r="L65" i="22"/>
  <c r="N65" i="22" s="1"/>
  <c r="O65" i="22" s="1"/>
  <c r="L64" i="22"/>
  <c r="N64" i="22" s="1"/>
  <c r="O64" i="22" s="1"/>
  <c r="L63" i="22"/>
  <c r="N63" i="22" s="1"/>
  <c r="O63" i="22" s="1"/>
  <c r="L62" i="22"/>
  <c r="N62" i="22" s="1"/>
  <c r="O62" i="22" s="1"/>
  <c r="L61" i="22"/>
  <c r="N61" i="22" s="1"/>
  <c r="O61" i="22" s="1"/>
  <c r="L60" i="22"/>
  <c r="N60" i="22" s="1"/>
  <c r="O60" i="22" s="1"/>
  <c r="L59" i="22"/>
  <c r="N59" i="22" s="1"/>
  <c r="O59" i="22" s="1"/>
  <c r="M29" i="22"/>
  <c r="L29" i="22"/>
  <c r="K29" i="22"/>
  <c r="J29" i="22"/>
  <c r="H29" i="22"/>
  <c r="M28" i="22"/>
  <c r="L28" i="22"/>
  <c r="K28" i="22"/>
  <c r="J28" i="22"/>
  <c r="M25" i="22"/>
  <c r="G41" i="22" s="1"/>
  <c r="L25" i="22"/>
  <c r="K25" i="22"/>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J13" i="22"/>
  <c r="M32" i="22"/>
  <c r="L32" i="22"/>
  <c r="K32" i="22"/>
  <c r="J32" i="22"/>
  <c r="M31" i="22"/>
  <c r="L31" i="22"/>
  <c r="K31" i="22"/>
  <c r="J31" i="22"/>
  <c r="M30" i="22"/>
  <c r="L30" i="22"/>
  <c r="K30" i="22"/>
  <c r="J30" i="22"/>
  <c r="M19" i="22"/>
  <c r="L19" i="22"/>
  <c r="H19" i="22"/>
  <c r="J19" i="22" s="1"/>
  <c r="M18" i="22"/>
  <c r="L18" i="22"/>
  <c r="K18" i="22"/>
  <c r="J18" i="22"/>
  <c r="M17" i="22"/>
  <c r="L17" i="22"/>
  <c r="K17" i="22"/>
  <c r="J17" i="22"/>
  <c r="M16" i="22"/>
  <c r="L16" i="22"/>
  <c r="K16" i="22"/>
  <c r="J16" i="22"/>
  <c r="M27" i="22"/>
  <c r="L27" i="22"/>
  <c r="K27" i="22"/>
  <c r="J27" i="22"/>
  <c r="M26" i="22"/>
  <c r="G42" i="22" s="1"/>
  <c r="L26" i="22"/>
  <c r="K26" i="22"/>
  <c r="J26" i="22"/>
  <c r="P76" i="20"/>
  <c r="P61" i="20"/>
  <c r="P55" i="20"/>
  <c r="P75" i="20"/>
  <c r="P77" i="20"/>
  <c r="P74" i="20"/>
  <c r="P73" i="20"/>
  <c r="P72" i="20"/>
  <c r="P158" i="19"/>
  <c r="N117" i="20"/>
  <c r="O170" i="20"/>
  <c r="P170" i="20"/>
  <c r="N170" i="20"/>
  <c r="O170" i="19"/>
  <c r="P170" i="19"/>
  <c r="T19" i="24" l="1"/>
  <c r="U19" i="24"/>
  <c r="T20" i="24"/>
  <c r="W27" i="22"/>
  <c r="U20" i="24" s="1"/>
  <c r="T9" i="24"/>
  <c r="W16" i="22"/>
  <c r="U9" i="24" s="1"/>
  <c r="W17" i="22"/>
  <c r="U10" i="24" s="1"/>
  <c r="T10" i="24"/>
  <c r="W18" i="22"/>
  <c r="U11" i="24" s="1"/>
  <c r="T11" i="24"/>
  <c r="T12" i="24"/>
  <c r="W19" i="22"/>
  <c r="U12" i="24" s="1"/>
  <c r="P32" i="24" s="1"/>
  <c r="W30" i="22"/>
  <c r="U23" i="24" s="1"/>
  <c r="T23" i="24"/>
  <c r="T24" i="24"/>
  <c r="W31" i="22"/>
  <c r="U24" i="24" s="1"/>
  <c r="T25" i="24"/>
  <c r="W32" i="22"/>
  <c r="U25" i="24" s="1"/>
  <c r="W13" i="22"/>
  <c r="U6" i="24" s="1"/>
  <c r="T6" i="24"/>
  <c r="T7" i="24"/>
  <c r="W14" i="22"/>
  <c r="U7" i="24" s="1"/>
  <c r="T13" i="24"/>
  <c r="W20" i="22"/>
  <c r="U13" i="24" s="1"/>
  <c r="W21" i="22"/>
  <c r="U14" i="24" s="1"/>
  <c r="T14" i="24"/>
  <c r="W22" i="22"/>
  <c r="U15" i="24" s="1"/>
  <c r="T15" i="24"/>
  <c r="T16" i="24"/>
  <c r="W23" i="22"/>
  <c r="U16" i="24" s="1"/>
  <c r="W24" i="22"/>
  <c r="U17" i="24" s="1"/>
  <c r="P33" i="24" s="1"/>
  <c r="T17" i="24"/>
  <c r="T8" i="24"/>
  <c r="W15" i="22"/>
  <c r="U8" i="24" s="1"/>
  <c r="U18" i="24"/>
  <c r="T18" i="24"/>
  <c r="T21" i="24"/>
  <c r="W28" i="22"/>
  <c r="U21" i="24" s="1"/>
  <c r="W29" i="22"/>
  <c r="U22" i="24" s="1"/>
  <c r="T22" i="24"/>
  <c r="G40" i="22"/>
  <c r="G39" i="22"/>
  <c r="G43" i="22"/>
  <c r="L72" i="22"/>
  <c r="G17" i="11"/>
  <c r="G18" i="11" s="1"/>
  <c r="G19" i="11" s="1"/>
  <c r="F36" i="11"/>
  <c r="E36" i="11"/>
  <c r="F34" i="11"/>
  <c r="E34" i="11"/>
  <c r="O123" i="19"/>
  <c r="O152" i="19" s="1"/>
  <c r="D47" i="19"/>
  <c r="D34" i="11" s="1"/>
  <c r="B47" i="19"/>
  <c r="D46" i="19"/>
  <c r="C34" i="11" s="1"/>
  <c r="B46" i="19"/>
  <c r="D47" i="20"/>
  <c r="O153" i="20" s="1"/>
  <c r="D46" i="20"/>
  <c r="O123" i="20" s="1"/>
  <c r="B47" i="20"/>
  <c r="B46" i="20"/>
  <c r="B36" i="1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S31" i="24" l="1"/>
  <c r="S34" i="24"/>
  <c r="S32" i="24"/>
  <c r="S35" i="24"/>
  <c r="S33" i="24"/>
  <c r="S36" i="24"/>
  <c r="G44" i="22"/>
  <c r="H39" i="22" s="1"/>
  <c r="O152" i="20"/>
  <c r="R34" i="20"/>
  <c r="R79" i="19"/>
  <c r="R72" i="19"/>
  <c r="O11" i="20"/>
  <c r="P11" i="20" s="1"/>
  <c r="T35" i="24" l="1"/>
  <c r="T32" i="24"/>
  <c r="T36" i="24"/>
  <c r="T33" i="24"/>
  <c r="V33" i="24" s="1"/>
  <c r="P141" i="24" s="1"/>
  <c r="P140" i="24" s="1"/>
  <c r="D45" i="24"/>
  <c r="D46" i="24" s="1"/>
  <c r="AB31" i="24"/>
  <c r="T34" i="24"/>
  <c r="AB34" i="24"/>
  <c r="AB32" i="24"/>
  <c r="AB36" i="24"/>
  <c r="V31" i="24"/>
  <c r="P137" i="24" s="1"/>
  <c r="AB33" i="24"/>
  <c r="AB35" i="24"/>
  <c r="H40" i="22"/>
  <c r="H41" i="22"/>
  <c r="H42" i="22"/>
  <c r="H43"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63" i="20"/>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4" i="20" s="1"/>
  <c r="F8" i="20"/>
  <c r="F9" i="20" s="1"/>
  <c r="F10" i="20" s="1"/>
  <c r="E8" i="20"/>
  <c r="D8" i="20"/>
  <c r="C8" i="20"/>
  <c r="O23"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V56" i="24" l="1"/>
  <c r="W67" i="24" s="1"/>
  <c r="P56" i="24"/>
  <c r="V58" i="24"/>
  <c r="J66" i="24" s="1"/>
  <c r="P58" i="24"/>
  <c r="V57" i="24"/>
  <c r="P57" i="24"/>
  <c r="V55" i="24"/>
  <c r="P60" i="24"/>
  <c r="V60" i="24"/>
  <c r="J68" i="24" s="1"/>
  <c r="P59" i="24"/>
  <c r="V59" i="24"/>
  <c r="J67" i="24" s="1"/>
  <c r="V34" i="24"/>
  <c r="P142" i="24" s="1"/>
  <c r="U31" i="24"/>
  <c r="P112" i="24" s="1"/>
  <c r="W68" i="24"/>
  <c r="U34" i="24"/>
  <c r="W71" i="24"/>
  <c r="W69" i="24"/>
  <c r="U35" i="24"/>
  <c r="P144" i="24" s="1"/>
  <c r="P143" i="24" s="1"/>
  <c r="V35" i="24"/>
  <c r="U32" i="24"/>
  <c r="V32" i="24"/>
  <c r="P139" i="24" s="1"/>
  <c r="P138" i="24" s="1"/>
  <c r="U33" i="24"/>
  <c r="U36" i="24"/>
  <c r="V36" i="24"/>
  <c r="P146" i="24" s="1"/>
  <c r="P145" i="24" s="1"/>
  <c r="Q66" i="16"/>
  <c r="N51" i="20"/>
  <c r="S33" i="20"/>
  <c r="P59" i="20"/>
  <c r="P56" i="20"/>
  <c r="P57" i="20"/>
  <c r="P60" i="20"/>
  <c r="P58" i="20"/>
  <c r="X130" i="20"/>
  <c r="N100" i="20"/>
  <c r="N99" i="20"/>
  <c r="N98" i="20"/>
  <c r="Q133" i="20"/>
  <c r="X131" i="20"/>
  <c r="E9" i="20"/>
  <c r="E10" i="20" s="1"/>
  <c r="O64" i="20"/>
  <c r="O65" i="20" s="1"/>
  <c r="P89" i="20" s="1"/>
  <c r="N146" i="20"/>
  <c r="S34" i="20"/>
  <c r="N151" i="20"/>
  <c r="G131" i="19"/>
  <c r="E132" i="19"/>
  <c r="G132" i="19" s="1"/>
  <c r="J65" i="24" l="1"/>
  <c r="Q68" i="24"/>
  <c r="J64" i="24"/>
  <c r="Q67" i="24"/>
  <c r="Q66" i="24"/>
  <c r="W66" i="24"/>
  <c r="J63" i="24"/>
  <c r="W70" i="24"/>
  <c r="P115" i="24"/>
  <c r="P117" i="24"/>
  <c r="P113" i="24"/>
  <c r="P114" i="24"/>
  <c r="P116" i="24"/>
  <c r="X132" i="20"/>
  <c r="Q63" i="20"/>
  <c r="Q79" i="20"/>
  <c r="P63"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P44" i="20" l="1"/>
  <c r="R99" i="20"/>
  <c r="N158" i="19"/>
  <c r="N99" i="19"/>
  <c r="O111" i="19"/>
  <c r="P111" i="19" s="1"/>
  <c r="O108" i="19"/>
  <c r="P108" i="19" s="1"/>
  <c r="R118" i="19" s="1"/>
  <c r="O86" i="19"/>
  <c r="O63" i="19"/>
  <c r="N63" i="19"/>
  <c r="Q59" i="19" s="1"/>
  <c r="O34" i="19"/>
  <c r="X108" i="19" s="1"/>
  <c r="O196" i="19"/>
  <c r="O197" i="19" s="1"/>
  <c r="P46" i="20" l="1"/>
  <c r="P55" i="19"/>
  <c r="P90" i="19"/>
  <c r="Q58" i="19"/>
  <c r="X110" i="19"/>
  <c r="X111" i="19" s="1"/>
  <c r="X112" i="19" s="1"/>
  <c r="X113" i="19" s="1"/>
  <c r="Q57" i="19"/>
  <c r="O90" i="19"/>
  <c r="Q55" i="19"/>
  <c r="Q60" i="19"/>
  <c r="Q56" i="19"/>
  <c r="N64" i="19"/>
  <c r="N65" i="19" s="1"/>
  <c r="O89" i="19" s="1"/>
  <c r="P34" i="19"/>
  <c r="S34" i="19"/>
  <c r="Q63" i="19" l="1"/>
  <c r="P60" i="19"/>
  <c r="P72" i="19" s="1"/>
  <c r="O11" i="19"/>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3" i="19" s="1"/>
  <c r="D9" i="19"/>
  <c r="C9" i="19"/>
  <c r="O24" i="19" s="1"/>
  <c r="F8" i="19"/>
  <c r="F9" i="19" s="1"/>
  <c r="F10" i="19" s="1"/>
  <c r="E8" i="19"/>
  <c r="D8" i="19"/>
  <c r="C8" i="19"/>
  <c r="O22" i="19" s="1"/>
  <c r="F7" i="19"/>
  <c r="E7" i="19"/>
  <c r="D7" i="19"/>
  <c r="C7" i="19"/>
  <c r="F6" i="19"/>
  <c r="E6" i="19"/>
  <c r="D6" i="19"/>
  <c r="F5" i="19"/>
  <c r="F4" i="19"/>
  <c r="E4" i="19"/>
  <c r="X136" i="19" l="1"/>
  <c r="P33" i="19"/>
  <c r="Q132" i="19"/>
  <c r="Q131" i="19"/>
  <c r="S33" i="19"/>
  <c r="O64" i="19"/>
  <c r="O65" i="19" s="1"/>
  <c r="P89" i="19" s="1"/>
  <c r="P59" i="19"/>
  <c r="P76" i="19" s="1"/>
  <c r="P58" i="19"/>
  <c r="P75" i="19" s="1"/>
  <c r="P57" i="19"/>
  <c r="P74" i="19" s="1"/>
  <c r="P61" i="19"/>
  <c r="P77" i="19" s="1"/>
  <c r="P56" i="19"/>
  <c r="E9" i="19"/>
  <c r="E10" i="19" s="1"/>
  <c r="P32" i="19"/>
  <c r="R34" i="19" s="1"/>
  <c r="R33" i="19" l="1"/>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C26" i="11"/>
  <c r="K19" i="3"/>
  <c r="K17" i="3"/>
  <c r="G29" i="10"/>
  <c r="F29" i="10"/>
  <c r="F18" i="10"/>
  <c r="D32" i="10"/>
  <c r="C32" i="10"/>
  <c r="F28" i="10" s="1"/>
  <c r="B26" i="11"/>
  <c r="B4" i="11" a="1"/>
  <c r="B4" i="11" s="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F14" i="11"/>
  <c r="M65" i="5" l="1"/>
  <c r="N65" i="5"/>
  <c r="O65" i="5"/>
  <c r="P65" i="5"/>
  <c r="Q65" i="5"/>
  <c r="R65" i="5"/>
  <c r="S65" i="5"/>
  <c r="L65" i="5"/>
  <c r="L55" i="5"/>
  <c r="L56" i="5"/>
  <c r="L57" i="5"/>
  <c r="L58" i="5"/>
  <c r="L59" i="5"/>
  <c r="Q127" i="5"/>
  <c r="L127" i="5"/>
  <c r="K127" i="5"/>
  <c r="J127" i="5"/>
  <c r="M127" i="5"/>
  <c r="N127" i="5"/>
  <c r="O127" i="5"/>
  <c r="P127" i="5"/>
  <c r="J126"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I100" i="3" a="1"/>
  <c r="I100" i="3" s="1"/>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P24" i="3"/>
  <c r="P25" i="3"/>
  <c r="H18" i="3"/>
  <c r="H16" i="3"/>
  <c r="I19" i="3"/>
  <c r="L60" i="5"/>
  <c r="L61" i="5"/>
  <c r="I51" i="5"/>
  <c r="I64" i="5"/>
  <c r="K21" i="5" a="1"/>
  <c r="K21" i="5" s="1"/>
  <c r="K8" i="5" a="1"/>
  <c r="K8" i="5" s="1"/>
  <c r="J21" i="5" a="1"/>
  <c r="J21" i="5" s="1"/>
  <c r="I53" i="5" s="1"/>
  <c r="K53" i="5" s="1"/>
  <c r="J8" i="5" a="1"/>
  <c r="C8" i="3" a="1"/>
  <c r="C8" i="3" s="1"/>
  <c r="J24" i="3" s="1"/>
  <c r="O64" i="4" a="1"/>
  <c r="O64" i="4" s="1"/>
  <c r="O54" i="4" a="1"/>
  <c r="O54" i="4" s="1"/>
  <c r="N64" i="4" a="1"/>
  <c r="N64" i="4" s="1"/>
  <c r="N54" i="4" a="1"/>
  <c r="N54" i="4" s="1"/>
  <c r="O44" i="4" a="1"/>
  <c r="O44" i="4" s="1"/>
  <c r="O34" i="4" a="1"/>
  <c r="O34" i="4" s="1"/>
  <c r="N34" i="4" a="1"/>
  <c r="N34" i="4" s="1"/>
  <c r="O24" i="4" a="1"/>
  <c r="O24" i="4" s="1"/>
  <c r="N44" i="4" a="1"/>
  <c r="N44" i="4" s="1"/>
  <c r="N24" i="4" a="1"/>
  <c r="N24" i="4" s="1"/>
  <c r="E24" i="4" a="1"/>
  <c r="E24" i="4" s="1"/>
  <c r="D24" i="4" a="1"/>
  <c r="D24" i="4" s="1"/>
  <c r="J8" i="5" l="1"/>
  <c r="I40" i="5" s="1"/>
  <c r="J40" i="5" s="1"/>
  <c r="I50" i="5"/>
  <c r="L64" i="5"/>
  <c r="I45" i="5"/>
  <c r="J45" i="5" s="1"/>
  <c r="I49" i="5"/>
  <c r="J49" i="5" s="1"/>
  <c r="I41" i="5"/>
  <c r="J41" i="5" s="1"/>
  <c r="I57" i="5"/>
  <c r="K57" i="5" s="1"/>
  <c r="I62" i="5"/>
  <c r="K62" i="5" s="1"/>
  <c r="I54" i="5"/>
  <c r="K54" i="5" s="1"/>
  <c r="I61" i="5"/>
  <c r="K61" i="5" s="1"/>
  <c r="I58" i="5"/>
  <c r="K58" i="5" s="1"/>
  <c r="J25" i="3"/>
  <c r="I48" i="5"/>
  <c r="J48" i="5" s="1"/>
  <c r="I60" i="5"/>
  <c r="K60" i="5" s="1"/>
  <c r="I56" i="5"/>
  <c r="K56" i="5" s="1"/>
  <c r="I47" i="5"/>
  <c r="J47" i="5" s="1"/>
  <c r="I43" i="5"/>
  <c r="J43" i="5" s="1"/>
  <c r="I44" i="5"/>
  <c r="J44" i="5" s="1"/>
  <c r="I63" i="5"/>
  <c r="K63" i="5" s="1"/>
  <c r="I59" i="5"/>
  <c r="K59" i="5" s="1"/>
  <c r="I55" i="5"/>
  <c r="K55" i="5" s="1"/>
  <c r="J50" i="5"/>
  <c r="I46" i="5"/>
  <c r="J46" i="5" s="1"/>
  <c r="I42" i="5"/>
  <c r="J42" i="5" s="1"/>
  <c r="J8" i="3"/>
  <c r="H8" i="3" s="1"/>
  <c r="P8" i="3" s="1"/>
  <c r="J7" i="3"/>
  <c r="H7" i="3" s="1"/>
  <c r="P7" i="3" s="1"/>
  <c r="J6" i="3"/>
  <c r="H6" i="3" s="1"/>
  <c r="P6" i="3" s="1"/>
  <c r="J10" i="3"/>
  <c r="H10" i="3" s="1"/>
  <c r="P10" i="3" s="1"/>
  <c r="J9" i="3"/>
  <c r="H9" i="3" s="1"/>
  <c r="P9" i="3" s="1"/>
  <c r="E70" i="1" l="1" a="1"/>
  <c r="E70" i="1" s="1"/>
  <c r="D70" i="1" a="1"/>
  <c r="D70" i="1" s="1"/>
  <c r="D60" i="1" a="1"/>
  <c r="D60" i="1" s="1"/>
  <c r="D50" i="1" a="1"/>
  <c r="D50" i="1" s="1"/>
  <c r="D40" i="1" a="1"/>
  <c r="D40" i="1" s="1"/>
  <c r="D30" i="1" a="1"/>
  <c r="D30" i="1" s="1"/>
  <c r="D20" i="1" a="1"/>
  <c r="D20" i="1" s="1"/>
  <c r="AL31" i="1" a="1"/>
  <c r="AL31" i="1" s="1"/>
  <c r="AA25" i="1" a="1"/>
  <c r="AA25" i="1" s="1"/>
  <c r="AA20" i="1" a="1"/>
  <c r="AA20" i="1" s="1"/>
  <c r="Z25" i="1" a="1"/>
  <c r="Z25" i="1" s="1"/>
  <c r="Z20" i="1" a="1"/>
  <c r="Z20" i="1" s="1"/>
  <c r="AL20" i="1" a="1"/>
  <c r="AL20" i="1" s="1"/>
  <c r="AK20" i="1" a="1"/>
  <c r="AK20" i="1" s="1"/>
  <c r="O27" i="1" a="1"/>
  <c r="O27" i="1" s="1"/>
  <c r="O20" i="1" a="1"/>
  <c r="O20" i="1" s="1"/>
  <c r="E60" i="1" a="1"/>
  <c r="E60" i="1" s="1"/>
  <c r="E50" i="1" a="1"/>
  <c r="E50" i="1" s="1"/>
  <c r="E40" i="1" a="1"/>
  <c r="E40" i="1" s="1"/>
  <c r="E30" i="1" a="1"/>
  <c r="E30" i="1" s="1"/>
  <c r="E20" i="1" a="1"/>
  <c r="E20" i="1" s="1"/>
  <c r="AK31" i="1" l="1" a="1"/>
  <c r="AK3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family val="2"/>
          </rPr>
          <t>JULIAN:</t>
        </r>
        <r>
          <rPr>
            <sz val="9"/>
            <color indexed="81"/>
            <rFont val="Tahoma"/>
            <family val="2"/>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family val="2"/>
          </rPr>
          <t>JULIAN:</t>
        </r>
        <r>
          <rPr>
            <sz val="9"/>
            <color indexed="81"/>
            <rFont val="Tahoma"/>
            <family val="2"/>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family val="2"/>
          </rPr>
          <t>JULIAN:</t>
        </r>
        <r>
          <rPr>
            <sz val="9"/>
            <color indexed="81"/>
            <rFont val="Tahoma"/>
            <family val="2"/>
          </rPr>
          <t xml:space="preserve">
En reficar 2020, reprotan 97% en volumen</t>
        </r>
      </text>
    </comment>
    <comment ref="N90" authorId="0" shapeId="0" xr:uid="{092FA991-418B-4B2E-99C2-5BEEE7CC7EAF}">
      <text>
        <r>
          <rPr>
            <b/>
            <sz val="9"/>
            <color indexed="81"/>
            <rFont val="Tahoma"/>
            <family val="2"/>
          </rPr>
          <t>JULIAN:</t>
        </r>
        <r>
          <rPr>
            <sz val="9"/>
            <color indexed="81"/>
            <rFont val="Tahoma"/>
            <family val="2"/>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3C6A49E5-47DF-4BEF-B990-B3B135D0467D}">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family val="2"/>
          </rPr>
          <t>JULIAN:</t>
        </r>
        <r>
          <rPr>
            <sz val="9"/>
            <color indexed="81"/>
            <rFont val="Tahoma"/>
            <family val="2"/>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family val="2"/>
          </rPr>
          <t>JULIAN:</t>
        </r>
        <r>
          <rPr>
            <sz val="9"/>
            <color indexed="81"/>
            <rFont val="Tahoma"/>
            <family val="2"/>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family val="2"/>
          </rPr>
          <t>JULIAN:</t>
        </r>
        <r>
          <rPr>
            <sz val="9"/>
            <color indexed="81"/>
            <rFont val="Tahoma"/>
            <family val="2"/>
          </rPr>
          <t xml:space="preserve">
En reficar 2020, reprotan 97% en volumen</t>
        </r>
      </text>
    </comment>
    <comment ref="N90" authorId="0" shapeId="0" xr:uid="{A3DF5B77-1456-43B8-8DE2-17AEF4190FC9}">
      <text>
        <r>
          <rPr>
            <b/>
            <sz val="9"/>
            <color indexed="81"/>
            <rFont val="Tahoma"/>
            <family val="2"/>
          </rPr>
          <t>JULIAN:</t>
        </r>
        <r>
          <rPr>
            <sz val="9"/>
            <color indexed="81"/>
            <rFont val="Tahoma"/>
            <family val="2"/>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9B34B72F-C5B2-4E69-BB9E-D36C6AADE9C4}">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F43"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I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I103" authorId="0" shapeId="0" xr:uid="{792C9E3D-BA8D-4BEF-B5CC-E0BA907E21BA}">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tc={D0885B34-4AE8-4094-B4E9-2688FE72BF6A}</author>
  </authors>
  <commentList>
    <comment ref="K15" authorId="0" shapeId="0" xr:uid="{CE350DA4-F9A9-46CD-BDFD-BFEABB4A183B}">
      <text>
        <r>
          <rPr>
            <b/>
            <sz val="9"/>
            <color indexed="81"/>
            <rFont val="Tahoma"/>
            <family val="2"/>
          </rPr>
          <t>JULIAN:</t>
        </r>
        <r>
          <rPr>
            <sz val="9"/>
            <color indexed="81"/>
            <rFont val="Tahoma"/>
            <family val="2"/>
          </rPr>
          <t xml:space="preserve">
spe-171080-ms</t>
        </r>
      </text>
    </comment>
    <comment ref="K16" authorId="0" shapeId="0" xr:uid="{D4F33C03-EE79-46EA-8355-D4061054F09D}">
      <text>
        <r>
          <rPr>
            <b/>
            <sz val="9"/>
            <color indexed="81"/>
            <rFont val="Tahoma"/>
            <family val="2"/>
          </rPr>
          <t>JULIAN:</t>
        </r>
        <r>
          <rPr>
            <sz val="9"/>
            <color indexed="81"/>
            <rFont val="Tahoma"/>
            <family val="2"/>
          </rPr>
          <t xml:space="preserve">
9-16 api</t>
        </r>
      </text>
    </comment>
    <comment ref="K17" authorId="0" shapeId="0" xr:uid="{EC02F2FC-CD23-4581-8CB1-D652D49FBCC3}">
      <text>
        <r>
          <rPr>
            <b/>
            <sz val="9"/>
            <color indexed="81"/>
            <rFont val="Tahoma"/>
            <family val="2"/>
          </rPr>
          <t>JULIAN:</t>
        </r>
        <r>
          <rPr>
            <sz val="9"/>
            <color indexed="81"/>
            <rFont val="Tahoma"/>
            <family val="2"/>
          </rPr>
          <t xml:space="preserve">
http://www.scielo.org.co/scielo.php?script=sci_arttext&amp;pid=S0122-53832001000100009
Usa gas lift</t>
        </r>
      </text>
    </comment>
    <comment ref="AF17" authorId="0" shapeId="0" xr:uid="{FDCF25E0-E32D-4F26-9592-218BC8E0674A}">
      <text>
        <r>
          <rPr>
            <b/>
            <sz val="9"/>
            <color indexed="81"/>
            <rFont val="Tahoma"/>
            <family val="2"/>
          </rPr>
          <t>JULIAN:</t>
        </r>
        <r>
          <rPr>
            <sz val="9"/>
            <color indexed="81"/>
            <rFont val="Tahoma"/>
            <family val="2"/>
          </rPr>
          <t xml:space="preserve">
Puede ser la diferencia 23% de ANH y 10% en Global Data de GOR</t>
        </r>
      </text>
    </comment>
    <comment ref="K19" authorId="0" shapeId="0" xr:uid="{B5CB041A-7464-414A-BC8B-A55C8FE4E991}">
      <text>
        <r>
          <rPr>
            <b/>
            <sz val="9"/>
            <color indexed="81"/>
            <rFont val="Tahoma"/>
            <family val="2"/>
          </rPr>
          <t>JULIAN:</t>
        </r>
        <r>
          <rPr>
            <sz val="9"/>
            <color indexed="81"/>
            <rFont val="Tahoma"/>
            <family val="2"/>
          </rPr>
          <t xml:space="preserve">
Solo vapor.</t>
        </r>
      </text>
    </comment>
    <comment ref="K22" authorId="0" shapeId="0" xr:uid="{07D78A1C-627F-4DFF-8525-D1C6B35F79A8}">
      <text>
        <r>
          <rPr>
            <b/>
            <sz val="9"/>
            <color indexed="81"/>
            <rFont val="Tahoma"/>
            <family val="2"/>
          </rPr>
          <t>JULIAN:</t>
        </r>
        <r>
          <rPr>
            <sz val="9"/>
            <color indexed="81"/>
            <rFont val="Tahoma"/>
            <family val="2"/>
          </rPr>
          <t xml:space="preserve">
spe-165273-ms</t>
        </r>
      </text>
    </comment>
    <comment ref="I23" authorId="0" shapeId="0" xr:uid="{E7874DEB-5B78-46D8-BD26-5B461AF46BDE}">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23" authorId="0" shapeId="0" xr:uid="{591E413B-BF89-4323-AFC4-A6BBF6685432}">
      <text>
        <r>
          <rPr>
            <b/>
            <sz val="9"/>
            <color indexed="81"/>
            <rFont val="Tahoma"/>
            <family val="2"/>
          </rPr>
          <t>JULIAN:</t>
        </r>
        <r>
          <rPr>
            <sz val="9"/>
            <color indexed="81"/>
            <rFont val="Tahoma"/>
            <family val="2"/>
          </rPr>
          <t xml:space="preserve">
spe-138979-ms</t>
        </r>
      </text>
    </comment>
    <comment ref="K24" authorId="0" shapeId="0" xr:uid="{2D592DE0-8A9F-4AC2-B5C9-3F0046A8E0B6}">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42" authorId="0" shapeId="0" xr:uid="{6A3D87BF-81F6-433B-9D32-8E721E97ED9E}">
      <text>
        <r>
          <rPr>
            <b/>
            <sz val="9"/>
            <color indexed="81"/>
            <rFont val="Tahoma"/>
            <family val="2"/>
          </rPr>
          <t>JULIAN:</t>
        </r>
        <r>
          <rPr>
            <sz val="9"/>
            <color indexed="81"/>
            <rFont val="Tahoma"/>
            <family val="2"/>
          </rPr>
          <t xml:space="preserve">
spe-171080-ms</t>
        </r>
      </text>
    </comment>
    <comment ref="K43" authorId="0" shapeId="0" xr:uid="{42C88E79-DF82-4C3E-A177-B7CBE0BC5FD6}">
      <text>
        <r>
          <rPr>
            <b/>
            <sz val="9"/>
            <color indexed="81"/>
            <rFont val="Tahoma"/>
            <family val="2"/>
          </rPr>
          <t>JULIAN:</t>
        </r>
        <r>
          <rPr>
            <sz val="9"/>
            <color indexed="81"/>
            <rFont val="Tahoma"/>
            <family val="2"/>
          </rPr>
          <t xml:space="preserve">
9-16 api</t>
        </r>
      </text>
    </comment>
    <comment ref="K44" authorId="0" shapeId="0" xr:uid="{F2FED99B-D0BC-4265-8396-ADDA8C88A2CE}">
      <text>
        <r>
          <rPr>
            <b/>
            <sz val="9"/>
            <color indexed="81"/>
            <rFont val="Tahoma"/>
            <family val="2"/>
          </rPr>
          <t>JULIAN:</t>
        </r>
        <r>
          <rPr>
            <sz val="9"/>
            <color indexed="81"/>
            <rFont val="Tahoma"/>
            <family val="2"/>
          </rPr>
          <t xml:space="preserve">
http://www.scielo.org.co/scielo.php?script=sci_arttext&amp;pid=S0122-53832001000100009
Usa gas lift</t>
        </r>
      </text>
    </comment>
    <comment ref="K46" authorId="0" shapeId="0" xr:uid="{7D84FB21-E05E-4FD7-8634-71490CAF1012}">
      <text>
        <r>
          <rPr>
            <b/>
            <sz val="9"/>
            <color indexed="81"/>
            <rFont val="Tahoma"/>
            <family val="2"/>
          </rPr>
          <t>JULIAN:</t>
        </r>
        <r>
          <rPr>
            <sz val="9"/>
            <color indexed="81"/>
            <rFont val="Tahoma"/>
            <family val="2"/>
          </rPr>
          <t xml:space="preserve">
Solo vapor.</t>
        </r>
      </text>
    </comment>
    <comment ref="K49" authorId="0" shapeId="0" xr:uid="{EC1E7508-8FF3-4C5E-A31C-BA580E6F1B07}">
      <text>
        <r>
          <rPr>
            <b/>
            <sz val="9"/>
            <color indexed="81"/>
            <rFont val="Tahoma"/>
            <family val="2"/>
          </rPr>
          <t>JULIAN:</t>
        </r>
        <r>
          <rPr>
            <sz val="9"/>
            <color indexed="81"/>
            <rFont val="Tahoma"/>
            <family val="2"/>
          </rPr>
          <t xml:space="preserve">
spe-165273-ms</t>
        </r>
      </text>
    </comment>
    <comment ref="I50" authorId="0" shapeId="0" xr:uid="{4214BC44-C8C6-4510-8D73-25CA5E55F36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50" authorId="0" shapeId="0" xr:uid="{893C82EE-48AF-4B2F-B3D6-5438A7F0226B}">
      <text>
        <r>
          <rPr>
            <b/>
            <sz val="9"/>
            <color indexed="81"/>
            <rFont val="Tahoma"/>
            <family val="2"/>
          </rPr>
          <t>JULIAN:</t>
        </r>
        <r>
          <rPr>
            <sz val="9"/>
            <color indexed="81"/>
            <rFont val="Tahoma"/>
            <family val="2"/>
          </rPr>
          <t xml:space="preserve">
spe-138979-ms</t>
        </r>
      </text>
    </comment>
    <comment ref="K51" authorId="0" shapeId="0" xr:uid="{210BD038-2A2F-46FE-BEEE-4E6059195A19}">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71" authorId="0" shapeId="0" xr:uid="{769888F9-A8A1-48CF-96DC-7DFF97A6698D}">
      <text>
        <r>
          <rPr>
            <b/>
            <sz val="9"/>
            <color indexed="81"/>
            <rFont val="Tahoma"/>
            <family val="2"/>
          </rPr>
          <t>JULIAN:</t>
        </r>
        <r>
          <rPr>
            <sz val="9"/>
            <color indexed="81"/>
            <rFont val="Tahoma"/>
            <family val="2"/>
          </rPr>
          <t xml:space="preserve">
spe-171080-ms</t>
        </r>
      </text>
    </comment>
    <comment ref="DE71" authorId="0" shapeId="0" xr:uid="{0929258A-A0CC-4E6D-AD2A-006FABB63D39}">
      <text>
        <r>
          <rPr>
            <b/>
            <sz val="9"/>
            <color indexed="81"/>
            <rFont val="Tahoma"/>
            <family val="2"/>
          </rPr>
          <t>JULIAN:</t>
        </r>
        <r>
          <rPr>
            <sz val="9"/>
            <color indexed="81"/>
            <rFont val="Tahoma"/>
            <family val="2"/>
          </rPr>
          <t xml:space="preserve">
spe-171080-ms</t>
        </r>
      </text>
    </comment>
    <comment ref="K72" authorId="0" shapeId="0" xr:uid="{F5500532-7F7F-48B0-A20F-C36861C94ED6}">
      <text>
        <r>
          <rPr>
            <b/>
            <sz val="9"/>
            <color indexed="81"/>
            <rFont val="Tahoma"/>
            <family val="2"/>
          </rPr>
          <t>JULIAN:</t>
        </r>
        <r>
          <rPr>
            <sz val="9"/>
            <color indexed="81"/>
            <rFont val="Tahoma"/>
            <family val="2"/>
          </rPr>
          <t xml:space="preserve">
9-16 api</t>
        </r>
      </text>
    </comment>
    <comment ref="DE72" authorId="0" shapeId="0" xr:uid="{53EC2FC1-2BE5-4C11-9D25-8FBCA8EBF515}">
      <text>
        <r>
          <rPr>
            <b/>
            <sz val="9"/>
            <color indexed="81"/>
            <rFont val="Tahoma"/>
            <family val="2"/>
          </rPr>
          <t>JULIAN:</t>
        </r>
        <r>
          <rPr>
            <sz val="9"/>
            <color indexed="81"/>
            <rFont val="Tahoma"/>
            <family val="2"/>
          </rPr>
          <t xml:space="preserve">
9-16 api</t>
        </r>
      </text>
    </comment>
    <comment ref="K73" authorId="0" shapeId="0" xr:uid="{4E24E512-9D4E-4BD4-9A1D-0065B837FC68}">
      <text>
        <r>
          <rPr>
            <b/>
            <sz val="9"/>
            <color indexed="81"/>
            <rFont val="Tahoma"/>
            <family val="2"/>
          </rPr>
          <t>JULIAN:</t>
        </r>
        <r>
          <rPr>
            <sz val="9"/>
            <color indexed="81"/>
            <rFont val="Tahoma"/>
            <family val="2"/>
          </rPr>
          <t xml:space="preserve">
http://www.scielo.org.co/scielo.php?script=sci_arttext&amp;pid=S0122-53832001000100009
Usa gas lift</t>
        </r>
      </text>
    </comment>
    <comment ref="P73" authorId="1" shapeId="0" xr:uid="{D0885B34-4AE8-4094-B4E9-2688FE72BF6A}">
      <text>
        <t>[Comentario encadenado]
Su versión de Excel le permite leer este comentario encadenado; sin embargo, las ediciones que se apliquen se quitarán si el archivo se abre en una versión más reciente de Excel. Más información: https://go.microsoft.com/fwlink/?linkid=870924
Comentario:
    Según GlobalData es 10%</t>
      </text>
    </comment>
    <comment ref="DE73" authorId="0" shapeId="0" xr:uid="{FD655F7B-8735-4151-BD72-CBE5C7775B8F}">
      <text>
        <r>
          <rPr>
            <b/>
            <sz val="9"/>
            <color indexed="81"/>
            <rFont val="Tahoma"/>
            <family val="2"/>
          </rPr>
          <t>JULIAN:</t>
        </r>
        <r>
          <rPr>
            <sz val="9"/>
            <color indexed="81"/>
            <rFont val="Tahoma"/>
            <family val="2"/>
          </rPr>
          <t xml:space="preserve">
http://www.scielo.org.co/scielo.php?script=sci_arttext&amp;pid=S0122-53832001000100009
Usa gas lift</t>
        </r>
      </text>
    </comment>
    <comment ref="K75" authorId="0" shapeId="0" xr:uid="{F7460676-1C8F-4948-B4EF-836E51D8E73D}">
      <text>
        <r>
          <rPr>
            <b/>
            <sz val="9"/>
            <color indexed="81"/>
            <rFont val="Tahoma"/>
            <family val="2"/>
          </rPr>
          <t>JULIAN:</t>
        </r>
        <r>
          <rPr>
            <sz val="9"/>
            <color indexed="81"/>
            <rFont val="Tahoma"/>
            <family val="2"/>
          </rPr>
          <t xml:space="preserve">
Solo vapor.</t>
        </r>
      </text>
    </comment>
    <comment ref="DE75" authorId="0" shapeId="0" xr:uid="{B13F66D7-205A-476E-9BB8-75D950E2E169}">
      <text>
        <r>
          <rPr>
            <b/>
            <sz val="9"/>
            <color indexed="81"/>
            <rFont val="Tahoma"/>
            <family val="2"/>
          </rPr>
          <t>JULIAN:</t>
        </r>
        <r>
          <rPr>
            <sz val="9"/>
            <color indexed="81"/>
            <rFont val="Tahoma"/>
            <family val="2"/>
          </rPr>
          <t xml:space="preserve">
Solo vapor.</t>
        </r>
      </text>
    </comment>
    <comment ref="K78" authorId="0" shapeId="0" xr:uid="{5838EBE5-BC3C-4DCC-AA34-4D9119679F4A}">
      <text>
        <r>
          <rPr>
            <b/>
            <sz val="9"/>
            <color indexed="81"/>
            <rFont val="Tahoma"/>
            <family val="2"/>
          </rPr>
          <t>JULIAN:</t>
        </r>
        <r>
          <rPr>
            <sz val="9"/>
            <color indexed="81"/>
            <rFont val="Tahoma"/>
            <family val="2"/>
          </rPr>
          <t xml:space="preserve">
spe-165273-ms</t>
        </r>
      </text>
    </comment>
    <comment ref="DE78" authorId="0" shapeId="0" xr:uid="{CB70454D-98DA-4E50-91D3-378729FB8808}">
      <text>
        <r>
          <rPr>
            <b/>
            <sz val="9"/>
            <color indexed="81"/>
            <rFont val="Tahoma"/>
            <family val="2"/>
          </rPr>
          <t>JULIAN:</t>
        </r>
        <r>
          <rPr>
            <sz val="9"/>
            <color indexed="81"/>
            <rFont val="Tahoma"/>
            <family val="2"/>
          </rPr>
          <t xml:space="preserve">
spe-165273-ms</t>
        </r>
      </text>
    </comment>
    <comment ref="I79" authorId="0" shapeId="0" xr:uid="{9E341421-EB55-4C27-8F7F-A17D6BC7A91F}">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79" authorId="0" shapeId="0" xr:uid="{74B8E652-BEF7-45EC-92A6-322B838661B7}">
      <text>
        <r>
          <rPr>
            <b/>
            <sz val="9"/>
            <color indexed="81"/>
            <rFont val="Tahoma"/>
            <family val="2"/>
          </rPr>
          <t>JULIAN:</t>
        </r>
        <r>
          <rPr>
            <sz val="9"/>
            <color indexed="81"/>
            <rFont val="Tahoma"/>
            <family val="2"/>
          </rPr>
          <t xml:space="preserve">
spe-138979-ms</t>
        </r>
      </text>
    </comment>
    <comment ref="DE79" authorId="0" shapeId="0" xr:uid="{3143EDB3-3336-48B3-A5E0-D0A25331FC23}">
      <text>
        <r>
          <rPr>
            <b/>
            <sz val="9"/>
            <color indexed="81"/>
            <rFont val="Tahoma"/>
            <family val="2"/>
          </rPr>
          <t>JULIAN:</t>
        </r>
        <r>
          <rPr>
            <sz val="9"/>
            <color indexed="81"/>
            <rFont val="Tahoma"/>
            <family val="2"/>
          </rPr>
          <t xml:space="preserve">
spe-138979-ms</t>
        </r>
      </text>
    </comment>
    <comment ref="K80" authorId="0" shapeId="0" xr:uid="{0757C69E-02FE-4174-BE25-AD52BC67DD1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DE80" authorId="0" shapeId="0" xr:uid="{1B937BEA-785A-46CB-BAB6-F5DE990B2790}">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G9" authorId="0" shapeId="0" xr:uid="{155CBAAE-5113-459D-A95C-A6236DF003B2}">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Q16" authorId="0" shapeId="0" xr:uid="{F37DF4A8-8627-4FB8-8369-DD8F0306047F}">
      <text>
        <r>
          <rPr>
            <b/>
            <sz val="9"/>
            <color indexed="81"/>
            <rFont val="Tahoma"/>
            <family val="2"/>
          </rPr>
          <t>JULIAN:</t>
        </r>
        <r>
          <rPr>
            <sz val="9"/>
            <color indexed="81"/>
            <rFont val="Tahoma"/>
            <family val="2"/>
          </rPr>
          <t xml:space="preserve">
spe-171080-ms</t>
        </r>
      </text>
    </comment>
    <comment ref="Q17" authorId="0" shapeId="0" xr:uid="{D4C4FD5B-3011-4B3B-9435-B197A657DDC1}">
      <text>
        <r>
          <rPr>
            <b/>
            <sz val="9"/>
            <color indexed="81"/>
            <rFont val="Tahoma"/>
            <family val="2"/>
          </rPr>
          <t>JULIAN:</t>
        </r>
        <r>
          <rPr>
            <sz val="9"/>
            <color indexed="81"/>
            <rFont val="Tahoma"/>
            <family val="2"/>
          </rPr>
          <t xml:space="preserve">
9-16 api</t>
        </r>
      </text>
    </comment>
    <comment ref="Q18" authorId="0" shapeId="0" xr:uid="{AF75A723-F7C0-404A-871E-BF0418C12033}">
      <text>
        <r>
          <rPr>
            <b/>
            <sz val="9"/>
            <color indexed="81"/>
            <rFont val="Tahoma"/>
            <family val="2"/>
          </rPr>
          <t>JULIAN:</t>
        </r>
        <r>
          <rPr>
            <sz val="9"/>
            <color indexed="81"/>
            <rFont val="Tahoma"/>
            <family val="2"/>
          </rPr>
          <t xml:space="preserve">
http://www.scielo.org.co/scielo.php?script=sci_arttext&amp;pid=S0122-53832001000100009
Usa gas lift</t>
        </r>
      </text>
    </comment>
    <comment ref="Q20" authorId="0" shapeId="0" xr:uid="{8F84E726-0376-4B9B-8187-593D79703137}">
      <text>
        <r>
          <rPr>
            <b/>
            <sz val="9"/>
            <color indexed="81"/>
            <rFont val="Tahoma"/>
            <family val="2"/>
          </rPr>
          <t>JULIAN:</t>
        </r>
        <r>
          <rPr>
            <sz val="9"/>
            <color indexed="81"/>
            <rFont val="Tahoma"/>
            <family val="2"/>
          </rPr>
          <t xml:space="preserve">
Solo vapor.</t>
        </r>
      </text>
    </comment>
    <comment ref="Q23" authorId="0" shapeId="0" xr:uid="{A1CDC96E-319C-4260-B98C-73C4A839A31A}">
      <text>
        <r>
          <rPr>
            <b/>
            <sz val="9"/>
            <color indexed="81"/>
            <rFont val="Tahoma"/>
            <family val="2"/>
          </rPr>
          <t>JULIAN:</t>
        </r>
        <r>
          <rPr>
            <sz val="9"/>
            <color indexed="81"/>
            <rFont val="Tahoma"/>
            <family val="2"/>
          </rPr>
          <t xml:space="preserve">
spe-165273-ms</t>
        </r>
      </text>
    </comment>
    <comment ref="O24" authorId="0" shapeId="0" xr:uid="{A0816860-5713-4F87-B6B2-C3386689B688}">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Q24" authorId="0" shapeId="0" xr:uid="{77EA6044-14F4-40E4-BE9C-90CC28A717C7}">
      <text>
        <r>
          <rPr>
            <b/>
            <sz val="9"/>
            <color indexed="81"/>
            <rFont val="Tahoma"/>
            <family val="2"/>
          </rPr>
          <t>JULIAN:</t>
        </r>
        <r>
          <rPr>
            <sz val="9"/>
            <color indexed="81"/>
            <rFont val="Tahoma"/>
            <family val="2"/>
          </rPr>
          <t xml:space="preserve">
spe-138979-ms</t>
        </r>
      </text>
    </comment>
    <comment ref="Q25" authorId="0" shapeId="0" xr:uid="{C72D820D-E196-4152-A273-833D7B51626A}">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R43" authorId="0" shapeId="0" xr:uid="{4818C97C-C748-44CB-A84A-F1266FA437DA}">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<sst xmlns="http://schemas.openxmlformats.org/spreadsheetml/2006/main" count="3856" uniqueCount="1117">
  <si>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</si>
  <si>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</si>
  <si>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</si>
  <si>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</si>
  <si>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</si>
  <si>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</si>
  <si>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</si>
  <si>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</si>
  <si>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</si>
  <si>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</si>
  <si>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</si>
  <si>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</si>
  <si>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</si>
  <si>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</si>
  <si>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</si>
  <si>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</si>
  <si>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</si>
  <si>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</si>
  <si>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</si>
  <si>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</si>
  <si>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</si>
  <si>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</si>
  <si>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</si>
  <si>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</si>
  <si>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</si>
  <si>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</si>
  <si>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</si>
  <si>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</si>
  <si>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</si>
  <si>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</si>
  <si>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</si>
  <si>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</si>
  <si>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</si>
  <si>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</si>
  <si>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</si>
  <si>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</si>
  <si>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</si>
  <si>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</si>
  <si>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</si>
  <si>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</si>
  <si>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</si>
  <si>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</si>
  <si>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</si>
  <si>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</si>
  <si>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</si>
  <si>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</si>
  <si>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</si>
  <si>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</si>
  <si>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</si>
  <si>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</si>
  <si>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</si>
  <si>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</si>
  <si>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</si>
  <si>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</si>
  <si>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</si>
  <si>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</si>
  <si>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</si>
  <si>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</si>
  <si>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</si>
  <si>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</si>
  <si>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</si>
  <si>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</si>
  <si>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</si>
  <si>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</si>
  <si>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</si>
  <si>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</si>
  <si>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</si>
  <si>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</si>
  <si>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</si>
  <si>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</si>
  <si>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</si>
  <si>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</si>
  <si>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</si>
  <si>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</si>
  <si>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</si>
  <si>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</si>
  <si>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</si>
  <si>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</si>
  <si>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</si>
  <si>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</si>
  <si>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</si>
  <si>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</si>
  <si>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</si>
  <si>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</si>
  <si>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</si>
  <si>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</si>
  <si>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</si>
  <si>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</si>
  <si>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</si>
  <si>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</si>
  <si>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</si>
  <si>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</si>
  <si>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</si>
  <si>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</si>
  <si>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</si>
  <si>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</si>
  <si>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</si>
  <si>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</si>
  <si>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</si>
  <si>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</si>
  <si>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</si>
  <si>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</si>
  <si>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</si>
  <si>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</si>
  <si>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</si>
  <si>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</si>
  <si>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</si>
  <si>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</si>
  <si>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</si>
  <si>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</si>
  <si>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</si>
  <si>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</si>
  <si>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</si>
  <si>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</si>
  <si>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</si>
  <si>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</si>
  <si>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</si>
  <si>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</si>
  <si>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</si>
  <si>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</si>
  <si>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</si>
  <si>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</si>
  <si>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</si>
  <si>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</si>
  <si>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</si>
  <si>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</si>
  <si>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</si>
  <si>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</si>
  <si>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</si>
  <si>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</si>
  <si>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</si>
  <si>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</si>
  <si>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</si>
  <si>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</si>
  <si>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</si>
  <si>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</si>
  <si>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</si>
  <si>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</si>
  <si>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</si>
  <si>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</si>
  <si>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</si>
  <si>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</si>
  <si>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</si>
  <si>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</si>
  <si>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</si>
  <si>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</si>
  <si>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</si>
  <si>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</si>
  <si>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</si>
  <si>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</si>
  <si>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</si>
  <si>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</si>
  <si>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</si>
  <si>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</si>
  <si>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</si>
  <si>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</si>
  <si>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</si>
  <si>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</si>
  <si>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</si>
  <si>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</si>
  <si>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</si>
  <si>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</si>
  <si>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</si>
  <si>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</si>
  <si>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</si>
  <si>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</si>
  <si>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</si>
  <si>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</si>
  <si>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</si>
  <si>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</si>
  <si>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</si>
  <si>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</si>
  <si>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</si>
  <si>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</si>
  <si>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</si>
  <si>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</si>
  <si>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</si>
  <si>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</si>
  <si>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</si>
  <si>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</si>
  <si>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</si>
  <si>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</si>
  <si>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</si>
  <si>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</si>
  <si>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</si>
  <si>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</si>
  <si>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</si>
  <si>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</si>
  <si>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</si>
  <si>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</si>
  <si>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</si>
  <si>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</si>
  <si>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</si>
  <si>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</si>
  <si>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</si>
  <si>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</si>
  <si>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</si>
  <si>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</si>
  <si>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</si>
  <si>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</si>
  <si>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</si>
  <si>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</si>
  <si>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</si>
  <si>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</si>
  <si>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</si>
  <si>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</si>
  <si>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</si>
  <si>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</si>
  <si>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</si>
  <si>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</si>
  <si>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</si>
  <si>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</si>
  <si>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</si>
  <si>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</si>
  <si>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</si>
  <si>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</si>
  <si>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</si>
  <si>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</si>
  <si>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</si>
  <si>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</si>
  <si>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</si>
  <si>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</si>
  <si>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</si>
  <si>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</si>
  <si>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</si>
  <si>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</si>
  <si>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</si>
  <si>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</si>
  <si>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</si>
  <si>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</si>
  <si>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</si>
  <si>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</si>
  <si>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</si>
  <si>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</si>
  <si>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</si>
  <si>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</si>
  <si>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</si>
  <si>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</si>
  <si>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</si>
  <si>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</si>
  <si>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</si>
  <si>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</si>
  <si>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</si>
  <si>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</si>
  <si>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</si>
  <si>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</si>
  <si>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</si>
  <si>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</si>
  <si>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</si>
  <si>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</si>
  <si>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</si>
  <si>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</si>
  <si>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</si>
  <si>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</si>
  <si>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</si>
  <si>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</si>
  <si>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</si>
  <si>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</si>
  <si>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</si>
  <si>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</si>
  <si>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</si>
  <si>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</si>
  <si>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</si>
  <si>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</si>
  <si>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</si>
  <si>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</si>
  <si>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</si>
  <si>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</si>
  <si>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</si>
  <si>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</si>
  <si>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</si>
  <si>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</si>
  <si>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</si>
  <si>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</si>
  <si>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</si>
  <si>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</si>
  <si>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</si>
  <si>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</si>
  <si>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</si>
  <si>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</si>
  <si>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</si>
  <si>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</si>
  <si>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</si>
  <si>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</si>
  <si>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</si>
  <si>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</si>
  <si>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</si>
  <si>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</si>
  <si>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</si>
  <si>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</si>
  <si>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</si>
  <si>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</si>
  <si>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</si>
  <si>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</si>
  <si>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</si>
  <si>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</si>
  <si>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</si>
  <si>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</si>
  <si>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</si>
  <si>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</si>
  <si>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</si>
  <si>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</si>
  <si>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</si>
  <si>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</si>
  <si>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</si>
  <si>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</si>
  <si>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</si>
  <si>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</si>
  <si>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</si>
  <si>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</si>
  <si>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</si>
  <si>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</si>
  <si>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</si>
  <si>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</si>
  <si>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</si>
  <si>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</si>
  <si>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</si>
  <si>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</si>
  <si>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</si>
  <si>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</si>
  <si>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</si>
  <si>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</si>
  <si>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</si>
  <si>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</si>
  <si>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</si>
  <si>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</si>
  <si>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</si>
  <si>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</si>
  <si>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</si>
  <si>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</si>
  <si>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</si>
  <si>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</si>
  <si>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</si>
  <si>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</si>
  <si>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</si>
  <si>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</si>
  <si>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</si>
  <si>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</si>
  <si>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</si>
  <si>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</si>
  <si>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</si>
  <si>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</si>
  <si>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</si>
  <si>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</si>
  <si>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</si>
  <si>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</si>
  <si>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</si>
  <si>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</si>
  <si>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</si>
  <si>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</si>
  <si>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</si>
  <si>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</si>
  <si>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</si>
  <si>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</si>
  <si>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</si>
  <si>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</si>
  <si>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</si>
  <si>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</si>
  <si>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</si>
  <si>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</si>
  <si>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</si>
  <si>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</si>
  <si>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</si>
  <si>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</si>
  <si>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</si>
  <si>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</si>
  <si>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</si>
  <si>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</si>
  <si>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</si>
  <si>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</si>
  <si>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</si>
  <si>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</si>
  <si>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</si>
  <si>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</si>
  <si>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</si>
  <si>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</si>
  <si>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</si>
  <si>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</si>
  <si>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</si>
  <si>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</si>
  <si>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</si>
  <si>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</si>
  <si>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</si>
  <si>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</si>
  <si>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</si>
  <si>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</si>
  <si>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</si>
  <si>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</si>
  <si>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</si>
  <si>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</si>
  <si>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</si>
  <si>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</si>
  <si>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</si>
  <si>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</si>
  <si>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</si>
  <si>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</si>
  <si>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</si>
  <si>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</si>
  <si>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</si>
  <si>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</si>
  <si>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</si>
  <si>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</si>
  <si>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</si>
  <si>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</si>
  <si>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</si>
  <si>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</si>
  <si>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</si>
  <si>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</si>
  <si>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</si>
  <si>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</si>
  <si>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</si>
  <si>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</si>
  <si>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</si>
  <si>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</si>
  <si>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</si>
  <si>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</si>
  <si>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</si>
  <si>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</si>
  <si>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</si>
  <si>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</si>
  <si>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</si>
  <si>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</si>
  <si>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</si>
  <si>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</si>
  <si>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</si>
  <si>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</si>
  <si>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</si>
  <si>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</si>
  <si>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</si>
  <si>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</si>
  <si>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</si>
  <si>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</si>
  <si>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</si>
  <si>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</si>
  <si>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</si>
  <si>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</si>
  <si>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</si>
  <si>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</si>
  <si>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</si>
  <si>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</si>
  <si>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</si>
  <si>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</si>
  <si>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</si>
  <si>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</si>
  <si>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</si>
  <si>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</si>
  <si>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</si>
  <si>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</si>
  <si>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</si>
  <si>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</si>
  <si>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</si>
  <si>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</si>
  <si>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</si>
  <si>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</si>
  <si>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</si>
  <si>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</si>
  <si>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</si>
  <si>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</si>
  <si>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</si>
  <si>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</si>
  <si>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</si>
  <si>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</si>
  <si>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</si>
  <si>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</si>
  <si>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</si>
  <si>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</si>
  <si>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</si>
  <si>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</si>
  <si>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</si>
  <si>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</si>
  <si>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</si>
  <si>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</si>
  <si>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</si>
  <si>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</si>
  <si>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</si>
  <si>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</si>
  <si>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</si>
  <si>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</si>
  <si>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</si>
  <si>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</si>
  <si>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</si>
  <si>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</si>
  <si>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</si>
  <si>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</si>
  <si>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</si>
  <si>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</si>
  <si>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</si>
  <si>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</si>
  <si>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</si>
  <si>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</si>
  <si>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</si>
  <si>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</si>
  <si>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</si>
  <si>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</si>
  <si>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</si>
  <si>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</si>
  <si>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</si>
  <si>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</si>
  <si>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</si>
  <si>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</si>
  <si>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</si>
  <si>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</si>
  <si>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</si>
  <si>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</si>
  <si>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</si>
  <si>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</si>
  <si>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</si>
  <si>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</si>
  <si>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</si>
  <si>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</si>
  <si>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</si>
  <si>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</si>
  <si>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</si>
  <si>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</si>
  <si>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</si>
  <si>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</si>
  <si>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</si>
  <si>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</si>
  <si>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</si>
  <si>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</si>
  <si>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</si>
  <si>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</si>
  <si>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</si>
  <si>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</si>
  <si>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</si>
  <si>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</si>
  <si>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</si>
  <si>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</si>
  <si>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</si>
  <si>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</si>
  <si>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</si>
  <si>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</si>
  <si>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</si>
  <si>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</si>
  <si>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</si>
  <si>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</si>
  <si>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</si>
  <si>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</si>
  <si>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</si>
  <si>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</si>
  <si>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</si>
  <si>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</si>
  <si>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</si>
  <si>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</si>
  <si>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</si>
  <si>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</si>
  <si>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</si>
  <si>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</si>
  <si>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</si>
  <si>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</si>
  <si>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</si>
  <si>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</si>
  <si>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</si>
  <si>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</si>
  <si>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</si>
  <si>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</si>
  <si>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</si>
  <si>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</si>
  <si>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</si>
  <si>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</si>
  <si>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</si>
  <si>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</si>
  <si>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</si>
  <si>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</si>
  <si>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</si>
  <si>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</si>
  <si>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</si>
  <si>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</si>
  <si>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</si>
  <si>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</si>
  <si>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</si>
  <si>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</si>
  <si>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</si>
  <si>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</si>
  <si>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</si>
  <si>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</si>
  <si>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</si>
  <si>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</si>
  <si>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</si>
  <si>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</si>
  <si>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</si>
  <si>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</si>
  <si>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</si>
  <si>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</si>
  <si>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</si>
  <si>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</si>
  <si>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</si>
  <si>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</si>
  <si>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</si>
  <si>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</si>
  <si>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</si>
  <si>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</si>
  <si>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</si>
  <si>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</si>
  <si>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</si>
  <si>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</si>
  <si>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</si>
  <si>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</si>
  <si>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</si>
  <si>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</si>
  <si>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</si>
  <si>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</si>
  <si>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</si>
  <si>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</si>
  <si>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</si>
  <si>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</si>
  <si>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</si>
  <si>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</si>
  <si>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</si>
  <si>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</si>
  <si>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</si>
  <si>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</si>
  <si>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</si>
  <si>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</si>
  <si>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</si>
  <si>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</si>
  <si>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</si>
  <si>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</si>
  <si>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</si>
  <si>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</si>
  <si>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</si>
  <si>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</si>
  <si>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</si>
  <si>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</si>
  <si>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</si>
  <si>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</si>
  <si>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</si>
  <si>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</si>
  <si>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</si>
  <si>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</si>
  <si>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</si>
  <si>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</si>
  <si>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</si>
  <si>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</si>
  <si>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</si>
  <si>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</si>
  <si>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</si>
  <si>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</si>
  <si>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</si>
  <si>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</si>
  <si>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</si>
  <si>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</si>
  <si>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</si>
  <si>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</si>
  <si>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</si>
  <si>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</si>
  <si>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</si>
  <si>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</si>
  <si>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</si>
  <si>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</si>
  <si>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</si>
  <si>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</si>
  <si>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</si>
  <si>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</si>
  <si>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</si>
  <si>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</si>
  <si>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</si>
  <si>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</si>
  <si>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</si>
  <si>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</si>
  <si>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</si>
  <si>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</si>
  <si>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</si>
  <si>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</si>
  <si>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</si>
  <si>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</si>
  <si>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</si>
  <si>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</si>
  <si>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</si>
  <si>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</si>
  <si>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</si>
  <si>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</si>
  <si>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</si>
  <si>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</si>
  <si>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</si>
  <si>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</si>
  <si>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</si>
  <si>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</si>
  <si>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</si>
  <si>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</si>
  <si>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</si>
  <si>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</si>
  <si>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</si>
  <si>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</si>
  <si>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</si>
  <si>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</si>
  <si>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</si>
  <si>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</si>
  <si>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</si>
  <si>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</si>
  <si>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</si>
  <si>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</si>
  <si>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</si>
  <si>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</si>
  <si>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</si>
  <si>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</si>
  <si>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</si>
  <si>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</si>
  <si>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</si>
  <si>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</si>
  <si>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</si>
  <si>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</si>
  <si>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</si>
  <si>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</si>
  <si>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</si>
  <si>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</si>
  <si>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</si>
  <si>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</si>
  <si>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</si>
  <si>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</si>
  <si>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</si>
  <si>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</si>
  <si>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</si>
  <si>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</si>
  <si>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</si>
  <si>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</si>
  <si>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</si>
  <si>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</si>
  <si>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</si>
  <si>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</si>
  <si>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</si>
  <si>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</si>
  <si>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</si>
  <si>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</si>
  <si>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</si>
  <si>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</si>
  <si>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</si>
  <si>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</si>
  <si>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</si>
  <si>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</si>
  <si>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</si>
  <si>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</si>
  <si>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</si>
  <si>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</si>
  <si>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</si>
  <si>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</si>
  <si>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</si>
  <si>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</si>
  <si>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</si>
  <si>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</si>
  <si>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</si>
  <si>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</si>
  <si>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</si>
  <si>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</si>
  <si>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</si>
  <si>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</si>
  <si>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</si>
  <si>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</si>
  <si>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</si>
  <si>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</si>
  <si>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</si>
  <si>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</si>
  <si>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</si>
  <si>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</si>
  <si>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</si>
  <si>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</si>
  <si>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</si>
  <si>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</si>
  <si>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</si>
  <si>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</si>
  <si>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</si>
  <si>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</si>
  <si>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</si>
  <si>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</si>
  <si>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</si>
  <si>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</si>
  <si>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</si>
  <si>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</si>
  <si>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</si>
  <si>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</si>
  <si>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</si>
  <si>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</si>
  <si>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</si>
  <si>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</si>
  <si>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</si>
  <si>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</si>
  <si>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</si>
  <si>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</si>
  <si>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</si>
  <si>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</si>
  <si>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</si>
  <si>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</si>
  <si>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</si>
  <si>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</si>
  <si>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</si>
  <si>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</si>
  <si>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</si>
  <si>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</si>
  <si>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</si>
  <si>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</si>
  <si>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</si>
  <si>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</si>
  <si>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</si>
  <si>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</si>
  <si>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</si>
  <si>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</si>
  <si>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</si>
  <si>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</si>
  <si>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</si>
  <si>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</si>
  <si>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</si>
  <si>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</si>
  <si>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</si>
  <si>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</si>
  <si>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</si>
  <si>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</si>
  <si>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</si>
  <si>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</si>
  <si>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</si>
  <si>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</si>
  <si>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</si>
  <si>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</si>
  <si>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</si>
  <si>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</si>
  <si>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</si>
  <si>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</si>
  <si>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</si>
  <si>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</si>
  <si>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</si>
  <si>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</si>
  <si>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</si>
  <si>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</si>
  <si>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</si>
  <si>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</si>
  <si>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</si>
  <si>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</si>
  <si>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</si>
  <si>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</si>
  <si>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</si>
  <si>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</si>
  <si>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</si>
  <si>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</si>
  <si>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</si>
  <si>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</si>
  <si>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</si>
  <si>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</si>
  <si>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</si>
  <si>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</si>
  <si>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</si>
  <si>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</si>
  <si>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</si>
  <si>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</si>
  <si>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</si>
  <si>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</si>
  <si>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</si>
  <si>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</si>
  <si>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</si>
  <si>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</si>
  <si>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</si>
  <si>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</si>
  <si>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</si>
  <si>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</si>
  <si>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</si>
  <si>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</si>
  <si>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</si>
  <si>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</si>
  <si>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</si>
  <si>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</si>
  <si>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</si>
  <si>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</si>
  <si>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</si>
  <si>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</si>
  <si>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</si>
  <si>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</si>
  <si>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</si>
  <si>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</si>
  <si>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</si>
  <si>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</si>
  <si>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</si>
  <si>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</si>
  <si>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</si>
  <si>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</si>
  <si>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</si>
  <si>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RR (Mmboe)</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</si>
  <si>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</si>
  <si>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</si>
  <si>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</si>
  <si>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</si>
  <si>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</si>
  <si>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</si>
  <si>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</si>
  <si>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</si>
  <si>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</si>
  <si>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</si>
  <si>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</si>
  <si>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</si>
  <si>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</si>
  <si>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</si>
  <si>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</si>
  <si>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</si>
  <si>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</si>
  <si>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</si>
  <si>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</si>
  <si>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</si>
  <si>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</si>
  <si>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</si>
  <si>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</si>
  <si>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</si>
  <si>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</si>
  <si>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</si>
  <si>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</si>
  <si>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</si>
  <si>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</si>
  <si>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</si>
  <si>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</si>
  <si>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</si>
  <si>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</si>
  <si>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</si>
  <si>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</si>
  <si>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</si>
  <si>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</si>
  <si>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</si>
  <si>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</si>
  <si>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</si>
  <si>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</si>
  <si>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</si>
  <si>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</si>
  <si>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</si>
  <si>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</si>
  <si>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MPC/d</t>
  </si>
  <si>
    <t>OFISCA</t>
  </si>
  <si>
    <t>Gas fiscalizado - Reinyección</t>
  </si>
  <si>
    <t>PJ/año</t>
  </si>
  <si>
    <t>O fiscalizado</t>
  </si>
  <si>
    <t>LLO - Liviano</t>
  </si>
  <si>
    <t xml:space="preserve">GU </t>
  </si>
  <si>
    <t>LLO - Pesado</t>
  </si>
  <si>
    <t>PU - Liviano</t>
  </si>
  <si>
    <t>VSM - Medio</t>
  </si>
  <si>
    <t>VMM - Medio</t>
  </si>
  <si>
    <t>%</t>
  </si>
  <si>
    <t>Eficiencia</t>
  </si>
  <si>
    <t>Petroleo sobre salida</t>
  </si>
  <si>
    <t>Petroleo con mejora eficiencia</t>
  </si>
  <si>
    <t>CAM</t>
  </si>
  <si>
    <t>BASIN</t>
  </si>
  <si>
    <t>Potencial (PJ/año)/año</t>
  </si>
  <si>
    <t>CUM</t>
  </si>
  <si>
    <t>COST</t>
  </si>
  <si>
    <t>Fluidos del campo 1</t>
  </si>
  <si>
    <t>Fluidos del campo 2</t>
  </si>
  <si>
    <t>Fluidos del campo 3</t>
  </si>
  <si>
    <t>Fluidos del campo 4</t>
  </si>
  <si>
    <t>Fluidos del campo 5</t>
  </si>
  <si>
    <t>Fluidos del campo 6</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</si>
  <si>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</si>
  <si>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</si>
  <si>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</si>
  <si>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</si>
  <si>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</si>
  <si>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</si>
  <si>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</si>
  <si>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</si>
  <si>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</si>
  <si>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</si>
  <si>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</si>
  <si>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</si>
  <si>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</si>
  <si>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</si>
  <si>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</si>
  <si>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</si>
  <si>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Gas transformado</t>
  </si>
  <si>
    <t>Planta del campo 1</t>
  </si>
  <si>
    <t>Planta del campo 2</t>
  </si>
  <si>
    <t>Planta del campo 3</t>
  </si>
  <si>
    <t>Planta del campo 4</t>
  </si>
  <si>
    <t>Planta del campo 5</t>
  </si>
  <si>
    <t>Planta del campo 6</t>
  </si>
  <si>
    <t>Gas planta</t>
  </si>
  <si>
    <t>GAS-CAM4</t>
  </si>
  <si>
    <t>PLT-CAM2</t>
  </si>
  <si>
    <t>PLT-CAM3</t>
  </si>
  <si>
    <t>PLT-CAM4</t>
  </si>
  <si>
    <t>PLT-CAM5</t>
  </si>
  <si>
    <t>PLT-CAM6</t>
  </si>
  <si>
    <t>Gas usado</t>
  </si>
  <si>
    <t>Consumo de ECP en produccion</t>
  </si>
  <si>
    <t>Generada</t>
  </si>
  <si>
    <t>Comprada</t>
  </si>
  <si>
    <t>PRO T</t>
  </si>
  <si>
    <t>Yañez et al. (2019)</t>
  </si>
  <si>
    <t>Upstream</t>
  </si>
  <si>
    <t>PJ de electricidad/PJ de petróleo</t>
  </si>
  <si>
    <t>Electricidad en el campo 1</t>
  </si>
  <si>
    <t>Electricidad en el campo 2</t>
  </si>
  <si>
    <t>Electricidad en el campo 3</t>
  </si>
  <si>
    <t>Electricidad en el campo 4</t>
  </si>
  <si>
    <t>Electricidad en el campo 5</t>
  </si>
  <si>
    <t>Electricidad en el campo 6</t>
  </si>
  <si>
    <t>PROF-CAM1</t>
  </si>
  <si>
    <t>PROF-CAM2</t>
  </si>
  <si>
    <t>PROF-CAM3</t>
  </si>
  <si>
    <t>PROF-CAM4</t>
  </si>
  <si>
    <t>PROF-CAM5</t>
  </si>
  <si>
    <t>PROF-CAM6</t>
  </si>
  <si>
    <t>ELC-CAM1</t>
  </si>
  <si>
    <t>ELC-CAM2</t>
  </si>
  <si>
    <t>ELC-CAM3</t>
  </si>
  <si>
    <t>ELC-CAM4</t>
  </si>
  <si>
    <t>ELC-CAM5</t>
  </si>
  <si>
    <t>ELC-CAM6</t>
  </si>
  <si>
    <t>COMPRA-ELC-CAM1</t>
  </si>
  <si>
    <t>COMPRA-ELC-CAM2</t>
  </si>
  <si>
    <t>COMPRA-ELC-CAM3</t>
  </si>
  <si>
    <t>COMPRA-ELC-CAM4</t>
  </si>
  <si>
    <t>COMPRA-ELC-CAM5</t>
  </si>
  <si>
    <t>COMPRA-ELC-CAM6</t>
  </si>
  <si>
    <t>GAS-CAM2</t>
  </si>
  <si>
    <t>GAS-CAM3</t>
  </si>
  <si>
    <t>GAS-CAM5</t>
  </si>
  <si>
    <t>GAS-CAM6</t>
  </si>
  <si>
    <t>Mezcla de crudos para campo 1</t>
  </si>
  <si>
    <t>Mezcla de crudos para campo 2</t>
  </si>
  <si>
    <t>Mezcla de crudos para campo 3</t>
  </si>
  <si>
    <t>Mezcla de crudos para campo 4</t>
  </si>
  <si>
    <t>Mezcla de crudos para campo 5</t>
  </si>
  <si>
    <t>Mezcla de crudos para campo 6</t>
  </si>
  <si>
    <t>Share-I~FX</t>
  </si>
  <si>
    <t>Gasoline</t>
  </si>
  <si>
    <t>Kerosene-Jet</t>
  </si>
  <si>
    <t>Natural Gas</t>
  </si>
  <si>
    <t>Proyeciones para escenario de referencia, AEO - US EIA, 2019, en MUSD/PJ</t>
  </si>
  <si>
    <t>Avgas</t>
  </si>
  <si>
    <t>Energetico</t>
  </si>
  <si>
    <t>High Oil Pruce</t>
  </si>
  <si>
    <t>Low Oil Price</t>
  </si>
  <si>
    <t>High Supply Oil and Gas</t>
  </si>
  <si>
    <t>Low Supply Oil and Gas</t>
  </si>
  <si>
    <t>KBL</t>
  </si>
  <si>
    <t>Doesn't Apply</t>
  </si>
  <si>
    <t>Mpcd</t>
  </si>
  <si>
    <t>Bpd</t>
  </si>
  <si>
    <t>Relative to Gfisc - Grei</t>
  </si>
  <si>
    <t>Relative to Gplant</t>
  </si>
  <si>
    <t>USES</t>
  </si>
  <si>
    <t>Type Fluid</t>
  </si>
  <si>
    <t>P</t>
  </si>
  <si>
    <t>LLO - Ligth</t>
  </si>
  <si>
    <t>LLO - Heavy</t>
  </si>
  <si>
    <t>PU - Ligth</t>
  </si>
  <si>
    <t>VMM - Medium</t>
  </si>
  <si>
    <t>VSM - Medium</t>
  </si>
  <si>
    <t>GU - Gas</t>
  </si>
  <si>
    <t>R/P</t>
  </si>
  <si>
    <t>years</t>
  </si>
  <si>
    <r>
      <t>R</t>
    </r>
    <r>
      <rPr>
        <b/>
        <vertAlign val="subscript"/>
        <sz val="14"/>
        <color theme="1"/>
        <rFont val="Calibri"/>
        <family val="2"/>
        <scheme val="minor"/>
      </rPr>
      <t>total</t>
    </r>
  </si>
  <si>
    <t>J/bl</t>
  </si>
  <si>
    <t>General</t>
  </si>
  <si>
    <r>
      <t>R</t>
    </r>
    <r>
      <rPr>
        <b/>
        <vertAlign val="subscript"/>
        <sz val="14"/>
        <color theme="1"/>
        <rFont val="Calibri"/>
        <family val="2"/>
        <scheme val="minor"/>
      </rPr>
      <t>oil</t>
    </r>
  </si>
  <si>
    <r>
      <t>(R/P)</t>
    </r>
    <r>
      <rPr>
        <b/>
        <vertAlign val="subscript"/>
        <sz val="14"/>
        <color theme="1"/>
        <rFont val="Calibri"/>
        <family val="2"/>
        <scheme val="minor"/>
      </rPr>
      <t>oil</t>
    </r>
  </si>
  <si>
    <r>
      <t>R</t>
    </r>
    <r>
      <rPr>
        <b/>
        <vertAlign val="subscript"/>
        <sz val="14"/>
        <color theme="1"/>
        <rFont val="Calibri"/>
        <family val="2"/>
        <scheme val="minor"/>
      </rPr>
      <t>gas</t>
    </r>
  </si>
  <si>
    <r>
      <t>(R/P)</t>
    </r>
    <r>
      <rPr>
        <b/>
        <vertAlign val="subscript"/>
        <sz val="14"/>
        <color theme="1"/>
        <rFont val="Calibri"/>
        <family val="2"/>
        <scheme val="minor"/>
      </rPr>
      <t>gas</t>
    </r>
  </si>
  <si>
    <t>"GOR"</t>
  </si>
  <si>
    <t>Fiscal</t>
  </si>
  <si>
    <t>Comm</t>
  </si>
  <si>
    <t>Pc</t>
  </si>
  <si>
    <t>Proyecciones, boepd</t>
  </si>
  <si>
    <t>GlobalData</t>
  </si>
  <si>
    <t>ANH, COM</t>
  </si>
  <si>
    <t>ANH, Fisc-Rei</t>
  </si>
  <si>
    <t>E%, COM</t>
  </si>
  <si>
    <t>E%, FISC-REI</t>
  </si>
  <si>
    <r>
      <t>O</t>
    </r>
    <r>
      <rPr>
        <b/>
        <vertAlign val="subscript"/>
        <sz val="10"/>
        <color theme="1"/>
        <rFont val="Calibri"/>
        <family val="2"/>
        <scheme val="minor"/>
      </rPr>
      <t>FISCA</t>
    </r>
    <r>
      <rPr>
        <b/>
        <sz val="10"/>
        <color theme="1"/>
        <rFont val="Calibri"/>
        <family val="2"/>
        <scheme val="minor"/>
      </rPr>
      <t xml:space="preserve"> +  GFISC - GREI</t>
    </r>
  </si>
  <si>
    <t/>
  </si>
  <si>
    <t>Interpolar</t>
  </si>
  <si>
    <t>Projections, %, Global Data</t>
  </si>
  <si>
    <t>Projections, PJ, Global Data</t>
  </si>
  <si>
    <t>Interpolated Projections, PJ, Global Data</t>
  </si>
  <si>
    <t>Guajira, Norte de Santander</t>
  </si>
  <si>
    <t>Casanare, Meta</t>
  </si>
  <si>
    <t>Antioquia, Santander</t>
  </si>
  <si>
    <t>Huila</t>
  </si>
  <si>
    <t>Proyections, PJ, Global Data</t>
  </si>
  <si>
    <t>Oil Proyections, PJ, Global Data</t>
  </si>
  <si>
    <t>Gas Projections, PJ, Global Data</t>
  </si>
  <si>
    <t>Reservas</t>
  </si>
  <si>
    <t>Producción con flaring</t>
  </si>
  <si>
    <t>Producción máxima de fluidos</t>
  </si>
  <si>
    <t>Consumo de electricidad</t>
  </si>
  <si>
    <t>R-CAM1</t>
  </si>
  <si>
    <t>R-CAM2</t>
  </si>
  <si>
    <t>R-CAM3</t>
  </si>
  <si>
    <t>R-CAM4</t>
  </si>
  <si>
    <t>R-CAM5</t>
  </si>
  <si>
    <t>R-CAM6</t>
  </si>
  <si>
    <t>Flaring</t>
  </si>
  <si>
    <t>FLU-CAM1</t>
  </si>
  <si>
    <t>FLU-CAM2</t>
  </si>
  <si>
    <t>FLU-CAM3</t>
  </si>
  <si>
    <t>FLU-CAM4</t>
  </si>
  <si>
    <t>FLU-CAM5</t>
  </si>
  <si>
    <t>FLU-CAM6</t>
  </si>
  <si>
    <t>F.E. GAS</t>
  </si>
  <si>
    <t>Separacion de los fluidos</t>
  </si>
  <si>
    <t>SEP-CAM1</t>
  </si>
  <si>
    <t>SEP-CAM2</t>
  </si>
  <si>
    <t>SEP-CAM3</t>
  </si>
  <si>
    <t>SEP-CAM4</t>
  </si>
  <si>
    <t>SEP-CAM5</t>
  </si>
  <si>
    <t>SEP-CAM6</t>
  </si>
  <si>
    <t>GAS-CAM1</t>
  </si>
  <si>
    <t>LOIL-CAM2</t>
  </si>
  <si>
    <t>HOIL-CAM3</t>
  </si>
  <si>
    <t>LOIL-CAM4</t>
  </si>
  <si>
    <t>MOIL-CAM5</t>
  </si>
  <si>
    <t>MOIL-CAM6</t>
  </si>
  <si>
    <t>Definicion del proceso</t>
  </si>
  <si>
    <t>Fluidos producidos, uso del "GOR", sin flaring</t>
  </si>
  <si>
    <t>Plantas de procesamiento de gas natural</t>
  </si>
  <si>
    <t>Consumo de electricidad para producción</t>
  </si>
  <si>
    <t>Capacidades de planta de procesamiento de gas natural</t>
  </si>
  <si>
    <t>Procesamiento</t>
  </si>
  <si>
    <t>Capacidad máxima de procesamiento</t>
  </si>
  <si>
    <t>Salida de procesos</t>
  </si>
  <si>
    <t>Capacidad de producción de GLP</t>
  </si>
  <si>
    <t>Reficar</t>
  </si>
  <si>
    <t>Barranca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</si>
</sst>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_-* #,##0.0000000_-;\-* #,##0.0000000_-;_-* &quot;-&quot;??_-;_-@_-"/>
    <numFmt numFmtId="182" formatCode="0.0000%"/>
    <numFmt numFmtId="183" formatCode="0.0000000%"/>
    <numFmt numFmtId="184" formatCode="0.00000%"/>
  </numFmts>
  <fonts count="61"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
      <b/>
      <sz val="9"/>
      <color theme="1"/>
      <name val="Calibri"/>
      <family val="2"/>
      <scheme val="minor"/>
    </font>
    <font>
      <sz val="11"/>
      <color theme="0" tint="-0.14999847407452621"/>
      <name val="Calibri"/>
      <family val="2"/>
      <scheme val="minor"/>
    </font>
    <font>
      <b/>
      <vertAlign val="subscript"/>
      <sz val="10"/>
      <color theme="1"/>
      <name val="Calibri"/>
      <family val="2"/>
      <scheme val="minor"/>
    </font>
    <font>
      <sz val="11"/>
      <color rgb="FF7030A0"/>
      <name val="Calibri"/>
      <family val="2"/>
      <scheme val="minor"/>
    </font>
  </fonts>
  <fills count="21">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DDFF"/>
        <bgColor indexed="64"/>
      </patternFill>
    </fill>
    <fill>
      <patternFill patternType="solid">
        <fgColor theme="4" tint="0.79998168889431442"/>
        <bgColor indexed="64"/>
      </patternFill>
    </fill>
  </fills>
  <borders count="30">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s>
  <cellStyleXfs count="10">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cellStyleXfs>
  <cellXfs count="775">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5"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6"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7" fillId="0" borderId="0" xfId="0" applyFont="1" applyAlignment="1">
      <alignment horizontal="center" vertical="center" wrapText="1"/>
    </xf>
    <xf numFmtId="0" fontId="39" fillId="5" borderId="10" xfId="4" applyFont="1" applyFill="1" applyBorder="1" applyAlignment="1">
      <alignment horizontal="center" vertical="center"/>
    </xf>
    <xf numFmtId="0" fontId="39" fillId="5" borderId="2" xfId="4" applyFont="1" applyFill="1" applyBorder="1" applyAlignment="1">
      <alignment horizontal="center" vertical="center"/>
    </xf>
    <xf numFmtId="0" fontId="39" fillId="5" borderId="11" xfId="3" applyFont="1" applyFill="1" applyBorder="1" applyAlignment="1">
      <alignment horizontal="center" vertical="center" wrapText="1"/>
    </xf>
    <xf numFmtId="0" fontId="37" fillId="3" borderId="0" xfId="1" applyFont="1" applyFill="1" applyBorder="1" applyAlignment="1">
      <alignment horizontal="center" vertical="center" wrapText="1"/>
    </xf>
    <xf numFmtId="0" fontId="37" fillId="3" borderId="0" xfId="0" applyFont="1" applyFill="1" applyAlignment="1">
      <alignment horizontal="center" vertical="center"/>
    </xf>
    <xf numFmtId="0" fontId="40" fillId="3" borderId="0" xfId="4" applyFont="1" applyFill="1" applyAlignment="1">
      <alignment horizontal="center" vertical="center"/>
    </xf>
    <xf numFmtId="0" fontId="40" fillId="3" borderId="0" xfId="3" applyFont="1" applyFill="1" applyAlignment="1">
      <alignment horizontal="center" vertical="center" wrapText="1"/>
    </xf>
    <xf numFmtId="2" fontId="40" fillId="3" borderId="0" xfId="4" applyNumberFormat="1" applyFont="1" applyFill="1" applyAlignment="1">
      <alignment horizontal="center" vertical="center"/>
    </xf>
    <xf numFmtId="1" fontId="40" fillId="3" borderId="0" xfId="7" applyNumberFormat="1" applyFont="1" applyFill="1" applyBorder="1" applyAlignment="1">
      <alignment horizontal="center" vertical="center"/>
    </xf>
    <xf numFmtId="0" fontId="36" fillId="3" borderId="0" xfId="0" applyFont="1" applyFill="1" applyAlignment="1">
      <alignment horizontal="center" vertical="center"/>
    </xf>
    <xf numFmtId="0" fontId="2" fillId="0" borderId="0" xfId="2"/>
    <xf numFmtId="0" fontId="43"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1" fillId="3" borderId="0" xfId="0" applyFont="1" applyFill="1" applyAlignment="1">
      <alignment horizontal="center" vertical="center"/>
    </xf>
    <xf numFmtId="0" fontId="42" fillId="0" borderId="0" xfId="2" applyFont="1"/>
    <xf numFmtId="0" fontId="42" fillId="3" borderId="0" xfId="2" applyFont="1" applyFill="1"/>
    <xf numFmtId="165" fontId="42" fillId="3" borderId="0" xfId="2" applyNumberFormat="1" applyFont="1" applyFill="1" applyAlignment="1">
      <alignment horizontal="center" vertical="center"/>
    </xf>
    <xf numFmtId="0" fontId="42" fillId="3" borderId="0" xfId="4" applyFont="1" applyFill="1"/>
    <xf numFmtId="0" fontId="42"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5" fillId="0" borderId="0" xfId="5" applyFont="1" applyBorder="1" applyAlignment="1">
      <alignment horizontal="center"/>
    </xf>
    <xf numFmtId="9" fontId="45" fillId="0" borderId="0" xfId="0" applyNumberFormat="1" applyFont="1"/>
    <xf numFmtId="10" fontId="47" fillId="0" borderId="0" xfId="0" applyNumberFormat="1" applyFont="1"/>
    <xf numFmtId="2" fontId="44" fillId="0" borderId="0" xfId="0" applyNumberFormat="1" applyFont="1"/>
    <xf numFmtId="0" fontId="44" fillId="0" borderId="0" xfId="0" applyFont="1"/>
    <xf numFmtId="10" fontId="45" fillId="0" borderId="0" xfId="0" applyNumberFormat="1" applyFont="1"/>
    <xf numFmtId="0" fontId="43" fillId="5" borderId="10" xfId="4" applyFont="1" applyFill="1" applyBorder="1" applyAlignment="1">
      <alignment horizontal="center" vertical="center"/>
    </xf>
    <xf numFmtId="0" fontId="43"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6" fillId="0" borderId="0" xfId="0" applyFont="1" applyAlignment="1">
      <alignment horizontal="center" vertical="center"/>
    </xf>
    <xf numFmtId="0" fontId="38" fillId="3" borderId="0" xfId="3" applyFont="1" applyFill="1" applyAlignment="1">
      <alignment horizontal="center" vertical="center"/>
    </xf>
    <xf numFmtId="1" fontId="0" fillId="3" borderId="0" xfId="0" applyNumberFormat="1" applyFill="1" applyAlignment="1">
      <alignment horizontal="center" vertical="center"/>
    </xf>
    <xf numFmtId="9" fontId="40"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48" fillId="3" borderId="0" xfId="1" applyFont="1" applyFill="1" applyBorder="1" applyAlignment="1">
      <alignment horizontal="center" vertical="center" wrapText="1"/>
    </xf>
    <xf numFmtId="0" fontId="48" fillId="3" borderId="0" xfId="0" applyFont="1" applyFill="1" applyAlignment="1">
      <alignment horizontal="center" vertical="center"/>
    </xf>
    <xf numFmtId="9" fontId="0" fillId="3" borderId="0" xfId="0" applyNumberFormat="1" applyFill="1" applyAlignment="1">
      <alignment horizontal="center"/>
    </xf>
    <xf numFmtId="0" fontId="41" fillId="0" borderId="0" xfId="0" applyFont="1"/>
    <xf numFmtId="0" fontId="49" fillId="3" borderId="0" xfId="3" applyFont="1" applyFill="1" applyAlignment="1">
      <alignment horizontal="left"/>
    </xf>
    <xf numFmtId="0" fontId="43"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2" fillId="7" borderId="0" xfId="4" applyNumberFormat="1" applyFont="1" applyFill="1" applyAlignment="1">
      <alignment horizontal="center" vertical="center"/>
    </xf>
    <xf numFmtId="0" fontId="48" fillId="3" borderId="10" xfId="1" applyFont="1" applyFill="1" applyBorder="1" applyAlignment="1">
      <alignment horizontal="center" vertical="center" wrapText="1"/>
    </xf>
    <xf numFmtId="0" fontId="48"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49" fillId="0" borderId="0" xfId="2" applyNumberFormat="1" applyFont="1"/>
    <xf numFmtId="165" fontId="43" fillId="4" borderId="10" xfId="2" applyNumberFormat="1" applyFont="1" applyFill="1" applyBorder="1" applyAlignment="1">
      <alignment horizontal="left"/>
    </xf>
    <xf numFmtId="165" fontId="43" fillId="4" borderId="2" xfId="2" applyNumberFormat="1" applyFont="1" applyFill="1" applyBorder="1" applyAlignment="1">
      <alignment horizontal="left"/>
    </xf>
    <xf numFmtId="165" fontId="43" fillId="4" borderId="11" xfId="2" applyNumberFormat="1" applyFont="1" applyFill="1" applyBorder="1" applyAlignment="1">
      <alignment horizontal="left"/>
    </xf>
    <xf numFmtId="165" fontId="49" fillId="3" borderId="0" xfId="2" applyNumberFormat="1" applyFont="1" applyFill="1"/>
    <xf numFmtId="165" fontId="42" fillId="3" borderId="0" xfId="2" applyNumberFormat="1" applyFont="1" applyFill="1"/>
    <xf numFmtId="165" fontId="1" fillId="3" borderId="0" xfId="1" applyNumberFormat="1" applyFill="1" applyBorder="1" applyAlignment="1">
      <alignment horizontal="left" wrapText="1"/>
    </xf>
    <xf numFmtId="165" fontId="37"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3"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0" fillId="0" borderId="0" xfId="0" applyFont="1"/>
    <xf numFmtId="0" fontId="51"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2" fillId="3" borderId="0" xfId="0" applyFont="1" applyFill="1" applyAlignment="1">
      <alignment horizontal="center"/>
    </xf>
    <xf numFmtId="0" fontId="50" fillId="3" borderId="0" xfId="0" applyFont="1" applyFill="1" applyAlignment="1">
      <alignment horizontal="center" vertical="center" wrapText="1"/>
    </xf>
    <xf numFmtId="0" fontId="10" fillId="3" borderId="0" xfId="0" applyFont="1" applyFill="1" applyAlignment="1">
      <alignment horizontal="center" vertical="center" wrapText="1"/>
    </xf>
    <xf numFmtId="0" fontId="50"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10" fillId="0" borderId="0" xfId="7" applyNumberFormat="1" applyFont="1" applyBorder="1" applyAlignment="1">
      <alignment horizontal="center" vertical="center"/>
    </xf>
    <xf numFmtId="2"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0" fillId="7" borderId="0" xfId="0" applyFill="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5" fillId="7" borderId="0" xfId="0" applyNumberFormat="1" applyFont="1" applyFill="1" applyAlignment="1">
      <alignment horizontal="center" vertical="center"/>
    </xf>
    <xf numFmtId="0" fontId="31" fillId="3" borderId="0" xfId="0" applyFont="1" applyFill="1" applyAlignment="1">
      <alignment horizontal="center" vertical="center" wrapText="1"/>
    </xf>
    <xf numFmtId="0" fontId="31" fillId="0" borderId="24" xfId="0" applyFont="1" applyBorder="1" applyAlignment="1">
      <alignment horizontal="center" vertical="center"/>
    </xf>
    <xf numFmtId="0" fontId="56" fillId="3" borderId="1" xfId="0" applyFont="1" applyFill="1" applyBorder="1" applyAlignment="1">
      <alignment horizontal="center" vertical="center" wrapText="1"/>
    </xf>
    <xf numFmtId="1" fontId="56" fillId="0" borderId="0" xfId="0" applyNumberFormat="1" applyFont="1" applyAlignment="1">
      <alignment horizontal="center"/>
    </xf>
    <xf numFmtId="0" fontId="56" fillId="0" borderId="0" xfId="0" applyFont="1" applyAlignment="1">
      <alignment horizontal="center"/>
    </xf>
    <xf numFmtId="0" fontId="31" fillId="0" borderId="0" xfId="0" applyFont="1" applyAlignment="1">
      <alignment horizontal="center" vertical="center"/>
    </xf>
    <xf numFmtId="0" fontId="31" fillId="7" borderId="0" xfId="0" applyFont="1" applyFill="1" applyAlignment="1">
      <alignment horizontal="center" vertical="center" wrapText="1"/>
    </xf>
    <xf numFmtId="0" fontId="31" fillId="0" borderId="0" xfId="0" applyFont="1" applyAlignment="1">
      <alignment horizontal="left" vertical="center"/>
    </xf>
    <xf numFmtId="181" fontId="0" fillId="0" borderId="0" xfId="0" applyNumberFormat="1"/>
    <xf numFmtId="180" fontId="2" fillId="7" borderId="0" xfId="4" applyNumberFormat="1" applyFill="1"/>
    <xf numFmtId="0" fontId="50" fillId="3" borderId="0" xfId="0" applyFont="1" applyFill="1" applyAlignment="1">
      <alignment horizontal="center" vertical="center"/>
    </xf>
    <xf numFmtId="0" fontId="55"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6" fillId="3" borderId="25" xfId="0" applyFont="1" applyFill="1" applyBorder="1" applyAlignment="1">
      <alignment horizontal="center" vertical="center" wrapText="1"/>
    </xf>
    <xf numFmtId="0" fontId="56" fillId="0" borderId="26" xfId="0" applyFont="1" applyBorder="1" applyAlignment="1">
      <alignment horizontal="center"/>
    </xf>
    <xf numFmtId="0" fontId="0" fillId="0" borderId="26" xfId="0" applyBorder="1" applyAlignment="1">
      <alignment horizontal="center"/>
    </xf>
    <xf numFmtId="0" fontId="56" fillId="0" borderId="27" xfId="0" applyFont="1" applyBorder="1" applyAlignment="1">
      <alignment horizontal="center"/>
    </xf>
    <xf numFmtId="9" fontId="0" fillId="0" borderId="0" xfId="0" applyNumberFormat="1" applyAlignment="1">
      <alignment horizontal="center" vertical="center"/>
    </xf>
    <xf numFmtId="0" fontId="2" fillId="3" borderId="0" xfId="2" applyFill="1" applyAlignment="1">
      <alignment horizontal="center"/>
    </xf>
    <xf numFmtId="2" fontId="2" fillId="6" borderId="0" xfId="2" applyNumberFormat="1" applyFill="1"/>
    <xf numFmtId="0" fontId="36" fillId="0" borderId="0" xfId="0" applyFont="1" applyAlignment="1">
      <alignment horizontal="center"/>
    </xf>
    <xf numFmtId="0" fontId="3" fillId="3" borderId="0" xfId="3" applyFont="1" applyFill="1" applyAlignment="1">
      <alignment horizontal="center"/>
    </xf>
    <xf numFmtId="182" fontId="0" fillId="0" borderId="0" xfId="5" applyNumberFormat="1" applyFont="1"/>
    <xf numFmtId="183" fontId="0" fillId="0" borderId="0" xfId="5" applyNumberFormat="1" applyFont="1"/>
    <xf numFmtId="2" fontId="56" fillId="0" borderId="0" xfId="0" applyNumberFormat="1" applyFont="1" applyAlignment="1">
      <alignment horizontal="center"/>
    </xf>
    <xf numFmtId="182" fontId="0" fillId="0" borderId="0" xfId="0" applyNumberFormat="1"/>
    <xf numFmtId="0" fontId="4" fillId="4" borderId="9" xfId="4" applyFont="1" applyFill="1" applyBorder="1" applyAlignment="1">
      <alignment horizontal="left"/>
    </xf>
    <xf numFmtId="0" fontId="1" fillId="3" borderId="0" xfId="0" applyFont="1" applyFill="1" applyAlignment="1">
      <alignment horizontal="right" vertical="center"/>
    </xf>
    <xf numFmtId="165" fontId="2" fillId="3" borderId="0" xfId="2" applyNumberFormat="1" applyFill="1" applyAlignment="1">
      <alignment horizontal="right" vertical="center"/>
    </xf>
    <xf numFmtId="165" fontId="0" fillId="0" borderId="0" xfId="0" applyNumberFormat="1" applyAlignment="1">
      <alignment horizontal="center" vertical="center"/>
    </xf>
    <xf numFmtId="165" fontId="43" fillId="3" borderId="0" xfId="2" applyNumberFormat="1" applyFont="1" applyFill="1" applyAlignment="1">
      <alignment horizontal="left"/>
    </xf>
    <xf numFmtId="0" fontId="4" fillId="4" borderId="2" xfId="4" applyFont="1" applyFill="1" applyBorder="1" applyAlignment="1">
      <alignment horizontal="center" vertical="center"/>
    </xf>
    <xf numFmtId="0" fontId="4" fillId="4" borderId="0" xfId="4" applyFont="1" applyFill="1" applyAlignment="1">
      <alignment horizontal="center" vertical="center"/>
    </xf>
    <xf numFmtId="0" fontId="4" fillId="4" borderId="2" xfId="4" applyFont="1" applyFill="1" applyBorder="1" applyAlignment="1">
      <alignment horizontal="center"/>
    </xf>
    <xf numFmtId="184" fontId="0" fillId="0" borderId="0" xfId="5" applyNumberFormat="1" applyFont="1"/>
    <xf numFmtId="180" fontId="0" fillId="8" borderId="4" xfId="0" applyNumberFormat="1" applyFill="1" applyBorder="1" applyAlignment="1">
      <alignment horizontal="center" vertical="center"/>
    </xf>
    <xf numFmtId="1" fontId="15" fillId="3" borderId="1" xfId="0" applyNumberFormat="1" applyFont="1" applyFill="1" applyBorder="1" applyAlignment="1">
      <alignment horizontal="center" vertical="center" wrapText="1"/>
    </xf>
    <xf numFmtId="0" fontId="0" fillId="7" borderId="0" xfId="0" applyFill="1" applyAlignment="1">
      <alignment horizontal="center"/>
    </xf>
    <xf numFmtId="0" fontId="0" fillId="15" borderId="0" xfId="0" applyFill="1" applyAlignment="1">
      <alignment horizontal="center"/>
    </xf>
    <xf numFmtId="0" fontId="50" fillId="15" borderId="0" xfId="0" applyFont="1" applyFill="1" applyAlignment="1">
      <alignment horizontal="center" vertical="center" wrapText="1"/>
    </xf>
    <xf numFmtId="9" fontId="15" fillId="15" borderId="1" xfId="5" applyFont="1" applyFill="1" applyBorder="1" applyAlignment="1">
      <alignment horizontal="center" vertical="center" wrapText="1"/>
    </xf>
    <xf numFmtId="0" fontId="50" fillId="12" borderId="0" xfId="0" applyFont="1" applyFill="1" applyAlignment="1">
      <alignment horizontal="center" vertical="center" wrapText="1"/>
    </xf>
    <xf numFmtId="9" fontId="15" fillId="12" borderId="1" xfId="5" applyFont="1" applyFill="1" applyBorder="1" applyAlignment="1">
      <alignment horizontal="center" vertical="center" wrapText="1"/>
    </xf>
    <xf numFmtId="0" fontId="10" fillId="12" borderId="0" xfId="0" applyFont="1" applyFill="1"/>
    <xf numFmtId="0" fontId="15" fillId="3" borderId="0" xfId="0" applyFont="1" applyFill="1" applyAlignment="1">
      <alignment horizontal="center" vertical="center" wrapText="1"/>
    </xf>
    <xf numFmtId="0" fontId="15" fillId="3" borderId="0" xfId="0" applyFont="1" applyFill="1" applyAlignment="1">
      <alignment horizontal="center" vertical="center"/>
    </xf>
    <xf numFmtId="164" fontId="15" fillId="7" borderId="0" xfId="0" applyNumberFormat="1" applyFont="1" applyFill="1" applyAlignment="1">
      <alignment horizontal="center" vertical="center" wrapText="1"/>
    </xf>
    <xf numFmtId="164" fontId="15" fillId="3" borderId="0" xfId="0" applyNumberFormat="1" applyFont="1" applyFill="1" applyAlignment="1">
      <alignment horizontal="center" vertical="center" wrapText="1"/>
    </xf>
    <xf numFmtId="0" fontId="0" fillId="3" borderId="0" xfId="0" applyFill="1" applyAlignment="1">
      <alignment horizontal="center" vertical="center" wrapText="1"/>
    </xf>
    <xf numFmtId="1" fontId="15" fillId="3" borderId="0" xfId="0" applyNumberFormat="1" applyFont="1" applyFill="1" applyAlignment="1">
      <alignment horizontal="center" vertical="center" wrapText="1"/>
    </xf>
    <xf numFmtId="0" fontId="0" fillId="13" borderId="0" xfId="0" applyFill="1" applyAlignment="1">
      <alignment horizontal="center"/>
    </xf>
    <xf numFmtId="0" fontId="50" fillId="13" borderId="0" xfId="0" applyFont="1" applyFill="1" applyAlignment="1">
      <alignment horizontal="center" vertical="center" wrapText="1"/>
    </xf>
    <xf numFmtId="164" fontId="15" fillId="13" borderId="1" xfId="0" applyNumberFormat="1" applyFont="1" applyFill="1" applyBorder="1" applyAlignment="1">
      <alignment horizontal="center" vertical="center" wrapText="1"/>
    </xf>
    <xf numFmtId="0" fontId="31" fillId="3" borderId="24" xfId="0" applyFont="1" applyFill="1" applyBorder="1" applyAlignment="1">
      <alignment horizontal="center" vertical="center" wrapText="1"/>
    </xf>
    <xf numFmtId="0" fontId="50" fillId="13" borderId="24" xfId="0" applyFont="1" applyFill="1" applyBorder="1" applyAlignment="1">
      <alignment horizontal="center" vertical="center" wrapText="1"/>
    </xf>
    <xf numFmtId="0" fontId="50" fillId="7" borderId="24" xfId="0" applyFont="1" applyFill="1" applyBorder="1" applyAlignment="1">
      <alignment horizontal="center" vertical="center" wrapText="1"/>
    </xf>
    <xf numFmtId="0" fontId="50" fillId="15" borderId="24" xfId="0" applyFont="1" applyFill="1" applyBorder="1" applyAlignment="1">
      <alignment horizontal="center" vertical="center" wrapText="1"/>
    </xf>
    <xf numFmtId="0" fontId="50" fillId="12" borderId="24" xfId="0" applyFont="1" applyFill="1" applyBorder="1" applyAlignment="1">
      <alignment horizontal="center" vertical="center" wrapText="1"/>
    </xf>
    <xf numFmtId="0" fontId="0" fillId="7" borderId="2" xfId="0" applyFill="1" applyBorder="1" applyAlignment="1">
      <alignment horizontal="center" vertical="center"/>
    </xf>
    <xf numFmtId="0" fontId="56" fillId="3" borderId="2" xfId="0" applyFont="1" applyFill="1" applyBorder="1" applyAlignment="1">
      <alignment horizontal="center" vertical="center" wrapText="1"/>
    </xf>
    <xf numFmtId="1" fontId="56" fillId="0" borderId="2" xfId="0" applyNumberFormat="1" applyFont="1" applyBorder="1" applyAlignment="1">
      <alignment horizontal="center"/>
    </xf>
    <xf numFmtId="1" fontId="56" fillId="13" borderId="2" xfId="0" applyNumberFormat="1" applyFont="1" applyFill="1" applyBorder="1" applyAlignment="1">
      <alignment horizontal="center"/>
    </xf>
    <xf numFmtId="1" fontId="56" fillId="6" borderId="2" xfId="0" applyNumberFormat="1" applyFont="1" applyFill="1" applyBorder="1" applyAlignment="1">
      <alignment horizontal="center"/>
    </xf>
    <xf numFmtId="0" fontId="56" fillId="0" borderId="2" xfId="0" applyFont="1" applyBorder="1" applyAlignment="1">
      <alignment horizontal="center"/>
    </xf>
    <xf numFmtId="164" fontId="15" fillId="13" borderId="0" xfId="0" applyNumberFormat="1" applyFont="1" applyFill="1" applyAlignment="1">
      <alignment horizontal="center" vertical="center" wrapText="1"/>
    </xf>
    <xf numFmtId="9" fontId="15" fillId="15" borderId="0" xfId="5" applyFont="1" applyFill="1" applyBorder="1" applyAlignment="1">
      <alignment horizontal="center" vertical="center" wrapText="1"/>
    </xf>
    <xf numFmtId="9" fontId="15" fillId="12" borderId="0" xfId="5" applyFont="1" applyFill="1" applyBorder="1" applyAlignment="1">
      <alignment horizontal="center" vertical="center" wrapText="1"/>
    </xf>
    <xf numFmtId="0" fontId="10" fillId="15" borderId="0" xfId="0" applyFont="1" applyFill="1" applyAlignment="1">
      <alignment horizontal="center"/>
    </xf>
    <xf numFmtId="0" fontId="0" fillId="18" borderId="0" xfId="0" applyFill="1" applyAlignment="1">
      <alignment horizontal="center"/>
    </xf>
    <xf numFmtId="0" fontId="50" fillId="18" borderId="0" xfId="0" applyFont="1" applyFill="1" applyAlignment="1">
      <alignment horizontal="center" vertical="center" wrapText="1"/>
    </xf>
    <xf numFmtId="1" fontId="0" fillId="18" borderId="2" xfId="0" applyNumberFormat="1" applyFill="1" applyBorder="1" applyAlignment="1">
      <alignment horizontal="center" vertical="center"/>
    </xf>
    <xf numFmtId="164" fontId="0" fillId="18" borderId="2" xfId="0" applyNumberFormat="1" applyFill="1" applyBorder="1"/>
    <xf numFmtId="0" fontId="10" fillId="7" borderId="0" xfId="0" applyFont="1" applyFill="1"/>
    <xf numFmtId="1" fontId="56" fillId="18" borderId="2" xfId="0" applyNumberFormat="1" applyFont="1" applyFill="1" applyBorder="1" applyAlignment="1">
      <alignment horizontal="center"/>
    </xf>
    <xf numFmtId="9" fontId="15" fillId="15" borderId="2" xfId="5" applyFont="1" applyFill="1" applyBorder="1" applyAlignment="1">
      <alignment horizontal="center" vertical="center" wrapText="1"/>
    </xf>
    <xf numFmtId="9" fontId="15" fillId="12" borderId="2" xfId="5" applyFont="1" applyFill="1" applyBorder="1" applyAlignment="1">
      <alignment horizontal="center" vertical="center" wrapText="1"/>
    </xf>
    <xf numFmtId="0" fontId="0" fillId="18" borderId="0" xfId="0" applyFill="1" applyAlignment="1">
      <alignment horizontal="center" vertical="center"/>
    </xf>
    <xf numFmtId="1" fontId="56" fillId="0" borderId="2" xfId="0" applyNumberFormat="1" applyFont="1" applyBorder="1" applyAlignment="1">
      <alignment horizontal="center" vertical="center"/>
    </xf>
    <xf numFmtId="1" fontId="56" fillId="18" borderId="2" xfId="0" applyNumberFormat="1" applyFont="1" applyFill="1" applyBorder="1" applyAlignment="1">
      <alignment horizontal="center" vertical="center"/>
    </xf>
    <xf numFmtId="1" fontId="56" fillId="6" borderId="2" xfId="0" applyNumberFormat="1" applyFont="1" applyFill="1" applyBorder="1" applyAlignment="1">
      <alignment horizontal="center" vertical="center"/>
    </xf>
    <xf numFmtId="0" fontId="56" fillId="0" borderId="2" xfId="0" applyFont="1" applyBorder="1" applyAlignment="1">
      <alignment horizontal="center" vertical="center"/>
    </xf>
    <xf numFmtId="0" fontId="0" fillId="0" borderId="2" xfId="0" applyBorder="1" applyAlignment="1">
      <alignment horizontal="center" vertical="center"/>
    </xf>
    <xf numFmtId="2" fontId="56" fillId="18" borderId="0" xfId="0" applyNumberFormat="1" applyFont="1" applyFill="1" applyAlignment="1">
      <alignment horizontal="center" vertical="center"/>
    </xf>
    <xf numFmtId="0" fontId="57" fillId="3" borderId="0" xfId="0" applyFont="1" applyFill="1" applyAlignment="1">
      <alignment horizontal="center" vertical="center" wrapText="1"/>
    </xf>
    <xf numFmtId="1" fontId="0" fillId="13" borderId="2" xfId="0" applyNumberFormat="1" applyFill="1" applyBorder="1"/>
    <xf numFmtId="1" fontId="0" fillId="13" borderId="2" xfId="0" applyNumberFormat="1" applyFill="1" applyBorder="1" applyAlignment="1">
      <alignment horizontal="center"/>
    </xf>
    <xf numFmtId="164" fontId="15" fillId="3" borderId="1" xfId="0" applyNumberFormat="1" applyFont="1" applyFill="1" applyBorder="1" applyAlignment="1">
      <alignment horizontal="center" vertical="center"/>
    </xf>
    <xf numFmtId="1" fontId="15" fillId="3" borderId="1" xfId="0" applyNumberFormat="1"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7" borderId="1" xfId="0" applyNumberFormat="1" applyFont="1" applyFill="1" applyBorder="1" applyAlignment="1">
      <alignment horizontal="center" vertical="center"/>
    </xf>
    <xf numFmtId="9" fontId="15" fillId="15" borderId="1" xfId="5" applyFont="1" applyFill="1" applyBorder="1" applyAlignment="1">
      <alignment horizontal="center" vertical="center"/>
    </xf>
    <xf numFmtId="9" fontId="15" fillId="12" borderId="1" xfId="5" applyFont="1" applyFill="1" applyBorder="1" applyAlignment="1">
      <alignment horizontal="center" vertical="center"/>
    </xf>
    <xf numFmtId="2" fontId="15" fillId="3" borderId="1" xfId="0" applyNumberFormat="1" applyFont="1" applyFill="1" applyBorder="1" applyAlignment="1">
      <alignment horizontal="center" vertical="center"/>
    </xf>
    <xf numFmtId="166" fontId="15" fillId="13" borderId="1" xfId="0" applyNumberFormat="1" applyFont="1" applyFill="1" applyBorder="1" applyAlignment="1">
      <alignment horizontal="center" vertical="center"/>
    </xf>
    <xf numFmtId="166" fontId="15" fillId="7" borderId="1" xfId="0" applyNumberFormat="1" applyFont="1" applyFill="1" applyBorder="1" applyAlignment="1">
      <alignment horizontal="center" vertical="center"/>
    </xf>
    <xf numFmtId="9" fontId="15" fillId="13" borderId="1" xfId="5" applyFont="1" applyFill="1" applyBorder="1" applyAlignment="1">
      <alignment horizontal="center" vertical="center" wrapText="1"/>
    </xf>
    <xf numFmtId="9" fontId="15" fillId="13" borderId="1" xfId="5" applyFont="1" applyFill="1" applyBorder="1" applyAlignment="1">
      <alignment horizontal="center" vertical="center"/>
    </xf>
    <xf numFmtId="9" fontId="56" fillId="13" borderId="2" xfId="5" applyFont="1" applyFill="1" applyBorder="1" applyAlignment="1">
      <alignment horizontal="center"/>
    </xf>
    <xf numFmtId="0" fontId="0" fillId="13" borderId="2" xfId="0" applyFill="1" applyBorder="1" applyAlignment="1">
      <alignment horizontal="center"/>
    </xf>
    <xf numFmtId="0" fontId="0" fillId="13" borderId="2" xfId="0" applyFill="1" applyBorder="1" applyAlignment="1">
      <alignment horizontal="center" vertical="center"/>
    </xf>
    <xf numFmtId="164" fontId="0" fillId="13" borderId="2" xfId="0" applyNumberFormat="1" applyFill="1" applyBorder="1" applyAlignment="1">
      <alignment horizontal="center" vertical="center"/>
    </xf>
    <xf numFmtId="164" fontId="0" fillId="13" borderId="2" xfId="0" applyNumberFormat="1" applyFill="1" applyBorder="1" applyAlignment="1">
      <alignment horizontal="center"/>
    </xf>
    <xf numFmtId="1" fontId="0" fillId="13" borderId="2" xfId="0" applyNumberFormat="1" applyFill="1" applyBorder="1" applyAlignment="1">
      <alignment horizontal="center" vertical="center"/>
    </xf>
    <xf numFmtId="164" fontId="0" fillId="13" borderId="0" xfId="0" applyNumberFormat="1" applyFill="1" applyAlignment="1">
      <alignment horizontal="center"/>
    </xf>
    <xf numFmtId="2" fontId="58" fillId="0" borderId="0" xfId="0" applyNumberFormat="1" applyFont="1"/>
    <xf numFmtId="0" fontId="10" fillId="6" borderId="12" xfId="0" applyFont="1" applyFill="1" applyBorder="1" applyAlignment="1">
      <alignment horizontal="center" vertical="center"/>
    </xf>
    <xf numFmtId="0" fontId="10" fillId="6" borderId="1" xfId="0" applyFont="1" applyFill="1" applyBorder="1" applyAlignment="1">
      <alignment horizontal="center" vertical="center"/>
    </xf>
    <xf numFmtId="0" fontId="10" fillId="6" borderId="1" xfId="0" applyFont="1" applyFill="1" applyBorder="1"/>
    <xf numFmtId="0" fontId="10" fillId="6" borderId="0" xfId="0" applyFont="1" applyFill="1" applyAlignment="1">
      <alignment horizontal="center" vertical="center"/>
    </xf>
    <xf numFmtId="164" fontId="0" fillId="6" borderId="0" xfId="0" applyNumberFormat="1" applyFill="1" applyAlignment="1">
      <alignment horizontal="center" vertical="center"/>
    </xf>
    <xf numFmtId="0" fontId="0" fillId="6" borderId="24" xfId="0" applyFill="1" applyBorder="1"/>
    <xf numFmtId="0" fontId="31" fillId="6" borderId="0" xfId="0" applyFont="1" applyFill="1" applyAlignment="1">
      <alignment vertical="center"/>
    </xf>
    <xf numFmtId="0" fontId="31" fillId="7" borderId="0" xfId="0" applyFont="1" applyFill="1" applyAlignment="1">
      <alignment vertical="center"/>
    </xf>
    <xf numFmtId="0" fontId="0" fillId="19" borderId="0" xfId="0" applyFill="1"/>
    <xf numFmtId="0" fontId="10" fillId="19" borderId="9" xfId="0" applyFont="1" applyFill="1" applyBorder="1" applyAlignment="1">
      <alignment horizontal="center" vertical="center"/>
    </xf>
    <xf numFmtId="0" fontId="10" fillId="19" borderId="10" xfId="0" applyFont="1" applyFill="1" applyBorder="1"/>
    <xf numFmtId="0" fontId="10" fillId="19" borderId="2" xfId="0" applyFont="1" applyFill="1" applyBorder="1"/>
    <xf numFmtId="0" fontId="10" fillId="19" borderId="11" xfId="0" applyFont="1" applyFill="1" applyBorder="1"/>
    <xf numFmtId="0" fontId="10" fillId="19" borderId="26" xfId="0" applyFont="1" applyFill="1" applyBorder="1"/>
    <xf numFmtId="1" fontId="0" fillId="19" borderId="12" xfId="0" applyNumberFormat="1" applyFill="1" applyBorder="1" applyAlignment="1">
      <alignment horizontal="center"/>
    </xf>
    <xf numFmtId="1" fontId="0" fillId="19" borderId="1" xfId="0" applyNumberFormat="1" applyFill="1" applyBorder="1" applyAlignment="1">
      <alignment horizontal="center"/>
    </xf>
    <xf numFmtId="1" fontId="0" fillId="19" borderId="13" xfId="0" applyNumberFormat="1" applyFill="1" applyBorder="1" applyAlignment="1">
      <alignment horizontal="center"/>
    </xf>
    <xf numFmtId="1" fontId="0" fillId="19" borderId="22" xfId="0" applyNumberFormat="1" applyFill="1" applyBorder="1" applyAlignment="1">
      <alignment horizontal="center"/>
    </xf>
    <xf numFmtId="1" fontId="0" fillId="19" borderId="0" xfId="0" applyNumberFormat="1" applyFill="1" applyAlignment="1">
      <alignment horizontal="center"/>
    </xf>
    <xf numFmtId="1" fontId="0" fillId="19" borderId="23" xfId="0" applyNumberFormat="1" applyFill="1" applyBorder="1" applyAlignment="1">
      <alignment horizontal="center"/>
    </xf>
    <xf numFmtId="0" fontId="10" fillId="19" borderId="27" xfId="0" applyFont="1" applyFill="1" applyBorder="1"/>
    <xf numFmtId="1" fontId="0" fillId="19" borderId="14" xfId="0" applyNumberFormat="1" applyFill="1" applyBorder="1" applyAlignment="1">
      <alignment horizontal="center"/>
    </xf>
    <xf numFmtId="1" fontId="0" fillId="19" borderId="24" xfId="0" applyNumberFormat="1" applyFill="1" applyBorder="1" applyAlignment="1">
      <alignment horizontal="center"/>
    </xf>
    <xf numFmtId="1" fontId="0" fillId="19" borderId="15" xfId="0" applyNumberFormat="1" applyFill="1" applyBorder="1" applyAlignment="1">
      <alignment horizontal="center"/>
    </xf>
    <xf numFmtId="0" fontId="10" fillId="19" borderId="0" xfId="0" applyFont="1" applyFill="1" applyAlignment="1">
      <alignment horizontal="center" vertical="center"/>
    </xf>
    <xf numFmtId="0" fontId="10" fillId="19" borderId="0" xfId="0" applyFont="1" applyFill="1"/>
    <xf numFmtId="0" fontId="10" fillId="3" borderId="0" xfId="0" applyFont="1" applyFill="1"/>
    <xf numFmtId="1" fontId="0" fillId="3" borderId="0" xfId="0" applyNumberFormat="1" applyFill="1" applyAlignment="1">
      <alignment horizontal="center"/>
    </xf>
    <xf numFmtId="1" fontId="10" fillId="19" borderId="0" xfId="0" applyNumberFormat="1" applyFont="1" applyFill="1" applyAlignment="1">
      <alignment horizontal="center"/>
    </xf>
    <xf numFmtId="1" fontId="10" fillId="3" borderId="0" xfId="0" applyNumberFormat="1" applyFont="1" applyFill="1"/>
    <xf numFmtId="9" fontId="10" fillId="19" borderId="0" xfId="0" applyNumberFormat="1" applyFont="1" applyFill="1" applyAlignment="1">
      <alignment horizontal="center"/>
    </xf>
    <xf numFmtId="0" fontId="50" fillId="3" borderId="0" xfId="0" applyFont="1" applyFill="1" applyAlignment="1">
      <alignment vertical="center"/>
    </xf>
    <xf numFmtId="0" fontId="10" fillId="3" borderId="0" xfId="0" applyFont="1" applyFill="1" applyAlignment="1">
      <alignment vertical="center"/>
    </xf>
    <xf numFmtId="9" fontId="0" fillId="3" borderId="0" xfId="5" applyFont="1" applyFill="1" applyBorder="1" applyAlignment="1">
      <alignment horizontal="center" vertical="center"/>
    </xf>
    <xf numFmtId="9" fontId="9" fillId="3" borderId="0" xfId="5" applyFont="1" applyFill="1" applyBorder="1" applyAlignment="1">
      <alignment horizontal="center" vertical="center"/>
    </xf>
    <xf numFmtId="0" fontId="0" fillId="20" borderId="0" xfId="0" applyFill="1"/>
    <xf numFmtId="164" fontId="0" fillId="3" borderId="0" xfId="0" applyNumberFormat="1" applyFill="1" applyAlignment="1">
      <alignment horizontal="center" vertical="center"/>
    </xf>
    <xf numFmtId="9" fontId="9" fillId="3" borderId="0" xfId="5" applyFont="1" applyFill="1" applyAlignment="1">
      <alignment horizontal="center" vertical="center"/>
    </xf>
    <xf numFmtId="9" fontId="10" fillId="3" borderId="0" xfId="0" applyNumberFormat="1" applyFont="1" applyFill="1" applyAlignment="1">
      <alignment horizontal="center"/>
    </xf>
    <xf numFmtId="9" fontId="1" fillId="3" borderId="0" xfId="5" applyFont="1" applyFill="1" applyAlignment="1">
      <alignment horizontal="center"/>
    </xf>
    <xf numFmtId="0" fontId="31" fillId="3" borderId="0" xfId="0" applyFont="1" applyFill="1"/>
    <xf numFmtId="0" fontId="27" fillId="3" borderId="0" xfId="0" applyFont="1" applyFill="1" applyAlignment="1">
      <alignment horizontal="center" vertical="center" wrapText="1"/>
    </xf>
    <xf numFmtId="0" fontId="10" fillId="19" borderId="22" xfId="0" applyFont="1" applyFill="1" applyBorder="1" applyAlignment="1">
      <alignment horizontal="center" vertical="center"/>
    </xf>
    <xf numFmtId="0" fontId="10" fillId="19" borderId="23" xfId="0" applyFont="1" applyFill="1" applyBorder="1" applyAlignment="1">
      <alignment horizontal="center" vertical="center"/>
    </xf>
    <xf numFmtId="9" fontId="1" fillId="19" borderId="22" xfId="5" applyFont="1" applyFill="1" applyBorder="1" applyAlignment="1">
      <alignment horizontal="center"/>
    </xf>
    <xf numFmtId="9" fontId="1" fillId="19" borderId="0" xfId="5" applyFont="1" applyFill="1" applyBorder="1" applyAlignment="1">
      <alignment horizontal="center"/>
    </xf>
    <xf numFmtId="9" fontId="1" fillId="19" borderId="23" xfId="5" applyFont="1" applyFill="1" applyBorder="1" applyAlignment="1">
      <alignment horizontal="center"/>
    </xf>
    <xf numFmtId="9" fontId="1" fillId="19" borderId="14" xfId="5" applyFont="1" applyFill="1" applyBorder="1" applyAlignment="1">
      <alignment horizontal="center"/>
    </xf>
    <xf numFmtId="9" fontId="1" fillId="19" borderId="24" xfId="5" applyFont="1" applyFill="1" applyBorder="1" applyAlignment="1">
      <alignment horizontal="center"/>
    </xf>
    <xf numFmtId="9" fontId="1" fillId="19" borderId="15" xfId="5" applyFont="1" applyFill="1" applyBorder="1" applyAlignment="1">
      <alignment horizontal="center"/>
    </xf>
    <xf numFmtId="2" fontId="1" fillId="19" borderId="22" xfId="5" applyNumberFormat="1" applyFont="1" applyFill="1" applyBorder="1" applyAlignment="1">
      <alignment horizontal="center"/>
    </xf>
    <xf numFmtId="2" fontId="1" fillId="19" borderId="0" xfId="5" applyNumberFormat="1" applyFont="1" applyFill="1" applyBorder="1" applyAlignment="1">
      <alignment horizontal="center"/>
    </xf>
    <xf numFmtId="2" fontId="1" fillId="19" borderId="23" xfId="5" applyNumberFormat="1" applyFont="1" applyFill="1" applyBorder="1" applyAlignment="1">
      <alignment horizontal="center"/>
    </xf>
    <xf numFmtId="2" fontId="1" fillId="19" borderId="14" xfId="5" applyNumberFormat="1" applyFont="1" applyFill="1" applyBorder="1" applyAlignment="1">
      <alignment horizontal="center"/>
    </xf>
    <xf numFmtId="2" fontId="1" fillId="19" borderId="24" xfId="5" applyNumberFormat="1" applyFont="1" applyFill="1" applyBorder="1" applyAlignment="1">
      <alignment horizontal="center"/>
    </xf>
    <xf numFmtId="2" fontId="1" fillId="19" borderId="15" xfId="5" applyNumberFormat="1" applyFont="1" applyFill="1" applyBorder="1" applyAlignment="1">
      <alignment horizontal="center"/>
    </xf>
    <xf numFmtId="2" fontId="1" fillId="3" borderId="0" xfId="5" applyNumberFormat="1" applyFont="1" applyFill="1" applyBorder="1" applyAlignment="1">
      <alignment horizontal="center"/>
    </xf>
    <xf numFmtId="2" fontId="1" fillId="3" borderId="23" xfId="5" applyNumberFormat="1" applyFont="1" applyFill="1" applyBorder="1" applyAlignment="1">
      <alignment horizontal="center"/>
    </xf>
    <xf numFmtId="2" fontId="1" fillId="20" borderId="0" xfId="5" applyNumberFormat="1" applyFont="1" applyFill="1" applyBorder="1" applyAlignment="1">
      <alignment horizontal="center"/>
    </xf>
    <xf numFmtId="1" fontId="0" fillId="0" borderId="12" xfId="0" applyNumberFormat="1" applyBorder="1"/>
    <xf numFmtId="1" fontId="0" fillId="0" borderId="1" xfId="0" applyNumberFormat="1" applyBorder="1"/>
    <xf numFmtId="1" fontId="0" fillId="0" borderId="13" xfId="0" applyNumberFormat="1" applyBorder="1"/>
    <xf numFmtId="1" fontId="0" fillId="0" borderId="24" xfId="0" applyNumberFormat="1" applyBorder="1"/>
    <xf numFmtId="1" fontId="0" fillId="0" borderId="15" xfId="0" applyNumberFormat="1" applyBorder="1"/>
    <xf numFmtId="1" fontId="0" fillId="0" borderId="25" xfId="0" applyNumberFormat="1" applyBorder="1"/>
    <xf numFmtId="1" fontId="0" fillId="0" borderId="14" xfId="0" applyNumberFormat="1" applyBorder="1"/>
    <xf numFmtId="9" fontId="1" fillId="3" borderId="0" xfId="5" applyFont="1" applyFill="1" applyBorder="1" applyAlignment="1">
      <alignment horizontal="center"/>
    </xf>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5"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3" fillId="0" borderId="0" xfId="0" applyFont="1" applyAlignment="1">
      <alignment horizontal="center"/>
    </xf>
    <xf numFmtId="0" fontId="10" fillId="0" borderId="0" xfId="0" applyFont="1" applyAlignment="1">
      <alignment horizontal="center" vertical="center"/>
    </xf>
    <xf numFmtId="0" fontId="31" fillId="19" borderId="0" xfId="0" applyFont="1" applyFill="1" applyAlignment="1">
      <alignment horizontal="center"/>
    </xf>
    <xf numFmtId="0" fontId="31" fillId="7" borderId="0" xfId="0" applyFont="1" applyFill="1" applyAlignment="1">
      <alignment horizontal="center"/>
    </xf>
    <xf numFmtId="0" fontId="50" fillId="3" borderId="0" xfId="0" applyFont="1" applyFill="1" applyAlignment="1">
      <alignment horizontal="center" vertical="center"/>
    </xf>
    <xf numFmtId="0" fontId="10" fillId="7" borderId="0" xfId="0" applyFont="1" applyFill="1" applyAlignment="1">
      <alignment horizontal="center"/>
    </xf>
    <xf numFmtId="0" fontId="10" fillId="15" borderId="0" xfId="0" applyFont="1" applyFill="1" applyAlignment="1">
      <alignment horizontal="center"/>
    </xf>
    <xf numFmtId="0" fontId="31" fillId="3" borderId="0" xfId="0" applyFont="1" applyFill="1" applyAlignment="1">
      <alignment horizontal="center"/>
    </xf>
    <xf numFmtId="0" fontId="31" fillId="19" borderId="10" xfId="0" applyFont="1" applyFill="1" applyBorder="1" applyAlignment="1">
      <alignment horizontal="center"/>
    </xf>
    <xf numFmtId="0" fontId="31" fillId="19" borderId="2" xfId="0" applyFont="1" applyFill="1" applyBorder="1" applyAlignment="1">
      <alignment horizontal="center"/>
    </xf>
    <xf numFmtId="0" fontId="31" fillId="19" borderId="11" xfId="0" applyFont="1" applyFill="1" applyBorder="1" applyAlignment="1">
      <alignment horizontal="center"/>
    </xf>
    <xf numFmtId="0" fontId="31" fillId="19" borderId="10" xfId="0" applyFont="1" applyFill="1" applyBorder="1" applyAlignment="1">
      <alignment horizontal="center" vertical="center"/>
    </xf>
    <xf numFmtId="0" fontId="31" fillId="19" borderId="2" xfId="0" applyFont="1" applyFill="1" applyBorder="1" applyAlignment="1">
      <alignment horizontal="center" vertical="center"/>
    </xf>
    <xf numFmtId="0" fontId="31" fillId="19" borderId="11" xfId="0" applyFont="1" applyFill="1" applyBorder="1" applyAlignment="1">
      <alignment horizontal="center" vertical="center"/>
    </xf>
    <xf numFmtId="0" fontId="0" fillId="3" borderId="0" xfId="0" applyFill="1" applyBorder="1"/>
    <xf numFmtId="180" fontId="2" fillId="3" borderId="0" xfId="4" applyNumberFormat="1" applyFill="1" applyBorder="1" applyAlignment="1">
      <alignment horizontal="center"/>
    </xf>
    <xf numFmtId="9" fontId="0" fillId="3" borderId="0" xfId="0" applyNumberFormat="1" applyFill="1" applyBorder="1" applyAlignment="1">
      <alignment horizontal="center"/>
    </xf>
    <xf numFmtId="0" fontId="31" fillId="3" borderId="24" xfId="0" applyFont="1" applyFill="1" applyBorder="1" applyAlignment="1">
      <alignment horizontal="left" vertical="center"/>
    </xf>
    <xf numFmtId="0" fontId="0" fillId="0" borderId="0" xfId="0" applyFont="1"/>
    <xf numFmtId="0" fontId="0" fillId="0" borderId="0" xfId="0" applyFont="1" applyAlignment="1">
      <alignment horizontal="center"/>
    </xf>
    <xf numFmtId="0" fontId="0" fillId="0" borderId="0" xfId="0" applyFont="1" applyAlignment="1">
      <alignment horizontal="center" vertical="center"/>
    </xf>
    <xf numFmtId="1" fontId="0" fillId="0" borderId="0" xfId="0" applyNumberFormat="1" applyFont="1" applyAlignment="1">
      <alignment horizontal="center"/>
    </xf>
    <xf numFmtId="9" fontId="0" fillId="0" borderId="0" xfId="0" applyNumberFormat="1" applyFont="1" applyAlignment="1">
      <alignment horizontal="center"/>
    </xf>
    <xf numFmtId="164" fontId="0" fillId="0" borderId="0" xfId="0" applyNumberFormat="1" applyFont="1" applyAlignment="1">
      <alignment horizontal="center" vertical="center"/>
    </xf>
    <xf numFmtId="0" fontId="0" fillId="0" borderId="0" xfId="0" applyFont="1" applyAlignment="1">
      <alignment horizontal="left"/>
    </xf>
    <xf numFmtId="10" fontId="0" fillId="0" borderId="0" xfId="0" applyNumberFormat="1" applyFont="1" applyAlignment="1">
      <alignment horizontal="left"/>
    </xf>
    <xf numFmtId="0" fontId="0" fillId="0" borderId="0" xfId="0" applyFont="1" applyAlignment="1">
      <alignment horizontal="center"/>
    </xf>
    <xf numFmtId="0" fontId="43" fillId="4" borderId="2" xfId="4" applyFont="1" applyFill="1" applyBorder="1" applyAlignment="1">
      <alignment horizontal="left"/>
    </xf>
    <xf numFmtId="0" fontId="43" fillId="5" borderId="10" xfId="4" applyFont="1" applyFill="1" applyBorder="1" applyAlignment="1">
      <alignment horizontal="left" vertical="center"/>
    </xf>
    <xf numFmtId="0" fontId="43" fillId="4" borderId="2" xfId="4" applyFont="1" applyFill="1" applyBorder="1" applyAlignment="1">
      <alignment horizontal="center" vertical="center"/>
    </xf>
    <xf numFmtId="180" fontId="42" fillId="7" borderId="0" xfId="4" applyNumberFormat="1" applyFont="1" applyFill="1" applyAlignment="1">
      <alignment horizontal="center"/>
    </xf>
    <xf numFmtId="2" fontId="42" fillId="6" borderId="0" xfId="2" applyNumberFormat="1" applyFont="1" applyFill="1" applyAlignment="1">
      <alignment horizontal="center" vertical="center"/>
    </xf>
    <xf numFmtId="2" fontId="0" fillId="0" borderId="0" xfId="0" applyNumberFormat="1" applyFont="1" applyAlignment="1">
      <alignment horizontal="center"/>
    </xf>
    <xf numFmtId="0" fontId="4" fillId="4" borderId="11" xfId="4" applyFont="1" applyFill="1" applyBorder="1" applyAlignment="1">
      <alignment horizontal="left"/>
    </xf>
    <xf numFmtId="1" fontId="60" fillId="0" borderId="0" xfId="0" applyNumberFormat="1" applyFont="1"/>
    <xf numFmtId="0" fontId="60" fillId="0" borderId="0" xfId="0" applyFont="1"/>
  </cellXfs>
  <cellStyles count="10">
    <cellStyle name="20% - Énfasis5" xfId="1" builtinId="46"/>
    <cellStyle name="Millares" xfId="7" builtinId="3"/>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4 2" xfId="3" xr:uid="{BF8D61B1-2E2E-479D-ABA6-8FFB8D2C0E3F}"/>
    <cellStyle name="Normal 4 3" xfId="8" xr:uid="{B58AD00C-575F-4635-954F-792419154E2F}"/>
    <cellStyle name="Porcentaje" xfId="5" builtinId="5"/>
  </cellStyles>
  <dxfs count="105">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79998168889431442"/>
        </patternFill>
      </fill>
    </dxf>
    <dxf>
      <font>
        <color theme="0" tint="-0.34998626667073579"/>
      </font>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colors>
    <mruColors>
      <color rgb="FFFFDDFF"/>
      <color rgb="FFFFC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26" Type="http://schemas.microsoft.com/office/2017/06/relationships/richStyles" Target="richData/richStyle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microsoft.com/office/2017/06/relationships/rdArray" Target="richData/rdarray.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haredStrings" Target="sharedStrings.xml"/><Relationship Id="rId29"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Structure" Target="richData/rdrichvaluestructure.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microsoft.com/office/2017/06/relationships/rdRichValue" Target="richData/rdrichvalue.xml"/><Relationship Id="rId28" Type="http://schemas.microsoft.com/office/2017/06/relationships/rdSupportingPropertyBag" Target="richData/rdsupportingpropertybag.xml"/><Relationship Id="rId10" Type="http://schemas.openxmlformats.org/officeDocument/2006/relationships/worksheet" Target="worksheets/sheet10.xml"/><Relationship Id="rId19" Type="http://schemas.openxmlformats.org/officeDocument/2006/relationships/styles" Target="styles.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20/07/relationships/rdRichValueWebImage" Target="richData/rdRichValueWebImage.xml"/><Relationship Id="rId27" Type="http://schemas.microsoft.com/office/2017/06/relationships/rdSupportingPropertyBagStructure" Target="richData/rdsupportingpropertybagstructure.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s-CO" sz="1100" b="1"/>
              <a:t>Precios en escenario de </a:t>
            </a:r>
            <a:r>
              <a:rPr lang="es-CO" sz="1100" b="1" baseline="0"/>
              <a:t>baja oferta de petróleo y gas natural</a:t>
            </a:r>
            <a:endParaRPr lang="es-CO"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s-CO"/>
        </a:p>
      </c:txPr>
    </c:title>
    <c:autoTitleDeleted val="0"/>
    <c:plotArea>
      <c:layout/>
      <c:scatterChart>
        <c:scatterStyle val="smoothMarker"/>
        <c:varyColors val="0"/>
        <c:ser>
          <c:idx val="0"/>
          <c:order val="0"/>
          <c:tx>
            <c:strRef>
              <c:f>'1. EXP_IMP'!$I$133</c:f>
              <c:strCache>
                <c:ptCount val="1"/>
                <c:pt idx="0">
                  <c:v>Biodiesel</c:v>
                </c:pt>
              </c:strCache>
            </c:strRef>
          </c:tx>
          <c:spPr>
            <a:ln w="28575" cap="rnd">
              <a:solidFill>
                <a:srgbClr val="FFC000"/>
              </a:solidFill>
              <a:prstDash val="sysDash"/>
              <a:round/>
            </a:ln>
            <a:effectLst/>
          </c:spPr>
          <c:marker>
            <c:symbol val="circle"/>
            <c:size val="3"/>
            <c:spPr>
              <a:solidFill>
                <a:srgbClr val="FFC000"/>
              </a:solidFill>
              <a:ln w="9525">
                <a:solidFill>
                  <a:srgbClr val="FFC00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EXP_IMP'!$J$133:$Q$133</c:f>
              <c:numCache>
                <c:formatCode>General</c:formatCode>
                <c:ptCount val="8"/>
                <c:pt idx="0">
                  <c:v>27.015813128159731</c:v>
                </c:pt>
                <c:pt idx="1">
                  <c:v>26.062049484430577</c:v>
                </c:pt>
                <c:pt idx="2">
                  <c:v>27.26293166627044</c:v>
                </c:pt>
                <c:pt idx="3">
                  <c:v>28.990379051104217</c:v>
                </c:pt>
                <c:pt idx="4">
                  <c:v>31.697009911247882</c:v>
                </c:pt>
                <c:pt idx="5">
                  <c:v>32.967623003898666</c:v>
                </c:pt>
                <c:pt idx="6">
                  <c:v>34.607787018684213</c:v>
                </c:pt>
                <c:pt idx="7">
                  <c:v>35.963817996706439</c:v>
                </c:pt>
              </c:numCache>
            </c:numRef>
          </c:yVal>
          <c:smooth val="1"/>
          <c:extLst>
            <c:ext xmlns:c16="http://schemas.microsoft.com/office/drawing/2014/chart" uri="{C3380CC4-5D6E-409C-BE32-E72D297353CC}">
              <c16:uniqueId val="{00000000-DE78-4E3C-B2FD-7D5D7C3A9B62}"/>
            </c:ext>
          </c:extLst>
        </c:ser>
        <c:ser>
          <c:idx val="1"/>
          <c:order val="1"/>
          <c:tx>
            <c:strRef>
              <c:f>'1. EXP_IMP'!$I$134</c:f>
              <c:strCache>
                <c:ptCount val="1"/>
                <c:pt idx="0">
                  <c:v>Avgas</c:v>
                </c:pt>
              </c:strCache>
            </c:strRef>
          </c:tx>
          <c:spPr>
            <a:ln w="28575" cap="rnd">
              <a:solidFill>
                <a:schemeClr val="accent2"/>
              </a:solidFill>
              <a:round/>
            </a:ln>
            <a:effectLst/>
          </c:spPr>
          <c:marker>
            <c:symbol val="circle"/>
            <c:size val="3"/>
            <c:spPr>
              <a:solidFill>
                <a:schemeClr val="accent2"/>
              </a:solidFill>
              <a:ln w="9525">
                <a:solidFill>
                  <a:schemeClr val="accent2"/>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EXP_IMP'!$J$134:$Q$134</c:f>
              <c:numCache>
                <c:formatCode>General</c:formatCode>
                <c:ptCount val="8"/>
                <c:pt idx="0">
                  <c:v>21.475872844615932</c:v>
                </c:pt>
                <c:pt idx="1">
                  <c:v>21.173796174722664</c:v>
                </c:pt>
                <c:pt idx="2">
                  <c:v>23.09908472316074</c:v>
                </c:pt>
                <c:pt idx="3">
                  <c:v>25.352291121728861</c:v>
                </c:pt>
                <c:pt idx="4">
                  <c:v>28.770631310279356</c:v>
                </c:pt>
                <c:pt idx="5">
                  <c:v>30.877675811857468</c:v>
                </c:pt>
                <c:pt idx="6">
                  <c:v>33.171074715211802</c:v>
                </c:pt>
                <c:pt idx="7">
                  <c:v>35.177965790480719</c:v>
                </c:pt>
              </c:numCache>
            </c:numRef>
          </c:yVal>
          <c:smooth val="1"/>
          <c:extLst>
            <c:ext xmlns:c16="http://schemas.microsoft.com/office/drawing/2014/chart" uri="{C3380CC4-5D6E-409C-BE32-E72D297353CC}">
              <c16:uniqueId val="{00000001-DE78-4E3C-B2FD-7D5D7C3A9B62}"/>
            </c:ext>
          </c:extLst>
        </c:ser>
        <c:ser>
          <c:idx val="2"/>
          <c:order val="2"/>
          <c:tx>
            <c:strRef>
              <c:f>'1. EXP_IMP'!$I$135</c:f>
              <c:strCache>
                <c:ptCount val="1"/>
                <c:pt idx="0">
                  <c:v>Gasoline</c:v>
                </c:pt>
              </c:strCache>
            </c:strRef>
          </c:tx>
          <c:spPr>
            <a:ln w="28575" cap="rnd">
              <a:solidFill>
                <a:schemeClr val="tx1"/>
              </a:solidFill>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EXP_IMP'!$J$135:$Q$135</c:f>
              <c:numCache>
                <c:formatCode>General</c:formatCode>
                <c:ptCount val="8"/>
                <c:pt idx="0">
                  <c:v>20.996450693126999</c:v>
                </c:pt>
                <c:pt idx="1">
                  <c:v>20.789779196276999</c:v>
                </c:pt>
                <c:pt idx="2">
                  <c:v>21.49552278666</c:v>
                </c:pt>
                <c:pt idx="3">
                  <c:v>22.787761319388</c:v>
                </c:pt>
                <c:pt idx="4">
                  <c:v>24.782312344958999</c:v>
                </c:pt>
                <c:pt idx="5">
                  <c:v>26.081950485006001</c:v>
                </c:pt>
                <c:pt idx="6">
                  <c:v>27.657616630877996</c:v>
                </c:pt>
                <c:pt idx="7">
                  <c:v>28.857208895307</c:v>
                </c:pt>
              </c:numCache>
            </c:numRef>
          </c:yVal>
          <c:smooth val="1"/>
          <c:extLst>
            <c:ext xmlns:c16="http://schemas.microsoft.com/office/drawing/2014/chart" uri="{C3380CC4-5D6E-409C-BE32-E72D297353CC}">
              <c16:uniqueId val="{00000002-DE78-4E3C-B2FD-7D5D7C3A9B62}"/>
            </c:ext>
          </c:extLst>
        </c:ser>
        <c:ser>
          <c:idx val="3"/>
          <c:order val="3"/>
          <c:tx>
            <c:strRef>
              <c:f>'1. EXP_IMP'!$I$136</c:f>
              <c:strCache>
                <c:ptCount val="1"/>
                <c:pt idx="0">
                  <c:v>Diesel</c:v>
                </c:pt>
              </c:strCache>
            </c:strRef>
          </c:tx>
          <c:spPr>
            <a:ln w="28575" cap="rnd">
              <a:solidFill>
                <a:schemeClr val="accent4"/>
              </a:solidFill>
              <a:round/>
            </a:ln>
            <a:effectLst/>
          </c:spPr>
          <c:marker>
            <c:symbol val="circle"/>
            <c:size val="3"/>
            <c:spPr>
              <a:solidFill>
                <a:schemeClr val="accent4"/>
              </a:solidFill>
              <a:ln w="9525">
                <a:solidFill>
                  <a:schemeClr val="accent4"/>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EXP_IMP'!$J$136:$Q$136</c:f>
              <c:numCache>
                <c:formatCode>General</c:formatCode>
                <c:ptCount val="8"/>
                <c:pt idx="0">
                  <c:v>20.905028056574999</c:v>
                </c:pt>
                <c:pt idx="1">
                  <c:v>20.166998975720997</c:v>
                </c:pt>
                <c:pt idx="2">
                  <c:v>21.096250136325001</c:v>
                </c:pt>
                <c:pt idx="3">
                  <c:v>22.432961190509999</c:v>
                </c:pt>
                <c:pt idx="4">
                  <c:v>24.527371371749997</c:v>
                </c:pt>
                <c:pt idx="5">
                  <c:v>25.510580806347001</c:v>
                </c:pt>
                <c:pt idx="6">
                  <c:v>26.779751368928999</c:v>
                </c:pt>
                <c:pt idx="7">
                  <c:v>27.829057769838002</c:v>
                </c:pt>
              </c:numCache>
            </c:numRef>
          </c:yVal>
          <c:smooth val="1"/>
          <c:extLst>
            <c:ext xmlns:c16="http://schemas.microsoft.com/office/drawing/2014/chart" uri="{C3380CC4-5D6E-409C-BE32-E72D297353CC}">
              <c16:uniqueId val="{00000003-DE78-4E3C-B2FD-7D5D7C3A9B62}"/>
            </c:ext>
          </c:extLst>
        </c:ser>
        <c:ser>
          <c:idx val="4"/>
          <c:order val="4"/>
          <c:tx>
            <c:strRef>
              <c:f>'1. EXP_IMP'!$I$137</c:f>
              <c:strCache>
                <c:ptCount val="1"/>
                <c:pt idx="0">
                  <c:v>LPG</c:v>
                </c:pt>
              </c:strCache>
            </c:strRef>
          </c:tx>
          <c:spPr>
            <a:ln w="28575" cap="rnd">
              <a:solidFill>
                <a:srgbClr val="0070C0"/>
              </a:solidFill>
              <a:round/>
            </a:ln>
            <a:effectLst/>
          </c:spPr>
          <c:marker>
            <c:symbol val="circle"/>
            <c:size val="3"/>
            <c:spPr>
              <a:solidFill>
                <a:srgbClr val="0070C0"/>
              </a:solidFill>
              <a:ln w="9525">
                <a:solidFill>
                  <a:srgbClr val="0070C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EXP_IMP'!$J$137:$Q$137</c:f>
              <c:numCache>
                <c:formatCode>General</c:formatCode>
                <c:ptCount val="8"/>
                <c:pt idx="0">
                  <c:v>17.550825014150998</c:v>
                </c:pt>
                <c:pt idx="1">
                  <c:v>17.327211288426</c:v>
                </c:pt>
                <c:pt idx="2">
                  <c:v>21.000397403115002</c:v>
                </c:pt>
                <c:pt idx="3">
                  <c:v>23.265791875521</c:v>
                </c:pt>
                <c:pt idx="4">
                  <c:v>25.362927030636001</c:v>
                </c:pt>
                <c:pt idx="5">
                  <c:v>27.015707567627999</c:v>
                </c:pt>
                <c:pt idx="6">
                  <c:v>29.097066308778</c:v>
                </c:pt>
                <c:pt idx="7">
                  <c:v>30.992470937063995</c:v>
                </c:pt>
              </c:numCache>
            </c:numRef>
          </c:yVal>
          <c:smooth val="1"/>
          <c:extLst>
            <c:ext xmlns:c16="http://schemas.microsoft.com/office/drawing/2014/chart" uri="{C3380CC4-5D6E-409C-BE32-E72D297353CC}">
              <c16:uniqueId val="{00000004-DE78-4E3C-B2FD-7D5D7C3A9B62}"/>
            </c:ext>
          </c:extLst>
        </c:ser>
        <c:ser>
          <c:idx val="5"/>
          <c:order val="5"/>
          <c:tx>
            <c:strRef>
              <c:f>'1. EXP_IMP'!$I$138</c:f>
              <c:strCache>
                <c:ptCount val="1"/>
                <c:pt idx="0">
                  <c:v>Ethanol</c:v>
                </c:pt>
              </c:strCache>
            </c:strRef>
          </c:tx>
          <c:spPr>
            <a:ln w="28575" cap="rnd">
              <a:solidFill>
                <a:schemeClr val="tx1"/>
              </a:solidFill>
              <a:prstDash val="sysDash"/>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EXP_IMP'!$J$138:$Q$138</c:f>
              <c:numCache>
                <c:formatCode>General</c:formatCode>
                <c:ptCount val="8"/>
                <c:pt idx="0">
                  <c:v>15.484369752577541</c:v>
                </c:pt>
                <c:pt idx="1">
                  <c:v>15.168782704888827</c:v>
                </c:pt>
                <c:pt idx="2">
                  <c:v>16.949109551577816</c:v>
                </c:pt>
                <c:pt idx="3">
                  <c:v>19.89820760097551</c:v>
                </c:pt>
                <c:pt idx="4">
                  <c:v>20.433037285408389</c:v>
                </c:pt>
                <c:pt idx="5">
                  <c:v>21.046576062396845</c:v>
                </c:pt>
                <c:pt idx="6">
                  <c:v>22.996499995778219</c:v>
                </c:pt>
                <c:pt idx="7">
                  <c:v>24.2190062601092</c:v>
                </c:pt>
              </c:numCache>
            </c:numRef>
          </c:yVal>
          <c:smooth val="1"/>
          <c:extLst>
            <c:ext xmlns:c16="http://schemas.microsoft.com/office/drawing/2014/chart" uri="{C3380CC4-5D6E-409C-BE32-E72D297353CC}">
              <c16:uniqueId val="{00000005-DE78-4E3C-B2FD-7D5D7C3A9B62}"/>
            </c:ext>
          </c:extLst>
        </c:ser>
        <c:ser>
          <c:idx val="6"/>
          <c:order val="6"/>
          <c:tx>
            <c:strRef>
              <c:f>'1. EXP_IMP'!$I$139</c:f>
              <c:strCache>
                <c:ptCount val="1"/>
                <c:pt idx="0">
                  <c:v>Kerosene-Jet</c:v>
                </c:pt>
              </c:strCache>
            </c:strRef>
          </c:tx>
          <c:spPr>
            <a:ln w="28575" cap="rnd">
              <a:solidFill>
                <a:srgbClr val="7030A0"/>
              </a:solidFill>
              <a:round/>
            </a:ln>
            <a:effectLst/>
          </c:spPr>
          <c:marker>
            <c:symbol val="circle"/>
            <c:size val="3"/>
            <c:spPr>
              <a:solidFill>
                <a:srgbClr val="7030A0"/>
              </a:solidFill>
              <a:ln w="9525">
                <a:solidFill>
                  <a:srgbClr val="7030A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EXP_IMP'!$J$139:$Q$139</c:f>
              <c:numCache>
                <c:formatCode>General</c:formatCode>
                <c:ptCount val="8"/>
                <c:pt idx="0">
                  <c:v>13.877034192216</c:v>
                </c:pt>
                <c:pt idx="1">
                  <c:v>13.679057020707001</c:v>
                </c:pt>
                <c:pt idx="2">
                  <c:v>14.925902701670999</c:v>
                </c:pt>
                <c:pt idx="3">
                  <c:v>16.381853873541001</c:v>
                </c:pt>
                <c:pt idx="4">
                  <c:v>18.590677888301997</c:v>
                </c:pt>
                <c:pt idx="5">
                  <c:v>19.952183835207002</c:v>
                </c:pt>
                <c:pt idx="6">
                  <c:v>21.434106140693999</c:v>
                </c:pt>
                <c:pt idx="7">
                  <c:v>22.730896090656</c:v>
                </c:pt>
              </c:numCache>
            </c:numRef>
          </c:yVal>
          <c:smooth val="1"/>
          <c:extLst>
            <c:ext xmlns:c16="http://schemas.microsoft.com/office/drawing/2014/chart" uri="{C3380CC4-5D6E-409C-BE32-E72D297353CC}">
              <c16:uniqueId val="{00000006-DE78-4E3C-B2FD-7D5D7C3A9B62}"/>
            </c:ext>
          </c:extLst>
        </c:ser>
        <c:ser>
          <c:idx val="8"/>
          <c:order val="8"/>
          <c:tx>
            <c:strRef>
              <c:f>'1. EXP_IMP'!$I$141</c:f>
              <c:strCache>
                <c:ptCount val="1"/>
                <c:pt idx="0">
                  <c:v>WTI</c:v>
                </c:pt>
              </c:strCache>
            </c:strRef>
          </c:tx>
          <c:spPr>
            <a:ln w="28575" cap="rnd">
              <a:solidFill>
                <a:srgbClr val="FF000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EXP_IMP'!$J$141:$Q$141</c:f>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8-DE78-4E3C-B2FD-7D5D7C3A9B62}"/>
            </c:ext>
          </c:extLst>
        </c:ser>
        <c:ser>
          <c:idx val="9"/>
          <c:order val="9"/>
          <c:tx>
            <c:strRef>
              <c:f>'1. EXP_IMP'!$I$142</c:f>
              <c:strCache>
                <c:ptCount val="1"/>
                <c:pt idx="0">
                  <c:v>Fuel Oil</c:v>
                </c:pt>
              </c:strCache>
            </c:strRef>
          </c:tx>
          <c:spPr>
            <a:ln w="28575" cap="rnd">
              <a:solidFill>
                <a:schemeClr val="accent4">
                  <a:lumMod val="60000"/>
                </a:schemeClr>
              </a:solidFill>
              <a:round/>
            </a:ln>
            <a:effectLst/>
          </c:spPr>
          <c:marker>
            <c:symbol val="circle"/>
            <c:size val="3"/>
            <c:spPr>
              <a:solidFill>
                <a:schemeClr val="accent4">
                  <a:lumMod val="60000"/>
                </a:schemeClr>
              </a:solidFill>
              <a:ln w="9525">
                <a:solidFill>
                  <a:schemeClr val="accent4">
                    <a:lumMod val="60000"/>
                  </a:schemeClr>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EXP_IMP'!$J$142:$Q$142</c:f>
              <c:numCache>
                <c:formatCode>General</c:formatCode>
                <c:ptCount val="8"/>
                <c:pt idx="0">
                  <c:v>9.2360008608660014</c:v>
                </c:pt>
                <c:pt idx="1">
                  <c:v>9.6932486336400014</c:v>
                </c:pt>
                <c:pt idx="2">
                  <c:v>9.5472696505679995</c:v>
                </c:pt>
                <c:pt idx="3">
                  <c:v>10.673080048449</c:v>
                </c:pt>
                <c:pt idx="4">
                  <c:v>12.218909862978</c:v>
                </c:pt>
                <c:pt idx="5">
                  <c:v>13.22060646816</c:v>
                </c:pt>
                <c:pt idx="6">
                  <c:v>14.059067186150999</c:v>
                </c:pt>
                <c:pt idx="7">
                  <c:v>15.210941603714998</c:v>
                </c:pt>
              </c:numCache>
            </c:numRef>
          </c:yVal>
          <c:smooth val="1"/>
          <c:extLst>
            <c:ext xmlns:c16="http://schemas.microsoft.com/office/drawing/2014/chart" uri="{C3380CC4-5D6E-409C-BE32-E72D297353CC}">
              <c16:uniqueId val="{00000009-DE78-4E3C-B2FD-7D5D7C3A9B62}"/>
            </c:ext>
          </c:extLst>
        </c:ser>
        <c:ser>
          <c:idx val="12"/>
          <c:order val="12"/>
          <c:tx>
            <c:strRef>
              <c:f>'1. EXP_IMP'!$I$145</c:f>
              <c:strCache>
                <c:ptCount val="1"/>
                <c:pt idx="0">
                  <c:v>Natural Gas</c:v>
                </c:pt>
              </c:strCache>
            </c:strRef>
          </c:tx>
          <c:spPr>
            <a:ln w="28575" cap="rnd">
              <a:solidFill>
                <a:srgbClr val="00B05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EXP_IMP'!$J$145:$Q$145</c:f>
              <c:numCache>
                <c:formatCode>General</c:formatCode>
                <c:ptCount val="8"/>
                <c:pt idx="0">
                  <c:v>4.7688341321789993</c:v>
                </c:pt>
                <c:pt idx="1">
                  <c:v>4.6568448145439998</c:v>
                </c:pt>
                <c:pt idx="2">
                  <c:v>5.7706406841329994</c:v>
                </c:pt>
                <c:pt idx="3">
                  <c:v>6.7599028780919994</c:v>
                </c:pt>
                <c:pt idx="4">
                  <c:v>7.3262282746769998</c:v>
                </c:pt>
                <c:pt idx="5">
                  <c:v>7.6825591280100003</c:v>
                </c:pt>
                <c:pt idx="6">
                  <c:v>8.0943780319740011</c:v>
                </c:pt>
                <c:pt idx="7">
                  <c:v>8.6837619205349998</c:v>
                </c:pt>
              </c:numCache>
            </c:numRef>
          </c:yVal>
          <c:smooth val="1"/>
          <c:extLst>
            <c:ext xmlns:c16="http://schemas.microsoft.com/office/drawing/2014/chart" uri="{C3380CC4-5D6E-409C-BE32-E72D297353CC}">
              <c16:uniqueId val="{0000000C-DE78-4E3C-B2FD-7D5D7C3A9B62}"/>
            </c:ext>
          </c:extLst>
        </c:ser>
        <c:dLbls>
          <c:showLegendKey val="0"/>
          <c:showVal val="0"/>
          <c:showCatName val="0"/>
          <c:showSerName val="0"/>
          <c:showPercent val="0"/>
          <c:showBubbleSize val="0"/>
        </c:dLbls>
        <c:axId val="1557486688"/>
        <c:axId val="1557480864"/>
        <c:extLst>
          <c:ext xmlns:c15="http://schemas.microsoft.com/office/drawing/2012/chart" uri="{02D57815-91ED-43cb-92C2-25804820EDAC}">
            <c15:filteredScatterSeries>
              <c15:ser>
                <c:idx val="7"/>
                <c:order val="7"/>
                <c:tx>
                  <c:strRef>
                    <c:extLst>
                      <c:ext uri="{02D57815-91ED-43cb-92C2-25804820EDAC}">
                        <c15:formulaRef>
                          <c15:sqref>'1. EXP_IMP'!$I$140</c15:sqref>
                        </c15:formulaRef>
                      </c:ext>
                    </c:extLst>
                    <c:strCache>
                      <c:ptCount val="1"/>
                      <c:pt idx="0">
                        <c:v>LOIL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c:ex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c:ext uri="{02D57815-91ED-43cb-92C2-25804820EDAC}">
                        <c15:formulaRef>
                          <c15:sqref>'1. EXP_IMP'!$J$140:$Q$140</c15:sqref>
                        </c15:formulaRef>
                      </c:ext>
                    </c:extLst>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7-DE78-4E3C-B2FD-7D5D7C3A9B62}"/>
                  </c:ext>
                </c:extLst>
              </c15:ser>
            </c15:filteredScatterSeries>
            <c15:filteredScatterSeries>
              <c15:ser>
                <c:idx val="10"/>
                <c:order val="10"/>
                <c:tx>
                  <c:strRef>
                    <c:extLst xmlns:c15="http://schemas.microsoft.com/office/drawing/2012/chart">
                      <c:ext xmlns:c15="http://schemas.microsoft.com/office/drawing/2012/chart" uri="{02D57815-91ED-43cb-92C2-25804820EDAC}">
                        <c15:formulaRef>
                          <c15:sqref>'1. EXP_IMP'!$I$143</c15:sqref>
                        </c15:formulaRef>
                      </c:ext>
                    </c:extLst>
                    <c:strCache>
                      <c:ptCount val="1"/>
                      <c:pt idx="0">
                        <c:v>MOIL</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EXP_IMP'!$J$143:$Q$143</c15:sqref>
                        </c15:formulaRef>
                      </c:ext>
                    </c:extLst>
                    <c:numCache>
                      <c:formatCode>General</c:formatCode>
                      <c:ptCount val="8"/>
                      <c:pt idx="0">
                        <c:v>8.6667911578505574</c:v>
                      </c:pt>
                      <c:pt idx="1">
                        <c:v>8.8806502029103971</c:v>
                      </c:pt>
                      <c:pt idx="2">
                        <c:v>10.652494186451701</c:v>
                      </c:pt>
                      <c:pt idx="3">
                        <c:v>11.87904820155075</c:v>
                      </c:pt>
                      <c:pt idx="4">
                        <c:v>13.577152138198308</c:v>
                      </c:pt>
                      <c:pt idx="5">
                        <c:v>14.800505844381702</c:v>
                      </c:pt>
                      <c:pt idx="6">
                        <c:v>16.22107252192496</c:v>
                      </c:pt>
                      <c:pt idx="7">
                        <c:v>17.321072535367904</c:v>
                      </c:pt>
                    </c:numCache>
                  </c:numRef>
                </c:yVal>
                <c:smooth val="1"/>
                <c:extLst xmlns:c15="http://schemas.microsoft.com/office/drawing/2012/chart">
                  <c:ext xmlns:c16="http://schemas.microsoft.com/office/drawing/2014/chart" uri="{C3380CC4-5D6E-409C-BE32-E72D297353CC}">
                    <c16:uniqueId val="{0000000A-DE78-4E3C-B2FD-7D5D7C3A9B62}"/>
                  </c:ext>
                </c:extLst>
              </c15:ser>
            </c15:filteredScatterSeries>
            <c15:filteredScatterSeries>
              <c15:ser>
                <c:idx val="11"/>
                <c:order val="11"/>
                <c:tx>
                  <c:strRef>
                    <c:extLst xmlns:c15="http://schemas.microsoft.com/office/drawing/2012/chart">
                      <c:ext xmlns:c15="http://schemas.microsoft.com/office/drawing/2012/chart" uri="{02D57815-91ED-43cb-92C2-25804820EDAC}">
                        <c15:formulaRef>
                          <c15:sqref>'1. EXP_IMP'!$I$144</c15:sqref>
                        </c15:formulaRef>
                      </c:ext>
                    </c:extLst>
                    <c:strCache>
                      <c:ptCount val="1"/>
                      <c:pt idx="0">
                        <c:v>POIL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EXP_IMP'!$J$144:$Q$144</c15:sqref>
                        </c15:formulaRef>
                      </c:ext>
                    </c:extLst>
                    <c:numCache>
                      <c:formatCode>General</c:formatCode>
                      <c:ptCount val="8"/>
                      <c:pt idx="0">
                        <c:v>7.1598435060130807</c:v>
                      </c:pt>
                      <c:pt idx="1">
                        <c:v>7.3365175791603097</c:v>
                      </c:pt>
                      <c:pt idx="2">
                        <c:v>8.8002802807381819</c:v>
                      </c:pt>
                      <c:pt idx="3">
                        <c:v>9.8135658947368913</c:v>
                      </c:pt>
                      <c:pt idx="4">
                        <c:v>11.216410179536366</c:v>
                      </c:pt>
                      <c:pt idx="5">
                        <c:v>12.227051941780758</c:v>
                      </c:pt>
                      <c:pt idx="6">
                        <c:v>13.400616057474668</c:v>
                      </c:pt>
                      <c:pt idx="7">
                        <c:v>14.309352383228823</c:v>
                      </c:pt>
                    </c:numCache>
                  </c:numRef>
                </c:yVal>
                <c:smooth val="1"/>
                <c:extLst xmlns:c15="http://schemas.microsoft.com/office/drawing/2012/chart">
                  <c:ext xmlns:c16="http://schemas.microsoft.com/office/drawing/2014/chart" uri="{C3380CC4-5D6E-409C-BE32-E72D297353CC}">
                    <c16:uniqueId val="{0000000B-DE78-4E3C-B2FD-7D5D7C3A9B62}"/>
                  </c:ext>
                </c:extLst>
              </c15:ser>
            </c15:filteredScatterSeries>
          </c:ext>
        </c:extLst>
      </c:scatterChart>
      <c:valAx>
        <c:axId val="15574866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0864"/>
        <c:crosses val="autoZero"/>
        <c:crossBetween val="midCat"/>
      </c:valAx>
      <c:valAx>
        <c:axId val="155748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s-CO"/>
                  <a:t>Precio</a:t>
                </a:r>
                <a:r>
                  <a:rPr lang="es-CO" baseline="0"/>
                  <a:t> MUSD2019/PJ</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s-C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6688"/>
        <c:crossesAt val="2015"/>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5</xdr:col>
      <xdr:colOff>9025</xdr:colOff>
      <xdr:row>146</xdr:row>
      <xdr:rowOff>37543</xdr:rowOff>
    </xdr:from>
    <xdr:to>
      <xdr:col>10</xdr:col>
      <xdr:colOff>1234179</xdr:colOff>
      <xdr:row>162</xdr:row>
      <xdr:rowOff>182099</xdr:rowOff>
    </xdr:to>
    <xdr:graphicFrame macro="">
      <xdr:nvGraphicFramePr>
        <xdr:cNvPr id="6" name="Gráfico 5">
          <a:extLst>
            <a:ext uri="{FF2B5EF4-FFF2-40B4-BE49-F238E27FC236}">
              <a16:creationId xmlns:a16="http://schemas.microsoft.com/office/drawing/2014/main" id="{6280D1EA-C518-F7AE-FFD0-4F2794138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2162735</xdr:colOff>
      <xdr:row>146</xdr:row>
      <xdr:rowOff>33618</xdr:rowOff>
    </xdr:from>
    <xdr:to>
      <xdr:col>17</xdr:col>
      <xdr:colOff>482955</xdr:colOff>
      <xdr:row>163</xdr:row>
      <xdr:rowOff>1892</xdr:rowOff>
    </xdr:to>
    <xdr:pic>
      <xdr:nvPicPr>
        <xdr:cNvPr id="9" name="Imagen 8">
          <a:extLst>
            <a:ext uri="{FF2B5EF4-FFF2-40B4-BE49-F238E27FC236}">
              <a16:creationId xmlns:a16="http://schemas.microsoft.com/office/drawing/2014/main" id="{64123D85-9B55-4CC8-E2C7-2038087AADC8}"/>
            </a:ext>
          </a:extLst>
        </xdr:cNvPr>
        <xdr:cNvPicPr>
          <a:picLocks noChangeAspect="1"/>
        </xdr:cNvPicPr>
      </xdr:nvPicPr>
      <xdr:blipFill>
        <a:blip xmlns:r="http://schemas.openxmlformats.org/officeDocument/2006/relationships" r:embed="rId4"/>
        <a:stretch>
          <a:fillRect/>
        </a:stretch>
      </xdr:blipFill>
      <xdr:spPr>
        <a:xfrm>
          <a:off x="10432676" y="28014706"/>
          <a:ext cx="5480779" cy="3206774"/>
        </a:xfrm>
        <a:prstGeom prst="rect">
          <a:avLst/>
        </a:prstGeom>
      </xdr:spPr>
    </xdr:pic>
    <xdr:clientData/>
  </xdr:twoCellAnchor>
  <xdr:twoCellAnchor editAs="oneCell">
    <xdr:from>
      <xdr:col>19</xdr:col>
      <xdr:colOff>0</xdr:colOff>
      <xdr:row>146</xdr:row>
      <xdr:rowOff>0</xdr:rowOff>
    </xdr:from>
    <xdr:to>
      <xdr:col>25</xdr:col>
      <xdr:colOff>667986</xdr:colOff>
      <xdr:row>162</xdr:row>
      <xdr:rowOff>158774</xdr:rowOff>
    </xdr:to>
    <xdr:pic>
      <xdr:nvPicPr>
        <xdr:cNvPr id="5" name="Imagen 4">
          <a:extLst>
            <a:ext uri="{FF2B5EF4-FFF2-40B4-BE49-F238E27FC236}">
              <a16:creationId xmlns:a16="http://schemas.microsoft.com/office/drawing/2014/main" id="{3700D268-9C53-2B9A-7675-B6BA38D368D0}"/>
            </a:ext>
          </a:extLst>
        </xdr:cNvPr>
        <xdr:cNvPicPr>
          <a:picLocks noChangeAspect="1"/>
        </xdr:cNvPicPr>
      </xdr:nvPicPr>
      <xdr:blipFill>
        <a:blip xmlns:r="http://schemas.openxmlformats.org/officeDocument/2006/relationships" r:embed="rId5"/>
        <a:stretch>
          <a:fillRect/>
        </a:stretch>
      </xdr:blipFill>
      <xdr:spPr>
        <a:xfrm>
          <a:off x="17002125" y="27974925"/>
          <a:ext cx="5468586" cy="3206774"/>
        </a:xfrm>
        <a:prstGeom prst="rect">
          <a:avLst/>
        </a:prstGeom>
      </xdr:spPr>
    </xdr:pic>
    <xdr:clientData/>
  </xdr:twoCellAnchor>
  <xdr:twoCellAnchor editAs="oneCell">
    <xdr:from>
      <xdr:col>27</xdr:col>
      <xdr:colOff>0</xdr:colOff>
      <xdr:row>146</xdr:row>
      <xdr:rowOff>0</xdr:rowOff>
    </xdr:from>
    <xdr:to>
      <xdr:col>34</xdr:col>
      <xdr:colOff>128489</xdr:colOff>
      <xdr:row>162</xdr:row>
      <xdr:rowOff>158774</xdr:rowOff>
    </xdr:to>
    <xdr:pic>
      <xdr:nvPicPr>
        <xdr:cNvPr id="4" name="Imagen 3">
          <a:extLst>
            <a:ext uri="{FF2B5EF4-FFF2-40B4-BE49-F238E27FC236}">
              <a16:creationId xmlns:a16="http://schemas.microsoft.com/office/drawing/2014/main" id="{BFEE0704-E442-4D2D-60C9-7C0CBF8A7CCE}"/>
            </a:ext>
          </a:extLst>
        </xdr:cNvPr>
        <xdr:cNvPicPr>
          <a:picLocks noChangeAspect="1"/>
        </xdr:cNvPicPr>
      </xdr:nvPicPr>
      <xdr:blipFill>
        <a:blip xmlns:r="http://schemas.openxmlformats.org/officeDocument/2006/relationships" r:embed="rId6"/>
        <a:stretch>
          <a:fillRect/>
        </a:stretch>
      </xdr:blipFill>
      <xdr:spPr>
        <a:xfrm>
          <a:off x="23322643" y="27976286"/>
          <a:ext cx="5462489" cy="32067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16</xdr:col>
      <xdr:colOff>180975</xdr:colOff>
      <xdr:row>24</xdr:row>
      <xdr:rowOff>161925</xdr:rowOff>
    </xdr:from>
    <xdr:to>
      <xdr:col>16</xdr:col>
      <xdr:colOff>533400</xdr:colOff>
      <xdr:row>28</xdr:row>
      <xdr:rowOff>9525</xdr:rowOff>
    </xdr:to>
    <xdr:sp macro="" textlink="">
      <xdr:nvSpPr>
        <xdr:cNvPr id="3" name="Flecha: hacia abajo 2">
          <a:extLst>
            <a:ext uri="{FF2B5EF4-FFF2-40B4-BE49-F238E27FC236}">
              <a16:creationId xmlns:a16="http://schemas.microsoft.com/office/drawing/2014/main" id="{E34796E4-E871-BD2F-F8BF-C13C9E53A0BB}"/>
            </a:ext>
          </a:extLst>
        </xdr:cNvPr>
        <xdr:cNvSpPr/>
      </xdr:nvSpPr>
      <xdr:spPr>
        <a:xfrm>
          <a:off x="15868650" y="5019675"/>
          <a:ext cx="352425" cy="1047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52</xdr:row>
      <xdr:rowOff>47625</xdr:rowOff>
    </xdr:from>
    <xdr:to>
      <xdr:col>16</xdr:col>
      <xdr:colOff>561975</xdr:colOff>
      <xdr:row>55</xdr:row>
      <xdr:rowOff>133350</xdr:rowOff>
    </xdr:to>
    <xdr:sp macro="" textlink="">
      <xdr:nvSpPr>
        <xdr:cNvPr id="4" name="Flecha: hacia abajo 3">
          <a:extLst>
            <a:ext uri="{FF2B5EF4-FFF2-40B4-BE49-F238E27FC236}">
              <a16:creationId xmlns:a16="http://schemas.microsoft.com/office/drawing/2014/main" id="{D4FD412C-B561-AF5F-DEB7-949A2A2FA8A4}"/>
            </a:ext>
          </a:extLst>
        </xdr:cNvPr>
        <xdr:cNvSpPr/>
      </xdr:nvSpPr>
      <xdr:spPr>
        <a:xfrm>
          <a:off x="15897225" y="10963275"/>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81</xdr:row>
      <xdr:rowOff>66675</xdr:rowOff>
    </xdr:from>
    <xdr:to>
      <xdr:col>16</xdr:col>
      <xdr:colOff>561975</xdr:colOff>
      <xdr:row>84</xdr:row>
      <xdr:rowOff>152400</xdr:rowOff>
    </xdr:to>
    <xdr:sp macro="" textlink="">
      <xdr:nvSpPr>
        <xdr:cNvPr id="2" name="Flecha: hacia abajo 1">
          <a:extLst>
            <a:ext uri="{FF2B5EF4-FFF2-40B4-BE49-F238E27FC236}">
              <a16:creationId xmlns:a16="http://schemas.microsoft.com/office/drawing/2014/main" id="{3B186845-59D6-A68B-3529-0A5ED1DE54FD}"/>
            </a:ext>
          </a:extLst>
        </xdr:cNvPr>
        <xdr:cNvSpPr/>
      </xdr:nvSpPr>
      <xdr:spPr>
        <a:xfrm>
          <a:off x="16059150" y="17030700"/>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18</xdr:col>
      <xdr:colOff>0</xdr:colOff>
      <xdr:row>4</xdr:row>
      <xdr:rowOff>361950</xdr:rowOff>
    </xdr:from>
    <xdr:to>
      <xdr:col>19</xdr:col>
      <xdr:colOff>38262</xdr:colOff>
      <xdr:row>25</xdr:row>
      <xdr:rowOff>29113</xdr:rowOff>
    </xdr:to>
    <xdr:pic>
      <xdr:nvPicPr>
        <xdr:cNvPr id="2" name="Imagen 1">
          <a:extLst>
            <a:ext uri="{FF2B5EF4-FFF2-40B4-BE49-F238E27FC236}">
              <a16:creationId xmlns:a16="http://schemas.microsoft.com/office/drawing/2014/main" id="{E448E82C-0D28-FDA8-E33B-9CDB698DDC34}"/>
            </a:ext>
          </a:extLst>
        </xdr:cNvPr>
        <xdr:cNvPicPr>
          <a:picLocks noChangeAspect="1"/>
        </xdr:cNvPicPr>
      </xdr:nvPicPr>
      <xdr:blipFill>
        <a:blip xmlns:r="http://schemas.openxmlformats.org/officeDocument/2006/relationships" r:embed="rId1"/>
        <a:stretch>
          <a:fillRect/>
        </a:stretch>
      </xdr:blipFill>
      <xdr:spPr>
        <a:xfrm>
          <a:off x="18945225" y="1123950"/>
          <a:ext cx="1162212" cy="385816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threadedComments/threadedComment3.xml><?xml version="1.0" encoding="utf-8"?>
<ThreadedComments xmlns="http://schemas.microsoft.com/office/spreadsheetml/2018/threadedcomments" xmlns:x="http://schemas.openxmlformats.org/spreadsheetml/2006/main">
  <threadedComment ref="P73" dT="2022-11-21T19:13:24.19" personId="{95CB8C13-05EF-46E6-BE04-8765358B713A}" id="{D0885B34-4AE8-4094-B4E9-2688FE72BF6A}">
    <text>Según GlobalData es 10%</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3.xml"/><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3.bin"/><Relationship Id="rId4" Type="http://schemas.openxmlformats.org/officeDocument/2006/relationships/comments" Target="../comments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91"/>
  <sheetViews>
    <sheetView topLeftCell="AC1" zoomScale="130" zoomScaleNormal="130" workbookViewId="0">
      <selection activeCell="E6" sqref="E6"/>
    </sheetView>
  </sheetViews>
  <sheetFormatPr baseColWidth="10" defaultColWidth="9.140625" defaultRowHeight="15" x14ac:dyDescent="0.25"/>
  <cols>
    <col min="1" max="1" width="9.140625" style="1"/>
    <col min="2" max="2" width="14.85546875" style="1" customWidth="1"/>
    <col min="3" max="3" width="9.140625" style="1"/>
    <col min="4" max="4" width="18.7109375" style="1" customWidth="1"/>
    <col min="5" max="5" width="41.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692" t="s">
        <v>101</v>
      </c>
      <c r="Y14" s="692"/>
      <c r="Z14" s="692"/>
      <c r="AA14" s="692"/>
      <c r="AB14" s="692"/>
      <c r="AC14" s="692"/>
      <c r="AD14" s="692"/>
      <c r="AE14" s="692"/>
      <c r="AF14" s="692"/>
    </row>
    <row r="15" spans="1:1409" x14ac:dyDescent="0.25">
      <c r="B15" s="692" t="s">
        <v>83</v>
      </c>
      <c r="C15" s="692"/>
      <c r="D15" s="692"/>
      <c r="E15" s="692"/>
      <c r="F15" s="692"/>
      <c r="G15" s="692"/>
      <c r="H15" s="692"/>
      <c r="I15" s="692"/>
      <c r="J15" s="692"/>
      <c r="M15" s="692" t="s">
        <v>84</v>
      </c>
      <c r="N15" s="692"/>
      <c r="O15" s="692"/>
      <c r="P15" s="692"/>
      <c r="Q15" s="692"/>
      <c r="R15" s="692"/>
      <c r="S15" s="692"/>
      <c r="T15" s="692"/>
      <c r="U15" s="692"/>
      <c r="AI15" s="692" t="s">
        <v>97</v>
      </c>
      <c r="AJ15" s="692"/>
      <c r="AK15" s="692"/>
      <c r="AL15" s="692"/>
      <c r="AM15" s="692"/>
      <c r="AN15" s="692"/>
      <c r="AO15" s="692"/>
      <c r="AP15" s="692"/>
      <c r="AQ15" s="692"/>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518</v>
      </c>
      <c r="P33" s="1" t="s">
        <v>521</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515</v>
      </c>
      <c r="P34" s="1" t="s">
        <v>514</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538</v>
      </c>
      <c r="P35" s="1" t="s">
        <v>540</v>
      </c>
      <c r="Q35" s="1" t="s">
        <v>9</v>
      </c>
      <c r="X35" s="1" t="s">
        <v>82</v>
      </c>
      <c r="Z35" s="1" t="s">
        <v>519</v>
      </c>
      <c r="AA35" s="1" t="s">
        <v>526</v>
      </c>
      <c r="AB35" s="1" t="s">
        <v>9</v>
      </c>
      <c r="AK35" s="1" t="str">
        <v>CO2e-DHFO</v>
      </c>
      <c r="AL35" s="1" t="str">
        <v>CO2eq de Demanda de Combustoleo</v>
      </c>
      <c r="AM35" s="1" t="s">
        <v>100</v>
      </c>
    </row>
    <row r="36" spans="4:39" x14ac:dyDescent="0.25">
      <c r="D36" s="1" t="str">
        <v>GAS-CAM7</v>
      </c>
      <c r="E36" s="1" t="str">
        <v>Gas natural producido de CAM7</v>
      </c>
      <c r="F36" s="1" t="s">
        <v>9</v>
      </c>
      <c r="O36" s="1" t="s">
        <v>539</v>
      </c>
      <c r="P36" s="1" t="s">
        <v>541</v>
      </c>
      <c r="Q36" s="1" t="s">
        <v>9</v>
      </c>
      <c r="Z36" s="1" t="s">
        <v>549</v>
      </c>
      <c r="AA36" s="1" t="s">
        <v>553</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741</v>
      </c>
      <c r="P37" s="1" t="s">
        <v>743</v>
      </c>
      <c r="Z37" s="1" t="s">
        <v>548</v>
      </c>
      <c r="AA37" s="1" t="s">
        <v>554</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742</v>
      </c>
      <c r="P38" s="1" t="s">
        <v>744</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530</v>
      </c>
      <c r="AL40" s="1" t="s">
        <v>532</v>
      </c>
      <c r="AM40" s="1" t="s">
        <v>100</v>
      </c>
    </row>
    <row r="41" spans="4:39" x14ac:dyDescent="0.25">
      <c r="D41" s="1" t="str">
        <v>LOIL-CAM2</v>
      </c>
      <c r="E41" s="1" t="str">
        <v>Petroleo liviano producido de CAM2</v>
      </c>
      <c r="F41" s="1" t="s">
        <v>9</v>
      </c>
      <c r="AK41" s="1" t="s">
        <v>531</v>
      </c>
      <c r="AL41" s="1" t="s">
        <v>533</v>
      </c>
      <c r="AM41" s="1" t="s">
        <v>100</v>
      </c>
    </row>
    <row r="42" spans="4:39" x14ac:dyDescent="0.25">
      <c r="D42" s="1" t="str">
        <v>LOIL-CAM3</v>
      </c>
      <c r="E42" s="1" t="str">
        <v>Petroleo liviano producido de CAM3</v>
      </c>
      <c r="F42" s="1" t="s">
        <v>9</v>
      </c>
      <c r="AK42" s="1" t="s">
        <v>534</v>
      </c>
      <c r="AL42" s="1" t="s">
        <v>535</v>
      </c>
      <c r="AM42" s="1" t="s">
        <v>100</v>
      </c>
    </row>
    <row r="43" spans="4:39" x14ac:dyDescent="0.25">
      <c r="D43" s="1" t="str">
        <v>LOIL-CAM4</v>
      </c>
      <c r="E43" s="1" t="str">
        <v>Petroleo liviano producido de CAM4</v>
      </c>
      <c r="F43" s="1" t="s">
        <v>9</v>
      </c>
      <c r="AK43" s="1" t="s">
        <v>768</v>
      </c>
      <c r="AL43" s="1" t="s">
        <v>767</v>
      </c>
      <c r="AM43" s="1" t="s">
        <v>100</v>
      </c>
    </row>
    <row r="44" spans="4:39" x14ac:dyDescent="0.25">
      <c r="D44" s="1" t="str">
        <v>LOIL-CAM5</v>
      </c>
      <c r="E44" s="1" t="str">
        <v>Petroleo liviano producido de CAM5</v>
      </c>
      <c r="F44" s="1" t="s">
        <v>9</v>
      </c>
      <c r="AK44" s="1" t="s">
        <v>769</v>
      </c>
      <c r="AL44" s="1" t="s">
        <v>767</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5">+"FLU-"&amp;B3:B8</f>
        <v>FLU-CAM1</v>
      </c>
      <c r="E80" s="1" t="s">
        <v>939</v>
      </c>
      <c r="F80" s="1" t="s">
        <v>9</v>
      </c>
    </row>
    <row r="81" spans="4:6" x14ac:dyDescent="0.25">
      <c r="D81" s="1" t="str">
        <v>FLU-CAM2</v>
      </c>
      <c r="E81" s="1" t="s">
        <v>940</v>
      </c>
      <c r="F81" s="1" t="s">
        <v>9</v>
      </c>
    </row>
    <row r="82" spans="4:6" x14ac:dyDescent="0.25">
      <c r="D82" s="1" t="str">
        <v>FLU-CAM3</v>
      </c>
      <c r="E82" s="1" t="s">
        <v>941</v>
      </c>
      <c r="F82" s="1" t="s">
        <v>9</v>
      </c>
    </row>
    <row r="83" spans="4:6" x14ac:dyDescent="0.25">
      <c r="D83" s="1" t="str">
        <v>FLU-CAM4</v>
      </c>
      <c r="E83" s="1" t="s">
        <v>942</v>
      </c>
      <c r="F83" s="1" t="s">
        <v>9</v>
      </c>
    </row>
    <row r="84" spans="4:6" x14ac:dyDescent="0.25">
      <c r="D84" s="1" t="str">
        <v>FLU-CAM5</v>
      </c>
      <c r="E84" s="1" t="s">
        <v>943</v>
      </c>
      <c r="F84" s="1" t="s">
        <v>9</v>
      </c>
    </row>
    <row r="85" spans="4:6" x14ac:dyDescent="0.25">
      <c r="D85" s="1" t="str">
        <v>FLU-CAM6</v>
      </c>
      <c r="E85" s="1" t="s">
        <v>944</v>
      </c>
      <c r="F85" s="1" t="s">
        <v>9</v>
      </c>
    </row>
    <row r="86" spans="4:6" x14ac:dyDescent="0.25">
      <c r="D86" s="1" t="str" cm="1">
        <f t="array" ref="D86:D91">+"ELC-"&amp;B3:B8</f>
        <v>ELC-CAM1</v>
      </c>
      <c r="E86" s="1" t="s">
        <v>983</v>
      </c>
      <c r="F86" s="1" t="s">
        <v>9</v>
      </c>
    </row>
    <row r="87" spans="4:6" x14ac:dyDescent="0.25">
      <c r="D87" s="1" t="str">
        <v>ELC-CAM2</v>
      </c>
      <c r="E87" s="1" t="s">
        <v>984</v>
      </c>
      <c r="F87" s="1" t="s">
        <v>9</v>
      </c>
    </row>
    <row r="88" spans="4:6" x14ac:dyDescent="0.25">
      <c r="D88" s="1" t="str">
        <v>ELC-CAM3</v>
      </c>
      <c r="E88" s="1" t="s">
        <v>985</v>
      </c>
      <c r="F88" s="1" t="s">
        <v>9</v>
      </c>
    </row>
    <row r="89" spans="4:6" x14ac:dyDescent="0.25">
      <c r="D89" s="1" t="str">
        <v>ELC-CAM4</v>
      </c>
      <c r="E89" s="1" t="s">
        <v>986</v>
      </c>
      <c r="F89" s="1" t="s">
        <v>9</v>
      </c>
    </row>
    <row r="90" spans="4:6" x14ac:dyDescent="0.25">
      <c r="D90" s="1" t="str">
        <v>ELC-CAM5</v>
      </c>
      <c r="E90" s="1" t="s">
        <v>987</v>
      </c>
      <c r="F90" s="1" t="s">
        <v>9</v>
      </c>
    </row>
    <row r="91" spans="4:6" x14ac:dyDescent="0.25">
      <c r="D91" s="1" t="str">
        <v>ELC-CAM6</v>
      </c>
      <c r="E91" s="1" t="s">
        <v>988</v>
      </c>
      <c r="F91"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95"/>
  <sheetViews>
    <sheetView showGridLines="0" zoomScale="85" zoomScaleNormal="85" workbookViewId="0">
      <selection activeCell="Q89" sqref="P89:Q95"/>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16.85546875" customWidth="1"/>
    <col min="15" max="15" width="42.8554687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693" t="s">
        <v>119</v>
      </c>
      <c r="C18" s="693"/>
      <c r="D18" s="693"/>
      <c r="E18" s="693"/>
      <c r="F18" s="693"/>
      <c r="G18" s="693"/>
      <c r="H18" s="693"/>
      <c r="I18" s="693"/>
      <c r="J18" s="693"/>
      <c r="L18" s="693" t="s">
        <v>124</v>
      </c>
      <c r="M18" s="693"/>
      <c r="N18" s="693"/>
      <c r="O18" s="693"/>
      <c r="P18" s="693"/>
      <c r="Q18" s="693"/>
      <c r="R18" s="693"/>
      <c r="S18" s="693"/>
      <c r="T18" s="693"/>
      <c r="V18" s="693" t="s">
        <v>121</v>
      </c>
      <c r="W18" s="693"/>
      <c r="X18" s="693"/>
      <c r="Y18" s="693"/>
      <c r="Z18" s="693"/>
      <c r="AA18" s="693"/>
      <c r="AB18" s="693"/>
      <c r="AC18" s="693"/>
      <c r="AD18" s="693"/>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+$D$6&amp;"-"&amp;B4:B13</f>
        <v>COL-CAM1</v>
      </c>
      <c r="O44" t="str" cm="1">
        <f t="array" ref="O44:O53">+"Colectores de "&amp;B4:B13</f>
        <v>Colectores de CAM1</v>
      </c>
      <c r="P44" t="s">
        <v>9</v>
      </c>
      <c r="Q44" t="s">
        <v>42</v>
      </c>
    </row>
    <row r="45" spans="4:17" x14ac:dyDescent="0.25">
      <c r="N45" t="str">
        <v>COL-CAM2</v>
      </c>
      <c r="O45" t="str">
        <v>Colectores de CAM2</v>
      </c>
      <c r="P45" t="s">
        <v>9</v>
      </c>
      <c r="Q45" t="s">
        <v>42</v>
      </c>
    </row>
    <row r="46" spans="4:17" x14ac:dyDescent="0.25">
      <c r="N46" t="str">
        <v>COL-CAM3</v>
      </c>
      <c r="O46" t="str">
        <v>Colectores de CAM3</v>
      </c>
      <c r="P46" t="s">
        <v>9</v>
      </c>
      <c r="Q46" t="s">
        <v>42</v>
      </c>
    </row>
    <row r="47" spans="4:17" x14ac:dyDescent="0.25">
      <c r="N47" t="str">
        <v>COL-CAM4</v>
      </c>
      <c r="O47" t="str">
        <v>Colectores de CAM4</v>
      </c>
      <c r="P47" t="s">
        <v>9</v>
      </c>
      <c r="Q47" t="s">
        <v>42</v>
      </c>
    </row>
    <row r="48" spans="4:17" x14ac:dyDescent="0.25">
      <c r="N48" t="str">
        <v>COL-CAM5</v>
      </c>
      <c r="O48" t="str">
        <v>Colectores de CAM5</v>
      </c>
      <c r="P48" t="s">
        <v>9</v>
      </c>
      <c r="Q48" t="s">
        <v>42</v>
      </c>
    </row>
    <row r="49" spans="14:17" x14ac:dyDescent="0.25">
      <c r="N49" t="str">
        <v>COL-CAM6</v>
      </c>
      <c r="O49" t="str">
        <v>Colectores de CAM6</v>
      </c>
      <c r="P49" t="s">
        <v>9</v>
      </c>
      <c r="Q49" t="s">
        <v>42</v>
      </c>
    </row>
    <row r="50" spans="14:17" x14ac:dyDescent="0.25">
      <c r="N50" t="str">
        <v>COL-CAM7</v>
      </c>
      <c r="O50" t="str">
        <v>Colectores de CAM7</v>
      </c>
      <c r="P50" t="s">
        <v>9</v>
      </c>
      <c r="Q50" t="s">
        <v>42</v>
      </c>
    </row>
    <row r="51" spans="14:17" x14ac:dyDescent="0.25">
      <c r="N51" t="str">
        <v>COL-CAM8</v>
      </c>
      <c r="O51" t="str">
        <v>Colectores de CAM8</v>
      </c>
      <c r="P51" t="s">
        <v>9</v>
      </c>
      <c r="Q51" t="s">
        <v>42</v>
      </c>
    </row>
    <row r="52" spans="14:17" x14ac:dyDescent="0.25">
      <c r="N52" t="str">
        <v>COL-CAM9</v>
      </c>
      <c r="O52" t="str">
        <v>Colectores de CAM9</v>
      </c>
      <c r="P52" t="s">
        <v>9</v>
      </c>
      <c r="Q52" t="s">
        <v>42</v>
      </c>
    </row>
    <row r="53" spans="14:17" x14ac:dyDescent="0.25">
      <c r="N53" t="str">
        <v>COL-CAM10</v>
      </c>
      <c r="O53" t="str">
        <v>Colectores de CAM10</v>
      </c>
      <c r="P53" t="s">
        <v>9</v>
      </c>
      <c r="Q53" t="s">
        <v>42</v>
      </c>
    </row>
    <row r="54" spans="14:17" x14ac:dyDescent="0.25">
      <c r="N54" t="str" cm="1">
        <f t="array" ref="N54:N63">+$D$8&amp;"-"&amp;$B$4:$B$13</f>
        <v>AUTO-G-CAM1</v>
      </c>
      <c r="O54" t="str" cm="1">
        <f t="array" ref="O54:O63">+"Autogeneracion con gas natural de "&amp;$B$4:$B$13</f>
        <v>Autogeneracion con gas natural de CAM1</v>
      </c>
      <c r="P54" t="s">
        <v>9</v>
      </c>
      <c r="Q54" t="s">
        <v>42</v>
      </c>
    </row>
    <row r="55" spans="14:17" x14ac:dyDescent="0.25">
      <c r="N55" t="str">
        <v>AUTO-G-CAM2</v>
      </c>
      <c r="O55" t="str">
        <v>Autogeneracion con gas natural de CAM2</v>
      </c>
      <c r="P55" t="s">
        <v>9</v>
      </c>
      <c r="Q55" t="s">
        <v>42</v>
      </c>
    </row>
    <row r="56" spans="14:17" x14ac:dyDescent="0.25">
      <c r="N56" t="str">
        <v>AUTO-G-CAM3</v>
      </c>
      <c r="O56" t="str">
        <v>Autogeneracion con gas natural de CAM3</v>
      </c>
      <c r="P56" t="s">
        <v>9</v>
      </c>
      <c r="Q56" t="s">
        <v>42</v>
      </c>
    </row>
    <row r="57" spans="14:17" x14ac:dyDescent="0.25">
      <c r="N57" t="str">
        <v>AUTO-G-CAM4</v>
      </c>
      <c r="O57" t="str">
        <v>Autogeneracion con gas natural de CAM4</v>
      </c>
      <c r="P57" t="s">
        <v>9</v>
      </c>
      <c r="Q57" t="s">
        <v>42</v>
      </c>
    </row>
    <row r="58" spans="14:17" x14ac:dyDescent="0.25">
      <c r="N58" t="str">
        <v>AUTO-G-CAM5</v>
      </c>
      <c r="O58" t="str">
        <v>Autogeneracion con gas natural de CAM5</v>
      </c>
      <c r="P58" t="s">
        <v>9</v>
      </c>
      <c r="Q58" t="s">
        <v>42</v>
      </c>
    </row>
    <row r="59" spans="14:17" x14ac:dyDescent="0.25">
      <c r="N59" t="str">
        <v>AUTO-G-CAM6</v>
      </c>
      <c r="O59" t="str">
        <v>Autogeneracion con gas natural de CAM6</v>
      </c>
      <c r="P59" t="s">
        <v>9</v>
      </c>
      <c r="Q59" t="s">
        <v>42</v>
      </c>
    </row>
    <row r="60" spans="14:17" x14ac:dyDescent="0.25">
      <c r="N60" t="str">
        <v>AUTO-G-CAM7</v>
      </c>
      <c r="O60" t="str">
        <v>Autogeneracion con gas natural de CAM7</v>
      </c>
      <c r="P60" t="s">
        <v>9</v>
      </c>
      <c r="Q60" t="s">
        <v>42</v>
      </c>
    </row>
    <row r="61" spans="14:17" x14ac:dyDescent="0.25">
      <c r="N61" t="str">
        <v>AUTO-G-CAM8</v>
      </c>
      <c r="O61" t="str">
        <v>Autogeneracion con gas natural de CAM8</v>
      </c>
      <c r="P61" t="s">
        <v>9</v>
      </c>
      <c r="Q61" t="s">
        <v>42</v>
      </c>
    </row>
    <row r="62" spans="14:17" x14ac:dyDescent="0.25">
      <c r="N62" t="str">
        <v>AUTO-G-CAM9</v>
      </c>
      <c r="O62" t="str">
        <v>Autogeneracion con gas natural de CAM9</v>
      </c>
      <c r="P62" t="s">
        <v>9</v>
      </c>
      <c r="Q62" t="s">
        <v>42</v>
      </c>
    </row>
    <row r="63" spans="14:17" x14ac:dyDescent="0.25">
      <c r="N63" t="str">
        <v>AUTO-G-CAM10</v>
      </c>
      <c r="O63" t="str">
        <v>Autogeneracion con gas natural de CAM10</v>
      </c>
      <c r="P63" t="s">
        <v>9</v>
      </c>
      <c r="Q63" t="s">
        <v>42</v>
      </c>
    </row>
    <row r="64" spans="14:17" x14ac:dyDescent="0.25">
      <c r="N64" t="str" cm="1">
        <f t="array" ref="N64:N73">+$D$10&amp;"-"&amp;$B$4:$B$13</f>
        <v>AUTO-O-CAM1</v>
      </c>
      <c r="O64" t="str" cm="1">
        <f t="array" ref="O64:O73">+"Autogeneracion con petroleo de "&amp;$B$4:$B$13</f>
        <v>Autogeneracion con petroleo de CAM1</v>
      </c>
      <c r="P64" t="s">
        <v>9</v>
      </c>
      <c r="Q64" t="s">
        <v>42</v>
      </c>
    </row>
    <row r="65" spans="14:17" x14ac:dyDescent="0.25">
      <c r="N65" t="str">
        <v>AUTO-O-CAM2</v>
      </c>
      <c r="O65" t="str">
        <v>Autogeneracion con petroleo de CAM2</v>
      </c>
      <c r="P65" t="s">
        <v>9</v>
      </c>
      <c r="Q65" t="s">
        <v>42</v>
      </c>
    </row>
    <row r="66" spans="14:17" x14ac:dyDescent="0.25">
      <c r="N66" t="str">
        <v>AUTO-O-CAM3</v>
      </c>
      <c r="O66" t="str">
        <v>Autogeneracion con petroleo de CAM3</v>
      </c>
      <c r="P66" t="s">
        <v>9</v>
      </c>
      <c r="Q66" t="s">
        <v>42</v>
      </c>
    </row>
    <row r="67" spans="14:17" x14ac:dyDescent="0.25">
      <c r="N67" t="str">
        <v>AUTO-O-CAM4</v>
      </c>
      <c r="O67" t="str">
        <v>Autogeneracion con petroleo de CAM4</v>
      </c>
      <c r="P67" t="s">
        <v>9</v>
      </c>
      <c r="Q67" t="s">
        <v>42</v>
      </c>
    </row>
    <row r="68" spans="14:17" x14ac:dyDescent="0.25">
      <c r="N68" t="str">
        <v>AUTO-O-CAM5</v>
      </c>
      <c r="O68" t="str">
        <v>Autogeneracion con petroleo de CAM5</v>
      </c>
      <c r="P68" t="s">
        <v>9</v>
      </c>
      <c r="Q68" t="s">
        <v>42</v>
      </c>
    </row>
    <row r="69" spans="14:17" x14ac:dyDescent="0.25">
      <c r="N69" t="str">
        <v>AUTO-O-CAM6</v>
      </c>
      <c r="O69" t="str">
        <v>Autogeneracion con petroleo de CAM6</v>
      </c>
      <c r="P69" t="s">
        <v>9</v>
      </c>
      <c r="Q69" t="s">
        <v>42</v>
      </c>
    </row>
    <row r="70" spans="14:17" x14ac:dyDescent="0.25">
      <c r="N70" t="str">
        <v>AUTO-O-CAM7</v>
      </c>
      <c r="O70" t="str">
        <v>Autogeneracion con petroleo de CAM7</v>
      </c>
      <c r="P70" t="s">
        <v>9</v>
      </c>
      <c r="Q70" t="s">
        <v>42</v>
      </c>
    </row>
    <row r="71" spans="14:17" x14ac:dyDescent="0.25">
      <c r="N71" t="str">
        <v>AUTO-O-CAM8</v>
      </c>
      <c r="O71" t="str">
        <v>Autogeneracion con petroleo de CAM8</v>
      </c>
      <c r="P71" t="s">
        <v>9</v>
      </c>
      <c r="Q71" t="s">
        <v>42</v>
      </c>
    </row>
    <row r="72" spans="14:17" x14ac:dyDescent="0.25">
      <c r="N72" t="str">
        <v>AUTO-O-CAM9</v>
      </c>
      <c r="O72" t="str">
        <v>Autogeneracion con petroleo de CAM9</v>
      </c>
      <c r="P72" t="s">
        <v>9</v>
      </c>
      <c r="Q72" t="s">
        <v>42</v>
      </c>
    </row>
    <row r="73" spans="14:17" x14ac:dyDescent="0.25">
      <c r="N73" t="str">
        <v>AUTO-O-CAM10</v>
      </c>
      <c r="O73" t="str">
        <v>Autogeneracion con petroleo de CAM10</v>
      </c>
      <c r="P73" t="s">
        <v>9</v>
      </c>
      <c r="Q73" t="s">
        <v>42</v>
      </c>
    </row>
    <row r="74" spans="14:17" x14ac:dyDescent="0.25">
      <c r="N74" t="str" cm="1">
        <f t="array" ref="N74:N79">+"SEP-"&amp;B4:B9</f>
        <v>SEP-CAM1</v>
      </c>
      <c r="O74" t="s">
        <v>945</v>
      </c>
      <c r="P74" t="s">
        <v>9</v>
      </c>
      <c r="Q74" t="s">
        <v>42</v>
      </c>
    </row>
    <row r="75" spans="14:17" x14ac:dyDescent="0.25">
      <c r="N75" t="str">
        <v>SEP-CAM2</v>
      </c>
      <c r="O75" t="s">
        <v>946</v>
      </c>
      <c r="P75" t="s">
        <v>9</v>
      </c>
      <c r="Q75" t="s">
        <v>42</v>
      </c>
    </row>
    <row r="76" spans="14:17" x14ac:dyDescent="0.25">
      <c r="N76" t="str">
        <v>SEP-CAM3</v>
      </c>
      <c r="O76" t="s">
        <v>947</v>
      </c>
      <c r="P76" t="s">
        <v>9</v>
      </c>
      <c r="Q76" t="s">
        <v>42</v>
      </c>
    </row>
    <row r="77" spans="14:17" x14ac:dyDescent="0.25">
      <c r="N77" t="str">
        <v>SEP-CAM4</v>
      </c>
      <c r="O77" t="s">
        <v>948</v>
      </c>
      <c r="P77" t="s">
        <v>9</v>
      </c>
      <c r="Q77" t="s">
        <v>42</v>
      </c>
    </row>
    <row r="78" spans="14:17" x14ac:dyDescent="0.25">
      <c r="N78" t="str">
        <v>SEP-CAM5</v>
      </c>
      <c r="O78" t="s">
        <v>949</v>
      </c>
      <c r="P78" t="s">
        <v>9</v>
      </c>
      <c r="Q78" t="s">
        <v>42</v>
      </c>
    </row>
    <row r="79" spans="14:17" x14ac:dyDescent="0.25">
      <c r="N79" t="str">
        <v>SEP-CAM6</v>
      </c>
      <c r="O79" t="s">
        <v>950</v>
      </c>
      <c r="P79" t="s">
        <v>9</v>
      </c>
      <c r="Q79" t="s">
        <v>42</v>
      </c>
    </row>
    <row r="80" spans="14:17" x14ac:dyDescent="0.25">
      <c r="N80" t="s">
        <v>952</v>
      </c>
      <c r="O80" t="s">
        <v>956</v>
      </c>
      <c r="P80" t="s">
        <v>9</v>
      </c>
      <c r="Q80" t="s">
        <v>42</v>
      </c>
    </row>
    <row r="81" spans="14:17" x14ac:dyDescent="0.25">
      <c r="N81" t="s">
        <v>953</v>
      </c>
      <c r="O81" t="s">
        <v>957</v>
      </c>
      <c r="P81" t="s">
        <v>9</v>
      </c>
      <c r="Q81" t="s">
        <v>42</v>
      </c>
    </row>
    <row r="82" spans="14:17" x14ac:dyDescent="0.25">
      <c r="N82" t="s">
        <v>954</v>
      </c>
      <c r="O82" t="s">
        <v>958</v>
      </c>
      <c r="P82" t="s">
        <v>9</v>
      </c>
      <c r="Q82" t="s">
        <v>42</v>
      </c>
    </row>
    <row r="83" spans="14:17" x14ac:dyDescent="0.25">
      <c r="N83" t="s">
        <v>955</v>
      </c>
      <c r="O83" t="s">
        <v>959</v>
      </c>
      <c r="P83" t="s">
        <v>9</v>
      </c>
      <c r="Q83" t="s">
        <v>42</v>
      </c>
    </row>
    <row r="84" spans="14:17" x14ac:dyDescent="0.25">
      <c r="N84" t="str" cm="1">
        <f t="array" ref="N84:N89">+"PLT-"&amp;B4:B9</f>
        <v>PLT-CAM1</v>
      </c>
      <c r="O84" t="s">
        <v>962</v>
      </c>
      <c r="P84" t="s">
        <v>9</v>
      </c>
      <c r="Q84" t="s">
        <v>42</v>
      </c>
    </row>
    <row r="85" spans="14:17" x14ac:dyDescent="0.25">
      <c r="N85" t="str">
        <v>PLT-CAM2</v>
      </c>
      <c r="O85" t="s">
        <v>963</v>
      </c>
      <c r="P85" t="s">
        <v>9</v>
      </c>
      <c r="Q85" t="s">
        <v>42</v>
      </c>
    </row>
    <row r="86" spans="14:17" x14ac:dyDescent="0.25">
      <c r="N86" t="str">
        <v>PLT-CAM3</v>
      </c>
      <c r="O86" t="s">
        <v>964</v>
      </c>
      <c r="P86" t="s">
        <v>9</v>
      </c>
      <c r="Q86" t="s">
        <v>42</v>
      </c>
    </row>
    <row r="87" spans="14:17" x14ac:dyDescent="0.25">
      <c r="N87" t="str">
        <v>PLT-CAM4</v>
      </c>
      <c r="O87" t="s">
        <v>965</v>
      </c>
      <c r="P87" t="s">
        <v>9</v>
      </c>
      <c r="Q87" t="s">
        <v>42</v>
      </c>
    </row>
    <row r="88" spans="14:17" x14ac:dyDescent="0.25">
      <c r="N88" t="str">
        <v>PLT-CAM5</v>
      </c>
      <c r="O88" t="s">
        <v>966</v>
      </c>
      <c r="P88" t="s">
        <v>9</v>
      </c>
      <c r="Q88" t="s">
        <v>42</v>
      </c>
    </row>
    <row r="89" spans="14:17" x14ac:dyDescent="0.25">
      <c r="N89" t="str">
        <v>PLT-CAM6</v>
      </c>
      <c r="O89" t="s">
        <v>967</v>
      </c>
      <c r="P89" t="s">
        <v>9</v>
      </c>
      <c r="Q89" t="s">
        <v>42</v>
      </c>
    </row>
    <row r="90" spans="14:17" x14ac:dyDescent="0.25">
      <c r="N90" s="547" t="s">
        <v>1001</v>
      </c>
      <c r="O90" s="417" t="s">
        <v>1011</v>
      </c>
      <c r="P90" t="s">
        <v>9</v>
      </c>
      <c r="Q90" t="s">
        <v>42</v>
      </c>
    </row>
    <row r="91" spans="14:17" x14ac:dyDescent="0.25">
      <c r="N91" s="547" t="s">
        <v>1002</v>
      </c>
      <c r="O91" s="417" t="s">
        <v>1012</v>
      </c>
      <c r="P91" t="s">
        <v>9</v>
      </c>
      <c r="Q91" t="s">
        <v>42</v>
      </c>
    </row>
    <row r="92" spans="14:17" x14ac:dyDescent="0.25">
      <c r="N92" s="547" t="s">
        <v>1003</v>
      </c>
      <c r="O92" s="417" t="s">
        <v>1013</v>
      </c>
      <c r="P92" t="s">
        <v>9</v>
      </c>
      <c r="Q92" t="s">
        <v>42</v>
      </c>
    </row>
    <row r="93" spans="14:17" x14ac:dyDescent="0.25">
      <c r="N93" s="547" t="s">
        <v>1004</v>
      </c>
      <c r="O93" s="417" t="s">
        <v>1014</v>
      </c>
      <c r="P93" t="s">
        <v>9</v>
      </c>
      <c r="Q93" t="s">
        <v>42</v>
      </c>
    </row>
    <row r="94" spans="14:17" x14ac:dyDescent="0.25">
      <c r="N94" s="547" t="s">
        <v>1005</v>
      </c>
      <c r="O94" s="417" t="s">
        <v>1015</v>
      </c>
      <c r="P94" t="s">
        <v>9</v>
      </c>
      <c r="Q94" t="s">
        <v>42</v>
      </c>
    </row>
    <row r="95" spans="14:17" x14ac:dyDescent="0.25">
      <c r="N95" s="547" t="s">
        <v>1006</v>
      </c>
      <c r="O95" s="417" t="s">
        <v>1016</v>
      </c>
      <c r="P95" t="s">
        <v>9</v>
      </c>
      <c r="Q95" t="s">
        <v>42</v>
      </c>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zoomScale="145" zoomScaleNormal="145" workbookViewId="0">
      <selection activeCell="I13" sqref="I13"/>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694" t="s">
        <v>277</v>
      </c>
      <c r="G2" s="695"/>
    </row>
    <row r="3" spans="2:41" ht="15" x14ac:dyDescent="0.25">
      <c r="F3" s="212" t="s">
        <v>403</v>
      </c>
      <c r="G3" s="207" t="s">
        <v>404</v>
      </c>
    </row>
    <row r="4" spans="2:41" ht="15" x14ac:dyDescent="0.25">
      <c r="F4" s="213" t="s">
        <v>459</v>
      </c>
      <c r="G4" s="187" t="s">
        <v>281</v>
      </c>
    </row>
    <row r="5" spans="2:41" ht="15" x14ac:dyDescent="0.25">
      <c r="B5" s="243" t="s">
        <v>246</v>
      </c>
      <c r="C5" s="244" t="s">
        <v>488</v>
      </c>
      <c r="D5" s="244" t="s">
        <v>489</v>
      </c>
      <c r="E5" s="245" t="s">
        <v>490</v>
      </c>
      <c r="F5" s="213" t="s">
        <v>470</v>
      </c>
      <c r="G5" s="187" t="s">
        <v>472</v>
      </c>
    </row>
    <row r="6" spans="2:41" ht="15" x14ac:dyDescent="0.25">
      <c r="B6" s="208" t="s">
        <v>405</v>
      </c>
      <c r="C6" s="227" t="s">
        <v>491</v>
      </c>
      <c r="D6" s="222" t="s">
        <v>502</v>
      </c>
      <c r="E6" s="156" t="s">
        <v>51</v>
      </c>
      <c r="F6" s="214">
        <f>E45</f>
        <v>1.0095573442026637</v>
      </c>
      <c r="G6" s="203">
        <f>F45</f>
        <v>55.539114956987063</v>
      </c>
    </row>
    <row r="7" spans="2:41" ht="15" x14ac:dyDescent="0.25">
      <c r="B7" s="209" t="s">
        <v>406</v>
      </c>
      <c r="C7" s="228" t="s">
        <v>492</v>
      </c>
      <c r="D7" s="696" t="s">
        <v>503</v>
      </c>
      <c r="E7" s="145" t="s">
        <v>52</v>
      </c>
      <c r="F7" s="215">
        <f>E46</f>
        <v>6.0871741676095334</v>
      </c>
      <c r="G7" s="204">
        <f>F46</f>
        <v>77.841777688967127</v>
      </c>
      <c r="J7" s="124">
        <f>IF(E62&lt;$S$49,D44*(100%-$Q$49),D44*(100%-$Q$49))</f>
        <v>0</v>
      </c>
    </row>
    <row r="8" spans="2:41" ht="15" x14ac:dyDescent="0.25">
      <c r="B8" s="210" t="s">
        <v>411</v>
      </c>
      <c r="C8" s="229" t="s">
        <v>493</v>
      </c>
      <c r="D8" s="697"/>
      <c r="E8" s="19" t="s">
        <v>67</v>
      </c>
      <c r="F8" s="220"/>
      <c r="G8" s="218"/>
    </row>
    <row r="9" spans="2:41" ht="15" x14ac:dyDescent="0.25">
      <c r="B9" s="211" t="s">
        <v>407</v>
      </c>
      <c r="C9" s="230" t="s">
        <v>493</v>
      </c>
      <c r="D9" s="698"/>
      <c r="E9" s="153" t="s">
        <v>53</v>
      </c>
      <c r="F9" s="221"/>
      <c r="G9" s="219"/>
      <c r="J9" s="124">
        <f>1013*(1000/F7)</f>
        <v>166415.47820173684</v>
      </c>
      <c r="K9" s="124" t="s">
        <v>1028</v>
      </c>
    </row>
    <row r="10" spans="2:41" ht="15" x14ac:dyDescent="0.25">
      <c r="B10" s="209" t="s">
        <v>408</v>
      </c>
      <c r="C10" s="228" t="s">
        <v>494</v>
      </c>
      <c r="D10" s="223" t="s">
        <v>504</v>
      </c>
      <c r="E10" s="145" t="s">
        <v>45</v>
      </c>
      <c r="F10" s="215">
        <f t="shared" ref="F10:G16" si="0">E49</f>
        <v>5.3308987344700309</v>
      </c>
      <c r="G10" s="204">
        <f t="shared" si="0"/>
        <v>69.193827140333724</v>
      </c>
      <c r="J10" s="124">
        <f>+J9/365</f>
        <v>455.93281699105984</v>
      </c>
      <c r="K10" s="124" t="s">
        <v>1028</v>
      </c>
    </row>
    <row r="11" spans="2:41" ht="15" x14ac:dyDescent="0.25">
      <c r="B11" s="210" t="s">
        <v>409</v>
      </c>
      <c r="C11" s="229" t="s">
        <v>495</v>
      </c>
      <c r="D11" s="226" t="s">
        <v>505</v>
      </c>
      <c r="E11" s="19" t="s">
        <v>47</v>
      </c>
      <c r="F11" s="216">
        <f t="shared" si="0"/>
        <v>5.6708498400612823</v>
      </c>
      <c r="G11" s="205">
        <f t="shared" si="0"/>
        <v>75.166375708662926</v>
      </c>
      <c r="AK11" s="124"/>
      <c r="AL11" s="124"/>
      <c r="AM11" s="124"/>
      <c r="AN11" s="124"/>
      <c r="AO11" s="125"/>
    </row>
    <row r="12" spans="2:41" ht="15" x14ac:dyDescent="0.25">
      <c r="B12" s="210" t="s">
        <v>87</v>
      </c>
      <c r="C12" s="229" t="s">
        <v>496</v>
      </c>
      <c r="D12" s="226" t="s">
        <v>506</v>
      </c>
      <c r="E12" s="19" t="s">
        <v>48</v>
      </c>
      <c r="F12" s="216">
        <f t="shared" si="0"/>
        <v>4.7117947967516214</v>
      </c>
      <c r="G12" s="205">
        <f t="shared" si="0"/>
        <v>87.735056011523966</v>
      </c>
      <c r="AK12" s="124"/>
      <c r="AL12" s="124"/>
      <c r="AM12" s="124"/>
      <c r="AN12" s="124"/>
      <c r="AO12" s="125"/>
    </row>
    <row r="13" spans="2:41" ht="15" x14ac:dyDescent="0.25">
      <c r="B13" s="210" t="s">
        <v>410</v>
      </c>
      <c r="C13" s="229" t="s">
        <v>497</v>
      </c>
      <c r="D13" s="224" t="s">
        <v>507</v>
      </c>
      <c r="E13" s="19" t="s">
        <v>49</v>
      </c>
      <c r="F13" s="216">
        <f t="shared" si="0"/>
        <v>4.0562660463586173</v>
      </c>
      <c r="G13" s="205">
        <f t="shared" si="0"/>
        <v>47.28933824683137</v>
      </c>
      <c r="I13" s="38">
        <f>122*1000/F13</f>
        <v>30076.922619393168</v>
      </c>
      <c r="AK13" s="124" t="s">
        <v>555</v>
      </c>
      <c r="AL13" s="124">
        <v>450000</v>
      </c>
      <c r="AM13" s="124" t="s">
        <v>556</v>
      </c>
      <c r="AN13" s="124"/>
      <c r="AO13" s="125"/>
    </row>
    <row r="14" spans="2:41" ht="15" x14ac:dyDescent="0.25">
      <c r="B14" s="211" t="s">
        <v>412</v>
      </c>
      <c r="C14" s="230" t="s">
        <v>498</v>
      </c>
      <c r="D14" s="225" t="s">
        <v>508</v>
      </c>
      <c r="E14" s="153" t="s">
        <v>50</v>
      </c>
      <c r="F14" s="217">
        <f t="shared" si="0"/>
        <v>5.4608206169323079</v>
      </c>
      <c r="G14" s="206">
        <f t="shared" si="0"/>
        <v>78.281203343664757</v>
      </c>
      <c r="AK14" s="124"/>
      <c r="AL14" s="124">
        <f>+AL13*365/1000</f>
        <v>164250</v>
      </c>
      <c r="AM14" s="124" t="s">
        <v>557</v>
      </c>
      <c r="AN14" s="124"/>
      <c r="AO14" s="125"/>
    </row>
    <row r="15" spans="2:41" ht="15" x14ac:dyDescent="0.25">
      <c r="B15" s="209" t="s">
        <v>89</v>
      </c>
      <c r="C15" s="228" t="s">
        <v>499</v>
      </c>
      <c r="D15" s="223" t="s">
        <v>509</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500</v>
      </c>
      <c r="D16" s="225" t="s">
        <v>510</v>
      </c>
      <c r="E16" s="153" t="s">
        <v>44</v>
      </c>
      <c r="F16" s="217">
        <f t="shared" si="0"/>
        <v>5.274111587340502</v>
      </c>
      <c r="G16" s="206">
        <f t="shared" si="0"/>
        <v>54.806487022879928</v>
      </c>
      <c r="AK16" s="124"/>
      <c r="AL16" s="124"/>
      <c r="AM16" s="124"/>
      <c r="AN16" s="124"/>
      <c r="AO16" s="125"/>
    </row>
    <row r="17" spans="2:45" ht="15" x14ac:dyDescent="0.25">
      <c r="B17" s="209" t="s">
        <v>486</v>
      </c>
      <c r="C17" s="239" t="s">
        <v>501</v>
      </c>
      <c r="D17" s="231" t="s">
        <v>512</v>
      </c>
      <c r="E17" s="232" t="s">
        <v>54</v>
      </c>
      <c r="F17" s="192">
        <f>+F15*C22+F10*(1-C22)</f>
        <v>5.1927630695557223</v>
      </c>
      <c r="G17" s="234">
        <f>+G15*C21+G10*(1-C21)</f>
        <v>70.750256038375028</v>
      </c>
      <c r="AK17" s="124"/>
      <c r="AL17" s="124"/>
      <c r="AM17" s="124"/>
      <c r="AN17" s="124"/>
      <c r="AO17" s="125"/>
    </row>
    <row r="18" spans="2:45" ht="15" x14ac:dyDescent="0.25">
      <c r="B18" s="211" t="s">
        <v>413</v>
      </c>
      <c r="C18" s="238" t="s">
        <v>501</v>
      </c>
      <c r="D18" s="238" t="s">
        <v>512</v>
      </c>
      <c r="E18" s="233" t="s">
        <v>55</v>
      </c>
      <c r="F18" s="195">
        <f>+F16*D22+F11*(1-D22)</f>
        <v>5.6336916725609152</v>
      </c>
      <c r="G18" s="235">
        <f>+G16*C22+G11*(1-C22)</f>
        <v>73.993213981551321</v>
      </c>
      <c r="AK18" s="124" t="s">
        <v>558</v>
      </c>
      <c r="AL18" s="124">
        <v>5119</v>
      </c>
      <c r="AM18" s="124" t="s">
        <v>559</v>
      </c>
      <c r="AN18" s="276">
        <f>+AL18*0.0036</f>
        <v>18.4284</v>
      </c>
      <c r="AO18" s="125" t="s">
        <v>9</v>
      </c>
    </row>
    <row r="19" spans="2:45" x14ac:dyDescent="0.2">
      <c r="B19" s="142" t="s">
        <v>481</v>
      </c>
      <c r="AK19" s="124"/>
      <c r="AL19" s="124">
        <v>2300</v>
      </c>
      <c r="AM19" s="124" t="s">
        <v>559</v>
      </c>
      <c r="AN19" s="276">
        <f t="shared" ref="AN19:AN23" si="1">+AL19*0.0036</f>
        <v>8.2799999999999994</v>
      </c>
      <c r="AO19" s="125" t="s">
        <v>9</v>
      </c>
    </row>
    <row r="20" spans="2:45" ht="10.5" customHeight="1" x14ac:dyDescent="0.2">
      <c r="B20" s="236"/>
      <c r="C20" s="236" t="s">
        <v>89</v>
      </c>
      <c r="D20" s="236" t="s">
        <v>90</v>
      </c>
      <c r="AK20" s="124"/>
      <c r="AL20" s="124">
        <f>+AL19+AL18</f>
        <v>7419</v>
      </c>
      <c r="AM20" s="124" t="s">
        <v>559</v>
      </c>
      <c r="AN20" s="276">
        <f t="shared" si="1"/>
        <v>26.708400000000001</v>
      </c>
      <c r="AO20" s="125" t="s">
        <v>9</v>
      </c>
    </row>
    <row r="21" spans="2:45" ht="10.5" customHeight="1" x14ac:dyDescent="0.2">
      <c r="B21" s="236" t="s">
        <v>485</v>
      </c>
      <c r="C21" s="237">
        <v>0.1</v>
      </c>
      <c r="D21" s="237">
        <v>0.1</v>
      </c>
      <c r="AK21" s="124"/>
      <c r="AL21" s="124"/>
      <c r="AM21" s="124"/>
      <c r="AN21" s="276"/>
      <c r="AO21" s="125"/>
    </row>
    <row r="22" spans="2:45" ht="9.75" customHeight="1" x14ac:dyDescent="0.2">
      <c r="B22" s="166" t="s">
        <v>487</v>
      </c>
      <c r="C22" s="168">
        <f>+C21*F15/(C21*F15+(1-C21)*F10)</f>
        <v>5.7621225008503835E-2</v>
      </c>
      <c r="D22" s="168">
        <f>+D21*F16/(D21*F16+(1-D21)*F11)</f>
        <v>9.3659149944684009E-2</v>
      </c>
      <c r="AK22" s="124" t="s">
        <v>560</v>
      </c>
      <c r="AL22" s="124">
        <v>3031</v>
      </c>
      <c r="AM22" s="124" t="s">
        <v>559</v>
      </c>
      <c r="AN22" s="276">
        <f t="shared" si="1"/>
        <v>10.9116</v>
      </c>
      <c r="AO22" s="125" t="s">
        <v>9</v>
      </c>
    </row>
    <row r="23" spans="2:45" x14ac:dyDescent="0.2">
      <c r="AK23" s="124"/>
      <c r="AL23" s="124">
        <v>1646</v>
      </c>
      <c r="AM23" s="124" t="s">
        <v>559</v>
      </c>
      <c r="AN23" s="276">
        <f t="shared" si="1"/>
        <v>5.9256000000000002</v>
      </c>
      <c r="AO23" s="125" t="s">
        <v>9</v>
      </c>
    </row>
    <row r="24" spans="2:45" x14ac:dyDescent="0.2">
      <c r="B24" s="241" t="s">
        <v>513</v>
      </c>
      <c r="C24" s="158" t="s">
        <v>516</v>
      </c>
      <c r="D24" s="158" t="s">
        <v>516</v>
      </c>
      <c r="E24" s="241" t="s">
        <v>518</v>
      </c>
      <c r="F24" s="246">
        <v>4.7615165047769556</v>
      </c>
      <c r="G24" s="247">
        <f>56337.8123815025/1000</f>
        <v>56.337812381502502</v>
      </c>
      <c r="AK24" s="124"/>
      <c r="AL24" s="124"/>
      <c r="AM24" s="124"/>
      <c r="AN24" s="276">
        <f>+AN22+AN23</f>
        <v>16.837199999999999</v>
      </c>
      <c r="AO24" s="125" t="s">
        <v>9</v>
      </c>
    </row>
    <row r="25" spans="2:45" x14ac:dyDescent="0.2">
      <c r="B25" s="242" t="s">
        <v>514</v>
      </c>
      <c r="C25" s="159" t="s">
        <v>517</v>
      </c>
      <c r="D25" s="159" t="s">
        <v>511</v>
      </c>
      <c r="E25" s="242" t="s">
        <v>515</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561</v>
      </c>
      <c r="AL27" s="277">
        <f>+AN24/AL15</f>
        <v>1.6840258914647084E-2</v>
      </c>
      <c r="AM27" s="124" t="s">
        <v>562</v>
      </c>
      <c r="AN27" s="124"/>
      <c r="AO27" s="125"/>
    </row>
    <row r="28" spans="2:45" ht="15" x14ac:dyDescent="0.25">
      <c r="B28" s="38" t="s">
        <v>536</v>
      </c>
      <c r="E28" s="38" t="s">
        <v>538</v>
      </c>
      <c r="F28" s="190">
        <f>+F15*C32+F10*(1-C32)</f>
        <v>5.1186992628422185</v>
      </c>
      <c r="G28" s="234">
        <f>+G15*C32+G10*(1-C32)</f>
        <v>70.571513150623119</v>
      </c>
      <c r="AK28" s="124"/>
      <c r="AL28" s="124"/>
      <c r="AM28" s="124"/>
      <c r="AN28" s="124"/>
      <c r="AO28" s="125"/>
    </row>
    <row r="29" spans="2:45" ht="15" x14ac:dyDescent="0.25">
      <c r="B29" s="38" t="s">
        <v>537</v>
      </c>
      <c r="E29" s="38" t="s">
        <v>539</v>
      </c>
      <c r="F29" s="195">
        <f>+F16*D32+F11*(1-D32)</f>
        <v>5.6149155493940253</v>
      </c>
      <c r="G29" s="235">
        <f>+G16*D32+G11*(1-D32)</f>
        <v>72.295929201693298</v>
      </c>
      <c r="AK29" s="124"/>
      <c r="AL29" s="124"/>
      <c r="AM29" s="124"/>
      <c r="AN29" s="124"/>
      <c r="AO29" s="125"/>
      <c r="AP29" s="38" t="s">
        <v>566</v>
      </c>
    </row>
    <row r="30" spans="2:45" x14ac:dyDescent="0.2">
      <c r="B30" s="236"/>
      <c r="C30" s="236" t="s">
        <v>89</v>
      </c>
      <c r="D30" s="236" t="s">
        <v>90</v>
      </c>
      <c r="AK30" s="124" t="s">
        <v>563</v>
      </c>
      <c r="AL30" s="275">
        <f>3400/31</f>
        <v>109.6774193548387</v>
      </c>
      <c r="AM30" s="124" t="s">
        <v>564</v>
      </c>
      <c r="AN30" s="278">
        <f>+AL30*$F$6/1000</f>
        <v>0.11072564420287279</v>
      </c>
      <c r="AO30" s="125" t="s">
        <v>9</v>
      </c>
      <c r="AP30" s="279">
        <f>+AN30*$G$6</f>
        <v>6.1496042820697996</v>
      </c>
      <c r="AQ30" s="38" t="s">
        <v>100</v>
      </c>
    </row>
    <row r="31" spans="2:45" x14ac:dyDescent="0.2">
      <c r="B31" s="236" t="s">
        <v>485</v>
      </c>
      <c r="C31" s="237">
        <v>0.15</v>
      </c>
      <c r="D31" s="237">
        <v>0.15</v>
      </c>
      <c r="AK31" s="124"/>
      <c r="AL31" s="275">
        <f>+AL30*365</f>
        <v>40032.258064516129</v>
      </c>
      <c r="AM31" s="124" t="s">
        <v>264</v>
      </c>
      <c r="AN31" s="278">
        <f>+AL31*$F$6/1000</f>
        <v>40.414860134048567</v>
      </c>
      <c r="AO31" s="125" t="s">
        <v>9</v>
      </c>
      <c r="AP31" s="279">
        <f>+AN31*$G$6</f>
        <v>2244.6055629554771</v>
      </c>
      <c r="AQ31" s="38" t="s">
        <v>100</v>
      </c>
      <c r="AR31" s="280">
        <f>+AN31*0.35/0.0036</f>
        <v>3929.2225130324991</v>
      </c>
      <c r="AS31" s="38" t="s">
        <v>559</v>
      </c>
    </row>
    <row r="32" spans="2:45" x14ac:dyDescent="0.2">
      <c r="B32" s="166" t="s">
        <v>487</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649</v>
      </c>
      <c r="AK34" s="124" t="s">
        <v>565</v>
      </c>
      <c r="AL34" s="274">
        <f>825/31</f>
        <v>26.612903225806452</v>
      </c>
      <c r="AM34" s="124" t="s">
        <v>564</v>
      </c>
      <c r="AN34" s="278">
        <f>+AL34*$F$6/1000</f>
        <v>2.6867251902167662E-2</v>
      </c>
      <c r="AO34" s="125" t="s">
        <v>9</v>
      </c>
      <c r="AP34" s="279">
        <f>+AN34*$G$6</f>
        <v>1.4921833919728191</v>
      </c>
      <c r="AQ34" s="38" t="s">
        <v>100</v>
      </c>
    </row>
    <row r="35" spans="2:43" x14ac:dyDescent="0.2">
      <c r="AK35" s="124"/>
      <c r="AL35" s="274">
        <f>+AL34/365</f>
        <v>7.2912063632346438E-2</v>
      </c>
      <c r="AM35" s="124" t="s">
        <v>264</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722" t="s">
        <v>277</v>
      </c>
      <c r="F41" s="723"/>
      <c r="G41" s="722" t="s">
        <v>483</v>
      </c>
      <c r="H41" s="725"/>
      <c r="I41" s="725"/>
      <c r="J41" s="725"/>
      <c r="K41" s="725"/>
      <c r="L41" s="725"/>
      <c r="M41" s="725"/>
      <c r="N41" s="723"/>
    </row>
    <row r="42" spans="2:43" ht="15" x14ac:dyDescent="0.25">
      <c r="B42"/>
      <c r="C42"/>
      <c r="D42"/>
      <c r="E42" s="175" t="s">
        <v>403</v>
      </c>
      <c r="F42" s="186" t="s">
        <v>404</v>
      </c>
      <c r="G42" s="172"/>
      <c r="K42" s="724" t="s">
        <v>330</v>
      </c>
      <c r="L42" s="724"/>
      <c r="M42" s="724"/>
      <c r="N42" s="174"/>
    </row>
    <row r="43" spans="2:43" ht="15" x14ac:dyDescent="0.25">
      <c r="D43" s="20"/>
      <c r="E43" s="175" t="s">
        <v>459</v>
      </c>
      <c r="F43" s="187" t="s">
        <v>281</v>
      </c>
      <c r="G43" s="172"/>
      <c r="K43" s="124">
        <v>1</v>
      </c>
      <c r="L43" s="124">
        <v>28</v>
      </c>
      <c r="M43" s="124">
        <v>265</v>
      </c>
      <c r="N43" s="174"/>
    </row>
    <row r="44" spans="2:43" ht="15" x14ac:dyDescent="0.25">
      <c r="B44" s="121" t="s">
        <v>246</v>
      </c>
      <c r="C44" s="121" t="s">
        <v>402</v>
      </c>
      <c r="D44" s="20"/>
      <c r="E44" s="175" t="s">
        <v>470</v>
      </c>
      <c r="F44" s="187" t="s">
        <v>472</v>
      </c>
      <c r="G44" s="175" t="s">
        <v>470</v>
      </c>
      <c r="I44" s="38" t="s">
        <v>350</v>
      </c>
      <c r="J44" s="176" t="s">
        <v>484</v>
      </c>
      <c r="K44" s="173" t="s">
        <v>398</v>
      </c>
      <c r="L44" s="173" t="s">
        <v>399</v>
      </c>
      <c r="M44" s="173" t="s">
        <v>400</v>
      </c>
      <c r="N44" s="177" t="s">
        <v>471</v>
      </c>
    </row>
    <row r="45" spans="2:43" ht="15" x14ac:dyDescent="0.25">
      <c r="B45" s="102" t="s">
        <v>405</v>
      </c>
      <c r="C45" s="155" t="s">
        <v>464</v>
      </c>
      <c r="D45" s="156" t="s">
        <v>51</v>
      </c>
      <c r="E45" s="188">
        <f>+G111</f>
        <v>1.0095573442026637</v>
      </c>
      <c r="F45" s="189">
        <f>+L111*1000</f>
        <v>55.539114956987063</v>
      </c>
      <c r="G45" s="178">
        <v>1.0095573442026637</v>
      </c>
      <c r="H45" s="161" t="s">
        <v>473</v>
      </c>
      <c r="I45" s="157">
        <f>47.6420911660953*1000</f>
        <v>47642.091166095299</v>
      </c>
      <c r="J45" s="165" t="s">
        <v>482</v>
      </c>
      <c r="K45" s="124">
        <v>55539.086900000002</v>
      </c>
      <c r="L45" s="124">
        <v>1</v>
      </c>
      <c r="M45" s="124">
        <v>0.1</v>
      </c>
      <c r="N45" s="179">
        <f>+SUMPRODUCT($K$43:$M$43,K45:M45)/1000</f>
        <v>55.593586900000005</v>
      </c>
    </row>
    <row r="46" spans="2:43" ht="15" x14ac:dyDescent="0.25">
      <c r="B46" s="143" t="s">
        <v>406</v>
      </c>
      <c r="C46" s="144" t="s">
        <v>463</v>
      </c>
      <c r="D46" s="145" t="s">
        <v>52</v>
      </c>
      <c r="E46" s="713">
        <f>+G114</f>
        <v>6.0871741676095334</v>
      </c>
      <c r="F46" s="716">
        <f>+L114*1000</f>
        <v>77.841777688967127</v>
      </c>
      <c r="G46" s="707">
        <v>6.0871741676095334</v>
      </c>
      <c r="H46" s="710" t="s">
        <v>473</v>
      </c>
      <c r="I46" s="710">
        <v>40670.462586675276</v>
      </c>
      <c r="J46" s="719" t="s">
        <v>479</v>
      </c>
      <c r="K46" s="124">
        <v>77841.778000000006</v>
      </c>
      <c r="L46" s="124">
        <v>3</v>
      </c>
      <c r="M46" s="124">
        <v>0.6</v>
      </c>
      <c r="N46" s="179">
        <f>+SUMPRODUCT($K$43:$M$43,K46:M46)/1000</f>
        <v>78.084778</v>
      </c>
    </row>
    <row r="47" spans="2:43" ht="15" x14ac:dyDescent="0.25">
      <c r="B47" s="148" t="s">
        <v>411</v>
      </c>
      <c r="C47" t="s">
        <v>463</v>
      </c>
      <c r="D47" s="19" t="s">
        <v>67</v>
      </c>
      <c r="E47" s="714"/>
      <c r="F47" s="717"/>
      <c r="G47" s="708"/>
      <c r="H47" s="711"/>
      <c r="I47" s="711"/>
      <c r="J47" s="720"/>
      <c r="N47" s="179"/>
    </row>
    <row r="48" spans="2:43" ht="15" x14ac:dyDescent="0.25">
      <c r="B48" s="151" t="s">
        <v>407</v>
      </c>
      <c r="C48" s="152" t="s">
        <v>463</v>
      </c>
      <c r="D48" s="153" t="s">
        <v>53</v>
      </c>
      <c r="E48" s="715"/>
      <c r="F48" s="718"/>
      <c r="G48" s="709"/>
      <c r="H48" s="712"/>
      <c r="I48" s="712"/>
      <c r="J48" s="721"/>
      <c r="N48" s="179"/>
    </row>
    <row r="49" spans="2:14" ht="15" x14ac:dyDescent="0.25">
      <c r="B49" s="143" t="s">
        <v>408</v>
      </c>
      <c r="C49" s="144" t="s">
        <v>462</v>
      </c>
      <c r="D49" s="145" t="s">
        <v>45</v>
      </c>
      <c r="E49" s="190">
        <f>+G134</f>
        <v>5.3308987344700309</v>
      </c>
      <c r="F49" s="191">
        <f>+L134*1000</f>
        <v>69.193827140333724</v>
      </c>
      <c r="G49" s="180">
        <v>5.336650070123496</v>
      </c>
      <c r="H49" s="162" t="s">
        <v>473</v>
      </c>
      <c r="I49" s="158">
        <v>45329.53267685703</v>
      </c>
      <c r="J49" s="147" t="s">
        <v>477</v>
      </c>
      <c r="K49" s="124">
        <v>69323.686000000002</v>
      </c>
      <c r="L49" s="124">
        <v>3</v>
      </c>
      <c r="M49" s="124">
        <v>0.6</v>
      </c>
      <c r="N49" s="179">
        <f t="shared" ref="N49:N55" si="2">+SUMPRODUCT($K$43:$M$43,K49:M49)/1000</f>
        <v>69.566686000000004</v>
      </c>
    </row>
    <row r="50" spans="2:14" ht="15" x14ac:dyDescent="0.25">
      <c r="B50" s="148" t="s">
        <v>409</v>
      </c>
      <c r="C50" t="s">
        <v>461</v>
      </c>
      <c r="D50" s="19" t="s">
        <v>47</v>
      </c>
      <c r="E50" s="192">
        <f>+G128</f>
        <v>5.6708498400612823</v>
      </c>
      <c r="F50" s="193">
        <f>+L128*1000</f>
        <v>75.166375708662926</v>
      </c>
      <c r="G50" s="181">
        <v>5.7452112402404705</v>
      </c>
      <c r="H50" s="163" t="s">
        <v>474</v>
      </c>
      <c r="I50" s="38">
        <v>42418.466233751533</v>
      </c>
      <c r="J50" s="150" t="s">
        <v>478</v>
      </c>
      <c r="K50" s="124">
        <v>74193.482999999993</v>
      </c>
      <c r="L50" s="124">
        <v>1</v>
      </c>
      <c r="M50" s="124">
        <v>0.6</v>
      </c>
      <c r="N50" s="179">
        <f t="shared" si="2"/>
        <v>74.380482999999998</v>
      </c>
    </row>
    <row r="51" spans="2:14" ht="15" x14ac:dyDescent="0.25">
      <c r="B51" s="148" t="s">
        <v>87</v>
      </c>
      <c r="C51" t="s">
        <v>460</v>
      </c>
      <c r="D51" s="19" t="s">
        <v>48</v>
      </c>
      <c r="E51" s="194">
        <f>+G136</f>
        <v>4.7117947967516214</v>
      </c>
      <c r="F51" s="193">
        <f>+L136*1000</f>
        <v>87.735056011523966</v>
      </c>
      <c r="G51" s="181">
        <v>4.672084636568222</v>
      </c>
      <c r="H51" s="163" t="s">
        <v>474</v>
      </c>
      <c r="I51" s="38">
        <v>35576.910585045494</v>
      </c>
      <c r="J51" s="150" t="s">
        <v>358</v>
      </c>
      <c r="K51" s="124">
        <v>88461.130999999994</v>
      </c>
      <c r="L51" s="124">
        <v>3</v>
      </c>
      <c r="M51" s="124">
        <v>0.6</v>
      </c>
      <c r="N51" s="179">
        <f t="shared" si="2"/>
        <v>88.70413099999999</v>
      </c>
    </row>
    <row r="52" spans="2:14" ht="15" x14ac:dyDescent="0.25">
      <c r="B52" s="148" t="s">
        <v>410</v>
      </c>
      <c r="C52" t="s">
        <v>466</v>
      </c>
      <c r="D52" s="19" t="s">
        <v>49</v>
      </c>
      <c r="E52" s="192">
        <f>+G133</f>
        <v>4.0562660463586173</v>
      </c>
      <c r="F52" s="193">
        <f>+L133*1000</f>
        <v>47.28933824683137</v>
      </c>
      <c r="G52" s="181">
        <v>4.0562660463586173</v>
      </c>
      <c r="H52" s="163" t="s">
        <v>473</v>
      </c>
      <c r="I52" s="38">
        <v>45989.410956446904</v>
      </c>
      <c r="J52" s="150" t="s">
        <v>480</v>
      </c>
      <c r="K52" s="124">
        <v>67185.115000000005</v>
      </c>
      <c r="L52" s="124">
        <v>1</v>
      </c>
      <c r="M52" s="124">
        <v>0.1</v>
      </c>
      <c r="N52" s="179">
        <f t="shared" si="2"/>
        <v>67.239615000000001</v>
      </c>
    </row>
    <row r="53" spans="2:14" ht="15" x14ac:dyDescent="0.25">
      <c r="B53" s="148" t="s">
        <v>412</v>
      </c>
      <c r="C53" t="s">
        <v>465</v>
      </c>
      <c r="D53" s="19" t="s">
        <v>50</v>
      </c>
      <c r="E53" s="192">
        <f>+G131</f>
        <v>5.4608206169323079</v>
      </c>
      <c r="F53" s="193">
        <f>+L131*1000</f>
        <v>78.281203343664757</v>
      </c>
      <c r="G53" s="181">
        <v>5.4608206169323079</v>
      </c>
      <c r="H53" s="163" t="s">
        <v>473</v>
      </c>
      <c r="I53" s="38">
        <v>40442.162000000004</v>
      </c>
      <c r="J53" s="150" t="s">
        <v>475</v>
      </c>
      <c r="K53" s="124">
        <v>78281.202999999994</v>
      </c>
      <c r="L53" s="124">
        <v>3</v>
      </c>
      <c r="M53" s="124">
        <v>0.6</v>
      </c>
      <c r="N53" s="179">
        <f t="shared" si="2"/>
        <v>78.524203</v>
      </c>
    </row>
    <row r="54" spans="2:14" ht="15" x14ac:dyDescent="0.25">
      <c r="B54" s="143" t="s">
        <v>89</v>
      </c>
      <c r="C54" s="144" t="s">
        <v>467</v>
      </c>
      <c r="D54" s="145" t="s">
        <v>43</v>
      </c>
      <c r="E54" s="190">
        <f>+G124</f>
        <v>2.9335934898501512</v>
      </c>
      <c r="F54" s="191">
        <f>+L124*1000</f>
        <v>84.75811612074672</v>
      </c>
      <c r="G54" s="180">
        <v>2.9335934898501512</v>
      </c>
      <c r="H54" s="162" t="s">
        <v>473</v>
      </c>
      <c r="I54" s="158">
        <v>22480.19962297516</v>
      </c>
      <c r="J54" s="147" t="s">
        <v>401</v>
      </c>
      <c r="K54" s="124">
        <v>84758.115999999995</v>
      </c>
      <c r="L54" s="124">
        <v>3</v>
      </c>
      <c r="M54" s="124">
        <v>0.6</v>
      </c>
      <c r="N54" s="179">
        <f t="shared" si="2"/>
        <v>85.001115999999996</v>
      </c>
    </row>
    <row r="55" spans="2:14" ht="15" x14ac:dyDescent="0.25">
      <c r="B55" s="151" t="s">
        <v>90</v>
      </c>
      <c r="C55" s="152" t="s">
        <v>468</v>
      </c>
      <c r="D55" s="153" t="s">
        <v>44</v>
      </c>
      <c r="E55" s="195">
        <f>+G125</f>
        <v>5.274111587340502</v>
      </c>
      <c r="F55" s="196">
        <f>+L125*1000</f>
        <v>54.806487022879928</v>
      </c>
      <c r="G55" s="182">
        <v>5.274111587340502</v>
      </c>
      <c r="H55" s="164" t="s">
        <v>473</v>
      </c>
      <c r="I55" s="159">
        <v>37907.854789510107</v>
      </c>
      <c r="J55" s="154" t="s">
        <v>476</v>
      </c>
      <c r="K55" s="124">
        <v>54806.487000000001</v>
      </c>
      <c r="L55" s="124">
        <v>3</v>
      </c>
      <c r="M55" s="124">
        <v>0.6</v>
      </c>
      <c r="N55" s="179">
        <f t="shared" si="2"/>
        <v>55.049486999999999</v>
      </c>
    </row>
    <row r="56" spans="2:14" ht="15" x14ac:dyDescent="0.25">
      <c r="B56" t="s">
        <v>486</v>
      </c>
      <c r="C56" t="s">
        <v>469</v>
      </c>
      <c r="D56" s="68" t="s">
        <v>54</v>
      </c>
      <c r="E56" s="192">
        <f>+E54*C61+E49*(1-C61)</f>
        <v>5.1927630695557223</v>
      </c>
      <c r="F56" s="197">
        <f>+F54*D60+F49*(1-D60)</f>
        <v>70.750256038375028</v>
      </c>
      <c r="G56" s="201">
        <v>4.7913520938098202</v>
      </c>
      <c r="H56" s="146" t="s">
        <v>474</v>
      </c>
      <c r="I56" s="146">
        <v>40659.333347540545</v>
      </c>
      <c r="J56" s="147" t="s">
        <v>366</v>
      </c>
      <c r="N56" s="174"/>
    </row>
    <row r="57" spans="2:14" ht="15" x14ac:dyDescent="0.25">
      <c r="B57" t="s">
        <v>413</v>
      </c>
      <c r="C57" t="s">
        <v>469</v>
      </c>
      <c r="D57" s="68" t="s">
        <v>55</v>
      </c>
      <c r="E57" s="195">
        <f>+E55*D61+E50*(1-D61)</f>
        <v>5.6336916725609152</v>
      </c>
      <c r="F57" s="198">
        <f>+F55*D61+F50*(1-D61)</f>
        <v>73.259485841384091</v>
      </c>
      <c r="G57" s="183"/>
      <c r="H57" s="159"/>
      <c r="I57" s="159"/>
      <c r="J57" s="160"/>
      <c r="K57" s="184"/>
      <c r="L57" s="184"/>
      <c r="M57" s="184"/>
      <c r="N57" s="185"/>
    </row>
    <row r="58" spans="2:14" x14ac:dyDescent="0.2">
      <c r="B58" s="142" t="s">
        <v>481</v>
      </c>
    </row>
    <row r="59" spans="2:14" x14ac:dyDescent="0.2">
      <c r="B59" s="166"/>
      <c r="C59" s="166" t="s">
        <v>89</v>
      </c>
      <c r="D59" s="166" t="s">
        <v>90</v>
      </c>
    </row>
    <row r="60" spans="2:14" x14ac:dyDescent="0.2">
      <c r="B60" s="166" t="s">
        <v>485</v>
      </c>
      <c r="C60" s="167">
        <v>0.1</v>
      </c>
      <c r="D60" s="167">
        <v>0.1</v>
      </c>
    </row>
    <row r="61" spans="2:14" x14ac:dyDescent="0.2">
      <c r="B61" s="166" t="s">
        <v>487</v>
      </c>
      <c r="C61" s="168">
        <f>+C60*E54/(C60*E54+(1-C60)*E49)</f>
        <v>5.7621225008503835E-2</v>
      </c>
      <c r="D61" s="168">
        <f>+D60*E55/(D60*E55+(1-D60)*E50)</f>
        <v>9.3659149944684009E-2</v>
      </c>
    </row>
    <row r="97" spans="2:23" x14ac:dyDescent="0.2">
      <c r="D97" s="456"/>
    </row>
    <row r="98" spans="2:23" ht="15" x14ac:dyDescent="0.25">
      <c r="N98" s="1">
        <v>24843</v>
      </c>
      <c r="O98" s="1" t="s">
        <v>702</v>
      </c>
    </row>
    <row r="99" spans="2:23" x14ac:dyDescent="0.2">
      <c r="K99" s="124" t="s">
        <v>701</v>
      </c>
      <c r="N99" s="125">
        <f>+N98*12000</f>
        <v>298116000</v>
      </c>
      <c r="O99" s="38" t="s">
        <v>452</v>
      </c>
    </row>
    <row r="100" spans="2:23" x14ac:dyDescent="0.2">
      <c r="H100" s="38" t="s">
        <v>703</v>
      </c>
      <c r="I100" s="38">
        <f>27934768*1000</f>
        <v>27934768000</v>
      </c>
      <c r="J100" s="124" t="s">
        <v>700</v>
      </c>
      <c r="N100" s="125">
        <f>+N99/(1000000000)</f>
        <v>0.29811599999999999</v>
      </c>
      <c r="O100" s="38" t="s">
        <v>254</v>
      </c>
    </row>
    <row r="101" spans="2:23" x14ac:dyDescent="0.2">
      <c r="I101" s="38">
        <f>+I100*1000</f>
        <v>27934768000000</v>
      </c>
      <c r="J101" s="124" t="s">
        <v>452</v>
      </c>
      <c r="N101" s="125">
        <f>+N100*G109/J109</f>
        <v>0.31452907449600004</v>
      </c>
      <c r="O101" s="38" t="s">
        <v>251</v>
      </c>
    </row>
    <row r="102" spans="2:23" ht="15" x14ac:dyDescent="0.25">
      <c r="B102" s="123" t="s">
        <v>414</v>
      </c>
      <c r="I102" s="38">
        <f>+I101/(1000000000)</f>
        <v>27934.768</v>
      </c>
      <c r="J102" s="124" t="s">
        <v>254</v>
      </c>
      <c r="N102" s="125">
        <f>+N101/1000</f>
        <v>3.1452907449600005E-4</v>
      </c>
      <c r="O102" s="38" t="s">
        <v>9</v>
      </c>
    </row>
    <row r="103" spans="2:23" x14ac:dyDescent="0.2">
      <c r="I103" s="38">
        <f>+I102*G109/J109</f>
        <v>29472.744587008008</v>
      </c>
      <c r="J103" s="124" t="s">
        <v>251</v>
      </c>
      <c r="P103" s="38">
        <v>186633</v>
      </c>
    </row>
    <row r="104" spans="2:23" x14ac:dyDescent="0.2">
      <c r="B104" s="126" t="s">
        <v>415</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702" t="s">
        <v>244</v>
      </c>
      <c r="C106" s="703"/>
      <c r="D106" s="703"/>
      <c r="E106" s="703"/>
      <c r="F106" s="703"/>
      <c r="G106" s="703"/>
      <c r="H106" s="703"/>
      <c r="I106" s="703"/>
      <c r="J106" s="703"/>
      <c r="K106" s="703"/>
      <c r="L106" s="704"/>
      <c r="M106" s="133"/>
      <c r="N106" s="133"/>
      <c r="P106" s="38">
        <f>+P105/42</f>
        <v>833563.54687623237</v>
      </c>
    </row>
    <row r="107" spans="2:23" ht="12.75" customHeight="1" x14ac:dyDescent="0.2">
      <c r="B107" s="76" t="s">
        <v>245</v>
      </c>
      <c r="C107" s="77" t="s">
        <v>246</v>
      </c>
      <c r="D107" s="699" t="s">
        <v>247</v>
      </c>
      <c r="E107" s="700"/>
      <c r="F107" s="700"/>
      <c r="G107" s="700"/>
      <c r="H107" s="700"/>
      <c r="I107" s="700"/>
      <c r="J107" s="701"/>
      <c r="K107" s="80" t="s">
        <v>248</v>
      </c>
      <c r="L107" s="81"/>
      <c r="M107" s="134"/>
      <c r="N107" s="134"/>
    </row>
    <row r="108" spans="2:23" ht="24" x14ac:dyDescent="0.2">
      <c r="B108" s="76"/>
      <c r="C108" s="76"/>
      <c r="D108" s="82" t="s">
        <v>249</v>
      </c>
      <c r="E108" s="82" t="s">
        <v>249</v>
      </c>
      <c r="F108" s="82" t="s">
        <v>250</v>
      </c>
      <c r="G108" s="82" t="s">
        <v>251</v>
      </c>
      <c r="H108" s="82" t="s">
        <v>252</v>
      </c>
      <c r="I108" s="82" t="s">
        <v>253</v>
      </c>
      <c r="J108" s="82" t="s">
        <v>254</v>
      </c>
      <c r="K108" s="82" t="s">
        <v>255</v>
      </c>
      <c r="L108" s="82" t="s">
        <v>256</v>
      </c>
      <c r="M108" s="134"/>
      <c r="N108" s="134"/>
      <c r="S108" s="38" t="s">
        <v>416</v>
      </c>
      <c r="T108" s="38" t="s">
        <v>417</v>
      </c>
    </row>
    <row r="109" spans="2:23" x14ac:dyDescent="0.2">
      <c r="B109" s="83" t="s">
        <v>257</v>
      </c>
      <c r="C109" s="84" t="s">
        <v>258</v>
      </c>
      <c r="D109" s="85" t="s">
        <v>259</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418</v>
      </c>
      <c r="N109" s="86" t="s">
        <v>419</v>
      </c>
      <c r="O109" s="435">
        <f>+G109/J109</f>
        <v>1.0550560000000002</v>
      </c>
      <c r="R109" s="83" t="s">
        <v>257</v>
      </c>
      <c r="S109" s="38">
        <f>N203</f>
        <v>750</v>
      </c>
      <c r="T109" s="38">
        <v>1240</v>
      </c>
    </row>
    <row r="110" spans="2:23" x14ac:dyDescent="0.2">
      <c r="B110" s="88" t="s">
        <v>260</v>
      </c>
      <c r="C110" s="89" t="s">
        <v>261</v>
      </c>
      <c r="D110" s="90" t="s">
        <v>259</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418</v>
      </c>
      <c r="N110" s="91" t="s">
        <v>420</v>
      </c>
      <c r="R110" s="88" t="s">
        <v>260</v>
      </c>
      <c r="S110" s="38">
        <f>N192</f>
        <v>25</v>
      </c>
      <c r="T110" s="38">
        <v>465</v>
      </c>
    </row>
    <row r="111" spans="2:23" x14ac:dyDescent="0.2">
      <c r="B111" s="83" t="s">
        <v>262</v>
      </c>
      <c r="C111" s="84" t="s">
        <v>263</v>
      </c>
      <c r="D111" s="85" t="s">
        <v>264</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418</v>
      </c>
      <c r="N111" s="86" t="s">
        <v>420</v>
      </c>
      <c r="O111" s="38" t="s">
        <v>421</v>
      </c>
      <c r="P111" s="129">
        <f>H111*1000000/H143</f>
        <v>9.9033845712759661</v>
      </c>
      <c r="Q111" s="129"/>
      <c r="R111" s="83" t="s">
        <v>262</v>
      </c>
      <c r="S111" s="38">
        <f>N166</f>
        <v>25</v>
      </c>
      <c r="T111" s="38">
        <v>31</v>
      </c>
    </row>
    <row r="112" spans="2:23" x14ac:dyDescent="0.2">
      <c r="B112" s="88" t="s">
        <v>265</v>
      </c>
      <c r="C112" s="89" t="s">
        <v>266</v>
      </c>
      <c r="D112" s="90" t="s">
        <v>252</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418</v>
      </c>
      <c r="N112" s="91" t="s">
        <v>419</v>
      </c>
      <c r="R112" s="88" t="s">
        <v>265</v>
      </c>
      <c r="S112" s="38">
        <v>0</v>
      </c>
      <c r="T112" s="38">
        <v>0</v>
      </c>
    </row>
    <row r="113" spans="2:20" x14ac:dyDescent="0.2">
      <c r="B113" s="83" t="s">
        <v>267</v>
      </c>
      <c r="C113" s="84" t="s">
        <v>268</v>
      </c>
      <c r="D113" s="85" t="s">
        <v>259</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418</v>
      </c>
      <c r="N113" s="86" t="s">
        <v>419</v>
      </c>
      <c r="R113" s="83" t="s">
        <v>267</v>
      </c>
      <c r="S113" s="38">
        <f>N210</f>
        <v>750</v>
      </c>
      <c r="T113" s="38">
        <v>1240</v>
      </c>
    </row>
    <row r="114" spans="2:20" x14ac:dyDescent="0.2">
      <c r="B114" s="88" t="s">
        <v>269</v>
      </c>
      <c r="C114" s="89" t="s">
        <v>270</v>
      </c>
      <c r="D114" s="90" t="s">
        <v>271</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418</v>
      </c>
      <c r="N114" s="91" t="s">
        <v>420</v>
      </c>
      <c r="R114" s="88" t="s">
        <v>269</v>
      </c>
      <c r="S114" s="38">
        <v>75</v>
      </c>
      <c r="T114" s="38">
        <v>186</v>
      </c>
    </row>
    <row r="115" spans="2:20" x14ac:dyDescent="0.2">
      <c r="B115" s="83" t="s">
        <v>273</v>
      </c>
      <c r="C115" s="84" t="s">
        <v>274</v>
      </c>
      <c r="D115" s="85" t="s">
        <v>251</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418</v>
      </c>
      <c r="N115" s="86" t="s">
        <v>419</v>
      </c>
      <c r="R115" s="83" t="s">
        <v>273</v>
      </c>
      <c r="S115" s="38">
        <f>N212</f>
        <v>750</v>
      </c>
      <c r="T115" s="38">
        <v>0.31</v>
      </c>
    </row>
    <row r="116" spans="2:20" x14ac:dyDescent="0.2">
      <c r="B116" s="93" t="s">
        <v>275</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275</v>
      </c>
      <c r="S116" s="38">
        <v>750</v>
      </c>
      <c r="T116" s="38">
        <v>1240</v>
      </c>
    </row>
    <row r="117" spans="2:20" x14ac:dyDescent="0.2">
      <c r="B117" s="98"/>
      <c r="C117" s="99" t="s">
        <v>276</v>
      </c>
      <c r="D117" s="90" t="s">
        <v>259</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418</v>
      </c>
      <c r="N117" s="91" t="s">
        <v>419</v>
      </c>
      <c r="R117" s="98"/>
    </row>
    <row r="118" spans="2:20" x14ac:dyDescent="0.2">
      <c r="B118" s="100"/>
      <c r="C118" s="101" t="s">
        <v>278</v>
      </c>
      <c r="D118" s="85" t="s">
        <v>259</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418</v>
      </c>
      <c r="N118" s="86" t="s">
        <v>419</v>
      </c>
      <c r="R118" s="100"/>
    </row>
    <row r="119" spans="2:20" x14ac:dyDescent="0.2">
      <c r="B119" s="98"/>
      <c r="C119" s="99" t="s">
        <v>280</v>
      </c>
      <c r="D119" s="90" t="s">
        <v>259</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418</v>
      </c>
      <c r="N119" s="91" t="s">
        <v>419</v>
      </c>
      <c r="R119" s="98"/>
    </row>
    <row r="120" spans="2:20" x14ac:dyDescent="0.2">
      <c r="B120" s="83" t="s">
        <v>282</v>
      </c>
      <c r="C120" s="84" t="s">
        <v>283</v>
      </c>
      <c r="D120" s="85" t="s">
        <v>252</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418</v>
      </c>
      <c r="N120" s="86" t="s">
        <v>419</v>
      </c>
      <c r="R120" s="83" t="s">
        <v>282</v>
      </c>
      <c r="S120" s="38">
        <v>750</v>
      </c>
      <c r="T120" s="38">
        <v>1240</v>
      </c>
    </row>
    <row r="121" spans="2:20" x14ac:dyDescent="0.2">
      <c r="B121" s="88" t="s">
        <v>284</v>
      </c>
      <c r="C121" s="89" t="s">
        <v>285</v>
      </c>
      <c r="D121" s="90" t="s">
        <v>286</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418</v>
      </c>
      <c r="N121" s="91" t="s">
        <v>419</v>
      </c>
      <c r="R121" s="88" t="s">
        <v>284</v>
      </c>
      <c r="S121" s="38">
        <v>0</v>
      </c>
      <c r="T121" s="38">
        <v>0</v>
      </c>
    </row>
    <row r="122" spans="2:20" x14ac:dyDescent="0.2">
      <c r="B122" s="83" t="s">
        <v>287</v>
      </c>
      <c r="C122" s="84" t="s">
        <v>288</v>
      </c>
      <c r="D122" s="85" t="s">
        <v>286</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418</v>
      </c>
      <c r="N122" s="86" t="s">
        <v>419</v>
      </c>
      <c r="R122" s="83" t="s">
        <v>287</v>
      </c>
      <c r="S122" s="38">
        <v>0</v>
      </c>
      <c r="T122" s="38">
        <v>0</v>
      </c>
    </row>
    <row r="123" spans="2:20" x14ac:dyDescent="0.2">
      <c r="B123" s="702" t="s">
        <v>289</v>
      </c>
      <c r="C123" s="703"/>
      <c r="D123" s="703"/>
      <c r="E123" s="703"/>
      <c r="F123" s="703"/>
      <c r="G123" s="703"/>
      <c r="H123" s="703"/>
      <c r="I123" s="703"/>
      <c r="J123" s="703"/>
      <c r="K123" s="703"/>
      <c r="L123" s="704"/>
      <c r="M123" s="136"/>
      <c r="N123" s="136"/>
      <c r="P123" s="38" t="s">
        <v>422</v>
      </c>
    </row>
    <row r="124" spans="2:20" x14ac:dyDescent="0.2">
      <c r="B124" s="83" t="s">
        <v>290</v>
      </c>
      <c r="C124" s="84" t="s">
        <v>291</v>
      </c>
      <c r="D124" s="85" t="s">
        <v>271</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423</v>
      </c>
      <c r="N124" s="86" t="s">
        <v>419</v>
      </c>
      <c r="R124" s="83" t="s">
        <v>290</v>
      </c>
      <c r="S124" s="38">
        <v>75</v>
      </c>
      <c r="T124" s="38">
        <v>186</v>
      </c>
    </row>
    <row r="125" spans="2:20" x14ac:dyDescent="0.2">
      <c r="B125" s="88" t="s">
        <v>292</v>
      </c>
      <c r="C125" s="89" t="s">
        <v>293</v>
      </c>
      <c r="D125" s="90" t="s">
        <v>271</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423</v>
      </c>
      <c r="N125" s="91" t="s">
        <v>419</v>
      </c>
      <c r="R125" s="88" t="s">
        <v>292</v>
      </c>
      <c r="S125" s="38">
        <v>75</v>
      </c>
      <c r="T125" s="38">
        <v>186</v>
      </c>
    </row>
    <row r="126" spans="2:20" x14ac:dyDescent="0.2">
      <c r="B126" s="83" t="s">
        <v>294</v>
      </c>
      <c r="C126" s="84" t="s">
        <v>295</v>
      </c>
      <c r="D126" s="85" t="s">
        <v>259</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423</v>
      </c>
      <c r="N126" s="86" t="s">
        <v>419</v>
      </c>
      <c r="R126" s="83" t="s">
        <v>294</v>
      </c>
      <c r="S126" s="125">
        <v>750</v>
      </c>
      <c r="T126" s="38">
        <v>1240</v>
      </c>
    </row>
    <row r="127" spans="2:20" x14ac:dyDescent="0.2">
      <c r="B127" s="88" t="s">
        <v>296</v>
      </c>
      <c r="C127" s="89" t="s">
        <v>297</v>
      </c>
      <c r="D127" s="90" t="s">
        <v>259</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423</v>
      </c>
      <c r="N127" s="91" t="s">
        <v>420</v>
      </c>
      <c r="R127" s="88" t="s">
        <v>296</v>
      </c>
      <c r="S127" s="38">
        <v>25</v>
      </c>
      <c r="T127" s="38">
        <v>465</v>
      </c>
    </row>
    <row r="128" spans="2:20" x14ac:dyDescent="0.2">
      <c r="B128" s="83" t="s">
        <v>298</v>
      </c>
      <c r="C128" s="84" t="s">
        <v>299</v>
      </c>
      <c r="D128" s="85" t="s">
        <v>271</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423</v>
      </c>
      <c r="N128" s="86" t="s">
        <v>420</v>
      </c>
      <c r="O128" s="38" t="s">
        <v>424</v>
      </c>
      <c r="P128" s="129">
        <f>H128/42000*1000000</f>
        <v>37.50562063532594</v>
      </c>
      <c r="Q128" s="129">
        <f>P128*0.3</f>
        <v>11.251686190597782</v>
      </c>
      <c r="R128" s="83" t="s">
        <v>298</v>
      </c>
      <c r="S128" s="38">
        <v>75</v>
      </c>
      <c r="T128" s="38">
        <v>186</v>
      </c>
    </row>
    <row r="129" spans="2:20" x14ac:dyDescent="0.2">
      <c r="B129" s="88" t="s">
        <v>300</v>
      </c>
      <c r="C129" s="89" t="s">
        <v>301</v>
      </c>
      <c r="D129" s="90" t="s">
        <v>252</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423</v>
      </c>
      <c r="N129" s="91"/>
      <c r="R129" s="88" t="s">
        <v>300</v>
      </c>
      <c r="S129" s="38">
        <f>('Bases de Cálculo'!N166*0.6+'Bases de Cálculo'!N203*0.2+'Bases de Cálculo'!N192*0.2)</f>
        <v>170</v>
      </c>
      <c r="T129" s="38">
        <f>('Bases de Cálculo'!P166*0.6+'Bases de Cálculo'!P203*0.2+'Bases de Cálculo'!P192*0.2)</f>
        <v>359.6</v>
      </c>
    </row>
    <row r="130" spans="2:20" x14ac:dyDescent="0.2">
      <c r="B130" s="83" t="s">
        <v>302</v>
      </c>
      <c r="C130" s="84" t="s">
        <v>303</v>
      </c>
      <c r="D130" s="85" t="s">
        <v>252</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423</v>
      </c>
      <c r="N130" s="86"/>
      <c r="R130" s="83" t="s">
        <v>302</v>
      </c>
      <c r="S130" s="38">
        <v>0</v>
      </c>
      <c r="T130" s="38">
        <v>0</v>
      </c>
    </row>
    <row r="131" spans="2:20" x14ac:dyDescent="0.2">
      <c r="B131" s="88" t="s">
        <v>304</v>
      </c>
      <c r="C131" s="89" t="s">
        <v>305</v>
      </c>
      <c r="D131" s="90" t="s">
        <v>271</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423</v>
      </c>
      <c r="N131" s="91" t="s">
        <v>420</v>
      </c>
      <c r="R131" s="88" t="s">
        <v>304</v>
      </c>
      <c r="S131" s="38">
        <v>75</v>
      </c>
      <c r="T131" s="38">
        <v>186</v>
      </c>
    </row>
    <row r="132" spans="2:20" x14ac:dyDescent="0.2">
      <c r="B132" s="83" t="s">
        <v>306</v>
      </c>
      <c r="C132" s="84" t="s">
        <v>307</v>
      </c>
      <c r="D132" s="85" t="s">
        <v>286</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423</v>
      </c>
      <c r="N132" s="86" t="s">
        <v>420</v>
      </c>
      <c r="R132" s="83" t="s">
        <v>306</v>
      </c>
      <c r="S132" s="38">
        <v>25</v>
      </c>
      <c r="T132" s="38">
        <v>31</v>
      </c>
    </row>
    <row r="133" spans="2:20" x14ac:dyDescent="0.2">
      <c r="B133" s="88" t="s">
        <v>308</v>
      </c>
      <c r="C133" s="89" t="s">
        <v>309</v>
      </c>
      <c r="D133" s="90" t="s">
        <v>271</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423</v>
      </c>
      <c r="N133" s="91" t="s">
        <v>420</v>
      </c>
      <c r="R133" s="88" t="s">
        <v>308</v>
      </c>
      <c r="S133" s="38">
        <v>25</v>
      </c>
      <c r="T133" s="38">
        <v>31</v>
      </c>
    </row>
    <row r="134" spans="2:20" x14ac:dyDescent="0.2">
      <c r="B134" s="83" t="s">
        <v>310</v>
      </c>
      <c r="C134" s="84" t="s">
        <v>311</v>
      </c>
      <c r="D134" s="85" t="s">
        <v>271</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423</v>
      </c>
      <c r="N134" s="86" t="s">
        <v>420</v>
      </c>
      <c r="O134" s="38" t="s">
        <v>424</v>
      </c>
      <c r="P134" s="129">
        <f>H134/42000*1000000</f>
        <v>35.257266762367934</v>
      </c>
      <c r="R134" s="83" t="s">
        <v>310</v>
      </c>
      <c r="S134" s="38">
        <v>25</v>
      </c>
      <c r="T134" s="38">
        <v>186</v>
      </c>
    </row>
    <row r="135" spans="2:20" x14ac:dyDescent="0.2">
      <c r="B135" s="88" t="s">
        <v>312</v>
      </c>
      <c r="C135" s="89" t="s">
        <v>313</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423</v>
      </c>
      <c r="N135" s="91" t="s">
        <v>420</v>
      </c>
      <c r="R135" s="88" t="s">
        <v>312</v>
      </c>
      <c r="S135" s="38">
        <v>25</v>
      </c>
      <c r="T135" s="38">
        <v>31</v>
      </c>
    </row>
    <row r="136" spans="2:20" x14ac:dyDescent="0.2">
      <c r="B136" s="83" t="s">
        <v>314</v>
      </c>
      <c r="C136" s="84" t="s">
        <v>315</v>
      </c>
      <c r="D136" s="85" t="s">
        <v>271</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423</v>
      </c>
      <c r="N136" s="86" t="s">
        <v>420</v>
      </c>
      <c r="R136" s="83" t="s">
        <v>314</v>
      </c>
      <c r="S136" s="38">
        <v>75</v>
      </c>
      <c r="T136" s="38">
        <v>186</v>
      </c>
    </row>
    <row r="137" spans="2:20" x14ac:dyDescent="0.2">
      <c r="B137" s="88" t="s">
        <v>316</v>
      </c>
      <c r="C137" s="89" t="s">
        <v>317</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316</v>
      </c>
      <c r="S137" s="38">
        <v>75</v>
      </c>
      <c r="T137" s="38">
        <v>186</v>
      </c>
    </row>
    <row r="138" spans="2:20" x14ac:dyDescent="0.2">
      <c r="B138" s="83" t="s">
        <v>318</v>
      </c>
      <c r="C138" s="84" t="s">
        <v>319</v>
      </c>
      <c r="D138" s="85" t="s">
        <v>272</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423</v>
      </c>
      <c r="N138" s="86"/>
      <c r="R138" s="83" t="s">
        <v>318</v>
      </c>
      <c r="S138" s="38">
        <v>0</v>
      </c>
      <c r="T138" s="38">
        <v>0</v>
      </c>
    </row>
    <row r="140" spans="2:20" x14ac:dyDescent="0.2">
      <c r="B140" s="705"/>
      <c r="C140" s="705"/>
      <c r="D140" s="705"/>
      <c r="E140" s="705"/>
      <c r="G140" s="706" t="s">
        <v>425</v>
      </c>
      <c r="H140" s="706"/>
      <c r="I140" s="706"/>
    </row>
    <row r="141" spans="2:20" x14ac:dyDescent="0.2">
      <c r="B141" s="83" t="str">
        <f t="array" ref="B141:B146">TRANSPOSE(E108:J108)</f>
        <v>UO</v>
      </c>
      <c r="C141" s="84" t="s">
        <v>426</v>
      </c>
      <c r="D141" s="85"/>
      <c r="E141" s="83">
        <v>2006</v>
      </c>
      <c r="G141" s="82" t="s">
        <v>427</v>
      </c>
      <c r="H141" s="82" t="s">
        <v>428</v>
      </c>
      <c r="I141" s="82" t="s">
        <v>429</v>
      </c>
      <c r="L141" s="82" t="s">
        <v>427</v>
      </c>
      <c r="M141" s="82" t="s">
        <v>429</v>
      </c>
    </row>
    <row r="142" spans="2:20" x14ac:dyDescent="0.2">
      <c r="B142" s="88" t="str">
        <v>TCal</v>
      </c>
      <c r="C142" s="89" t="s">
        <v>430</v>
      </c>
      <c r="D142" s="90"/>
      <c r="E142" s="88">
        <v>2007</v>
      </c>
      <c r="G142" s="137" t="s">
        <v>431</v>
      </c>
      <c r="H142" s="138">
        <v>35.31467</v>
      </c>
      <c r="I142" s="137" t="s">
        <v>432</v>
      </c>
      <c r="L142" s="137" t="s">
        <v>421</v>
      </c>
      <c r="M142" s="137" t="s">
        <v>432</v>
      </c>
    </row>
    <row r="143" spans="2:20" x14ac:dyDescent="0.2">
      <c r="B143" s="83" t="str">
        <v>TJ</v>
      </c>
      <c r="C143" s="84" t="s">
        <v>433</v>
      </c>
      <c r="D143" s="85"/>
      <c r="E143" s="83">
        <v>2008</v>
      </c>
      <c r="G143" s="111" t="s">
        <v>434</v>
      </c>
      <c r="H143" s="110">
        <f>1000000/H142</f>
        <v>28316.843963146195</v>
      </c>
      <c r="I143" s="111" t="s">
        <v>421</v>
      </c>
      <c r="L143" s="111" t="s">
        <v>435</v>
      </c>
      <c r="M143" s="111" t="s">
        <v>421</v>
      </c>
    </row>
    <row r="144" spans="2:20" x14ac:dyDescent="0.2">
      <c r="B144" s="88" t="str">
        <v>GWh</v>
      </c>
      <c r="C144" s="89" t="s">
        <v>436</v>
      </c>
      <c r="D144" s="90"/>
      <c r="E144" s="88">
        <v>2009</v>
      </c>
      <c r="G144" s="137" t="s">
        <v>437</v>
      </c>
      <c r="H144" s="138">
        <v>3.7854117999999999</v>
      </c>
      <c r="I144" s="137" t="s">
        <v>438</v>
      </c>
      <c r="L144" s="137" t="s">
        <v>424</v>
      </c>
      <c r="M144" s="137" t="s">
        <v>438</v>
      </c>
    </row>
    <row r="145" spans="2:18" ht="22.5" x14ac:dyDescent="0.2">
      <c r="B145" s="83" t="str">
        <v>KTEP</v>
      </c>
      <c r="C145" s="84" t="s">
        <v>439</v>
      </c>
      <c r="D145" s="85"/>
      <c r="E145" s="83">
        <v>2010</v>
      </c>
      <c r="G145" s="111" t="s">
        <v>440</v>
      </c>
      <c r="H145" s="110">
        <v>42</v>
      </c>
      <c r="I145" s="111" t="s">
        <v>424</v>
      </c>
      <c r="L145" s="111" t="s">
        <v>441</v>
      </c>
      <c r="M145" s="111" t="s">
        <v>424</v>
      </c>
    </row>
    <row r="146" spans="2:18" ht="22.5" x14ac:dyDescent="0.2">
      <c r="B146" s="88" t="str">
        <v>GBTU</v>
      </c>
      <c r="C146" s="89" t="s">
        <v>442</v>
      </c>
      <c r="D146" s="90"/>
      <c r="E146" s="88">
        <v>2011</v>
      </c>
      <c r="G146" s="137" t="s">
        <v>431</v>
      </c>
      <c r="H146" s="138">
        <f>1000/H144/H145</f>
        <v>6.2898107438466297</v>
      </c>
      <c r="I146" s="137" t="s">
        <v>441</v>
      </c>
      <c r="L146" s="137" t="s">
        <v>421</v>
      </c>
      <c r="M146" s="137" t="s">
        <v>441</v>
      </c>
      <c r="R146" s="38">
        <v>3517.2031699650001</v>
      </c>
    </row>
    <row r="147" spans="2:18" ht="24" x14ac:dyDescent="0.2">
      <c r="B147" s="83" t="s">
        <v>443</v>
      </c>
      <c r="C147" s="84" t="s">
        <v>444</v>
      </c>
      <c r="D147" s="85"/>
      <c r="E147" s="83">
        <v>2012</v>
      </c>
      <c r="G147" s="111" t="s">
        <v>431</v>
      </c>
      <c r="H147" s="110">
        <v>1000</v>
      </c>
      <c r="I147" s="111" t="s">
        <v>438</v>
      </c>
      <c r="L147" s="111" t="s">
        <v>421</v>
      </c>
      <c r="M147" s="111" t="s">
        <v>438</v>
      </c>
      <c r="R147" s="38">
        <v>1.055056</v>
      </c>
    </row>
    <row r="148" spans="2:18" x14ac:dyDescent="0.2">
      <c r="B148" s="88" t="s">
        <v>259</v>
      </c>
      <c r="C148" s="89" t="s">
        <v>445</v>
      </c>
      <c r="D148" s="90"/>
      <c r="E148" s="88">
        <v>2013</v>
      </c>
      <c r="G148" s="137" t="s">
        <v>446</v>
      </c>
      <c r="H148" s="138">
        <v>1000</v>
      </c>
      <c r="I148" s="137" t="s">
        <v>441</v>
      </c>
      <c r="L148" s="137" t="s">
        <v>272</v>
      </c>
      <c r="M148" s="137" t="s">
        <v>441</v>
      </c>
      <c r="R148" s="38">
        <f>+R146*R147</f>
        <v>3710.8463076905932</v>
      </c>
    </row>
    <row r="149" spans="2:18" x14ac:dyDescent="0.2">
      <c r="B149" s="83" t="s">
        <v>264</v>
      </c>
      <c r="C149" s="84" t="s">
        <v>447</v>
      </c>
      <c r="D149" s="85"/>
      <c r="E149" s="83">
        <v>2014</v>
      </c>
      <c r="G149" s="111" t="s">
        <v>448</v>
      </c>
      <c r="H149" s="139">
        <f>1/H144/H145/H148</f>
        <v>6.2898107438466298E-6</v>
      </c>
      <c r="I149" s="111" t="s">
        <v>272</v>
      </c>
      <c r="L149" s="111" t="s">
        <v>438</v>
      </c>
      <c r="M149" s="111" t="s">
        <v>272</v>
      </c>
    </row>
    <row r="150" spans="2:18" x14ac:dyDescent="0.2">
      <c r="B150" s="88" t="s">
        <v>272</v>
      </c>
      <c r="C150" s="89" t="s">
        <v>449</v>
      </c>
      <c r="D150" s="90"/>
      <c r="E150" s="88">
        <v>2015</v>
      </c>
      <c r="G150" s="137" t="s">
        <v>450</v>
      </c>
      <c r="H150" s="138">
        <v>1055.056</v>
      </c>
      <c r="I150" s="137" t="s">
        <v>451</v>
      </c>
      <c r="L150" s="137" t="s">
        <v>452</v>
      </c>
      <c r="M150" s="137" t="s">
        <v>451</v>
      </c>
    </row>
    <row r="151" spans="2:18" x14ac:dyDescent="0.2">
      <c r="E151" s="83">
        <v>2016</v>
      </c>
      <c r="G151" s="111" t="s">
        <v>453</v>
      </c>
      <c r="H151" s="110">
        <v>3600</v>
      </c>
      <c r="I151" s="111" t="s">
        <v>451</v>
      </c>
      <c r="L151" s="111" t="s">
        <v>454</v>
      </c>
      <c r="M151" s="111" t="s">
        <v>451</v>
      </c>
    </row>
    <row r="152" spans="2:18" x14ac:dyDescent="0.2">
      <c r="E152" s="88">
        <v>2017</v>
      </c>
      <c r="G152" s="137" t="s">
        <v>431</v>
      </c>
      <c r="H152" s="138">
        <f>H147/H144</f>
        <v>264.17205124155845</v>
      </c>
      <c r="I152" s="137" t="s">
        <v>424</v>
      </c>
      <c r="L152" s="137" t="s">
        <v>421</v>
      </c>
      <c r="M152" s="137" t="s">
        <v>424</v>
      </c>
    </row>
    <row r="153" spans="2:18" x14ac:dyDescent="0.2">
      <c r="E153" s="83">
        <v>2018</v>
      </c>
      <c r="G153" s="140"/>
      <c r="H153" s="141"/>
      <c r="I153" s="140"/>
      <c r="L153" s="140"/>
      <c r="M153" s="140"/>
    </row>
    <row r="155" spans="2:18" x14ac:dyDescent="0.2">
      <c r="C155" s="103"/>
      <c r="D155" s="103"/>
      <c r="E155" s="103" t="s">
        <v>320</v>
      </c>
      <c r="F155" s="103" t="s">
        <v>321</v>
      </c>
      <c r="G155" s="103"/>
      <c r="H155" s="103" t="s">
        <v>322</v>
      </c>
      <c r="I155" s="103"/>
      <c r="J155" s="103"/>
      <c r="K155" s="103"/>
      <c r="L155" s="103" t="s">
        <v>279</v>
      </c>
      <c r="M155" s="124" t="s">
        <v>455</v>
      </c>
      <c r="N155" s="125" t="s">
        <v>456</v>
      </c>
      <c r="O155" s="38" t="s">
        <v>457</v>
      </c>
      <c r="P155" s="38" t="s">
        <v>458</v>
      </c>
    </row>
    <row r="156" spans="2:18" x14ac:dyDescent="0.2">
      <c r="C156" s="78" t="s">
        <v>323</v>
      </c>
      <c r="D156" s="79"/>
      <c r="E156" s="82"/>
      <c r="F156" s="82" t="s">
        <v>324</v>
      </c>
      <c r="G156" s="82" t="s">
        <v>325</v>
      </c>
      <c r="H156" s="82" t="s">
        <v>326</v>
      </c>
      <c r="I156" s="82" t="s">
        <v>327</v>
      </c>
      <c r="J156" s="82" t="s">
        <v>328</v>
      </c>
      <c r="K156" s="82" t="s">
        <v>329</v>
      </c>
      <c r="L156" s="82" t="s">
        <v>330</v>
      </c>
      <c r="M156" s="124" t="s">
        <v>330</v>
      </c>
    </row>
    <row r="157" spans="2:18" x14ac:dyDescent="0.2">
      <c r="C157" s="104" t="s">
        <v>331</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332</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333</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334</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335</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336</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337</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338</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339</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340</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341</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342</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343</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344</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345</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346</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347</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348</v>
      </c>
      <c r="D174" s="79"/>
      <c r="E174" s="82" t="s">
        <v>349</v>
      </c>
      <c r="F174" s="82" t="s">
        <v>350</v>
      </c>
      <c r="G174" s="82" t="s">
        <v>351</v>
      </c>
      <c r="H174" s="82" t="s">
        <v>352</v>
      </c>
      <c r="I174" s="82" t="s">
        <v>327</v>
      </c>
      <c r="J174" s="82" t="s">
        <v>353</v>
      </c>
      <c r="K174" s="82" t="s">
        <v>354</v>
      </c>
      <c r="L174" s="116" t="s">
        <v>330</v>
      </c>
      <c r="M174" s="142"/>
      <c r="O174" s="142"/>
    </row>
    <row r="175" spans="2:16" x14ac:dyDescent="0.2">
      <c r="C175" s="104" t="s">
        <v>355</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356</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357</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358</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359</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360</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361</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362</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363</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364</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365</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366</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367</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368</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369</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370</v>
      </c>
      <c r="D191" s="79"/>
      <c r="E191" s="82"/>
      <c r="F191" s="82" t="s">
        <v>350</v>
      </c>
      <c r="G191" s="82" t="s">
        <v>371</v>
      </c>
      <c r="H191" s="82"/>
      <c r="I191" s="82"/>
      <c r="J191" s="82" t="s">
        <v>353</v>
      </c>
      <c r="K191" s="82" t="s">
        <v>372</v>
      </c>
      <c r="L191" s="116" t="s">
        <v>330</v>
      </c>
      <c r="M191" s="142"/>
      <c r="N191" s="125">
        <f t="shared" si="23"/>
        <v>0</v>
      </c>
      <c r="O191" s="142"/>
      <c r="P191" s="38">
        <f t="shared" si="24"/>
        <v>0</v>
      </c>
    </row>
    <row r="192" spans="3:16" x14ac:dyDescent="0.2">
      <c r="C192" s="104" t="s">
        <v>373</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374</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375</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376</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377</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378</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379</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380</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381</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382</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383</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384</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385</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386</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387</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388</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389</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390</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391</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392</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393</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394</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395</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396</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397</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257</v>
      </c>
      <c r="C219" s="83" t="str">
        <f t="shared" ref="C219:C238" si="33">VLOOKUP(B219,$B$109:$L$138,2,FALSE)</f>
        <v>BAGAZO</v>
      </c>
      <c r="E219" s="83">
        <v>1975</v>
      </c>
    </row>
    <row r="220" spans="2:16" x14ac:dyDescent="0.2">
      <c r="B220" s="88" t="s">
        <v>260</v>
      </c>
      <c r="C220" s="88" t="str">
        <f t="shared" si="33"/>
        <v>CARBÓN MINERAL</v>
      </c>
      <c r="E220" s="88">
        <v>1976</v>
      </c>
    </row>
    <row r="221" spans="2:16" x14ac:dyDescent="0.2">
      <c r="B221" s="83" t="s">
        <v>262</v>
      </c>
      <c r="C221" s="83" t="str">
        <f t="shared" si="33"/>
        <v>GAS NATURAL</v>
      </c>
      <c r="E221" s="83">
        <v>1977</v>
      </c>
    </row>
    <row r="222" spans="2:16" x14ac:dyDescent="0.2">
      <c r="B222" s="88" t="s">
        <v>265</v>
      </c>
      <c r="C222" s="88" t="str">
        <f t="shared" si="33"/>
        <v>HIDROENERGÍA</v>
      </c>
      <c r="E222" s="88">
        <v>1978</v>
      </c>
    </row>
    <row r="223" spans="2:16" x14ac:dyDescent="0.2">
      <c r="B223" s="83" t="s">
        <v>267</v>
      </c>
      <c r="C223" s="83" t="str">
        <f t="shared" si="33"/>
        <v>LEÑA</v>
      </c>
      <c r="E223" s="83">
        <v>1979</v>
      </c>
    </row>
    <row r="224" spans="2:16" x14ac:dyDescent="0.2">
      <c r="B224" s="88" t="s">
        <v>269</v>
      </c>
      <c r="C224" s="88" t="str">
        <f t="shared" si="33"/>
        <v>PETROLEO</v>
      </c>
      <c r="E224" s="88">
        <v>1980</v>
      </c>
    </row>
    <row r="225" spans="2:5" x14ac:dyDescent="0.2">
      <c r="B225" s="83" t="s">
        <v>273</v>
      </c>
      <c r="C225" s="83" t="str">
        <f t="shared" si="33"/>
        <v>RECUPERACIÓN / RESIDUOS</v>
      </c>
      <c r="E225" s="83">
        <v>1981</v>
      </c>
    </row>
    <row r="226" spans="2:5" x14ac:dyDescent="0.2">
      <c r="B226" s="88" t="s">
        <v>282</v>
      </c>
      <c r="C226" s="88" t="str">
        <f t="shared" si="33"/>
        <v>OTROS RENOVABLES</v>
      </c>
      <c r="E226" s="88">
        <v>1982</v>
      </c>
    </row>
    <row r="227" spans="2:5" x14ac:dyDescent="0.2">
      <c r="B227" s="83" t="s">
        <v>290</v>
      </c>
      <c r="C227" s="83" t="str">
        <f t="shared" si="33"/>
        <v>ALCOHOL CARBURANTE</v>
      </c>
      <c r="E227" s="83">
        <v>1983</v>
      </c>
    </row>
    <row r="228" spans="2:5" x14ac:dyDescent="0.2">
      <c r="B228" s="88" t="s">
        <v>292</v>
      </c>
      <c r="C228" s="88" t="str">
        <f t="shared" si="33"/>
        <v>BIODIESEL</v>
      </c>
      <c r="E228" s="88">
        <v>1984</v>
      </c>
    </row>
    <row r="229" spans="2:5" x14ac:dyDescent="0.2">
      <c r="B229" s="83" t="s">
        <v>294</v>
      </c>
      <c r="C229" s="83" t="str">
        <f t="shared" si="33"/>
        <v>CARBÓN LEÑA</v>
      </c>
      <c r="E229" s="83">
        <v>1985</v>
      </c>
    </row>
    <row r="230" spans="2:5" x14ac:dyDescent="0.2">
      <c r="B230" s="88" t="s">
        <v>296</v>
      </c>
      <c r="C230" s="88" t="str">
        <f t="shared" si="33"/>
        <v>COQUE</v>
      </c>
      <c r="E230" s="88">
        <v>1986</v>
      </c>
    </row>
    <row r="231" spans="2:5" x14ac:dyDescent="0.2">
      <c r="B231" s="83" t="s">
        <v>298</v>
      </c>
      <c r="C231" s="83" t="str">
        <f t="shared" si="33"/>
        <v>DIESEL OIL</v>
      </c>
      <c r="E231" s="83">
        <v>1987</v>
      </c>
    </row>
    <row r="232" spans="2:5" x14ac:dyDescent="0.2">
      <c r="B232" s="88" t="s">
        <v>300</v>
      </c>
      <c r="C232" s="88" t="str">
        <f t="shared" si="33"/>
        <v>AUTO &amp; COGENERACIÓN</v>
      </c>
      <c r="E232" s="88">
        <v>1988</v>
      </c>
    </row>
    <row r="233" spans="2:5" x14ac:dyDescent="0.2">
      <c r="B233" s="83" t="s">
        <v>302</v>
      </c>
      <c r="C233" s="83" t="str">
        <f t="shared" si="33"/>
        <v>ENERGÍA ELECTRICA SIN</v>
      </c>
      <c r="E233" s="83">
        <v>1989</v>
      </c>
    </row>
    <row r="234" spans="2:5" x14ac:dyDescent="0.2">
      <c r="B234" s="88" t="s">
        <v>304</v>
      </c>
      <c r="C234" s="88" t="str">
        <f t="shared" si="33"/>
        <v>FUEL OIL</v>
      </c>
      <c r="E234" s="88">
        <v>1990</v>
      </c>
    </row>
    <row r="235" spans="2:5" x14ac:dyDescent="0.2">
      <c r="B235" s="83" t="s">
        <v>306</v>
      </c>
      <c r="C235" s="83" t="str">
        <f t="shared" si="33"/>
        <v>GAS INDUSTRIAL DE ALTO HORNO</v>
      </c>
      <c r="E235" s="83">
        <v>1991</v>
      </c>
    </row>
    <row r="236" spans="2:5" x14ac:dyDescent="0.2">
      <c r="B236" s="88" t="s">
        <v>308</v>
      </c>
      <c r="C236" s="88" t="str">
        <f t="shared" si="33"/>
        <v>GAS LICUADO DE PETRÓLEO</v>
      </c>
      <c r="E236" s="88">
        <v>1992</v>
      </c>
    </row>
    <row r="237" spans="2:5" x14ac:dyDescent="0.2">
      <c r="B237" s="83" t="s">
        <v>310</v>
      </c>
      <c r="C237" s="83" t="str">
        <f t="shared" si="33"/>
        <v>GASOLINA MOTOR</v>
      </c>
      <c r="E237" s="83">
        <v>1993</v>
      </c>
    </row>
    <row r="238" spans="2:5" x14ac:dyDescent="0.2">
      <c r="B238" s="88" t="s">
        <v>314</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238"/>
  <sheetViews>
    <sheetView showGridLines="0" topLeftCell="A124" zoomScale="115" zoomScaleNormal="115" workbookViewId="0">
      <selection activeCell="K146" sqref="K146"/>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522</v>
      </c>
      <c r="K20" t="s">
        <v>523</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242</v>
      </c>
      <c r="D32">
        <v>3299</v>
      </c>
      <c r="E32" t="s">
        <v>243</v>
      </c>
      <c r="J32" t="s">
        <v>126</v>
      </c>
      <c r="K32" t="s">
        <v>128</v>
      </c>
      <c r="L32" t="s">
        <v>9</v>
      </c>
      <c r="M32" t="s">
        <v>42</v>
      </c>
    </row>
    <row r="33" spans="2:23" x14ac:dyDescent="0.25">
      <c r="J33" t="s">
        <v>524</v>
      </c>
      <c r="K33" t="s">
        <v>525</v>
      </c>
      <c r="L33" t="s">
        <v>9</v>
      </c>
      <c r="M33" t="s">
        <v>42</v>
      </c>
    </row>
    <row r="35" spans="2:23" x14ac:dyDescent="0.25">
      <c r="D35">
        <v>287</v>
      </c>
      <c r="E35" t="s">
        <v>240</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241</v>
      </c>
      <c r="C41" s="51"/>
      <c r="D41" s="51"/>
      <c r="E41" s="51">
        <v>0.11600000000000001</v>
      </c>
      <c r="F41" s="51" t="s">
        <v>239</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116000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0.11600000000000001</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32.222222222222221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0.05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32.222222222222221</v>
      </c>
      <c r="M51" s="73"/>
      <c r="N51" s="73"/>
      <c r="O51" s="73"/>
      <c r="P51" s="73"/>
      <c r="Q51" s="73"/>
      <c r="R51" s="73"/>
      <c r="S51" s="73"/>
    </row>
    <row r="52" spans="9:23" x14ac:dyDescent="0.25">
      <c r="I52" t="s">
        <v>522</v>
      </c>
      <c r="J52" s="249" t="str">
        <f t="shared" ref="J52" si="11">+RIGHT(I52,3)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2">+J21</f>
        <v>IMP-GSL</v>
      </c>
      <c r="J53" s="22"/>
      <c r="K53" s="22" t="str">
        <f t="shared" ref="K53:K58" si="13">+RIGHT(I53,3)</f>
        <v>GSL</v>
      </c>
      <c r="L53" s="271">
        <f>+L40+($E$47*L40)</f>
        <v>22.046268251744099</v>
      </c>
      <c r="M53" s="25">
        <f t="shared" ref="L53:S63" si="14">+M40+($E$47*M40)</f>
        <v>21.835726059829501</v>
      </c>
      <c r="N53" s="25">
        <f t="shared" si="14"/>
        <v>21.752726720347354</v>
      </c>
      <c r="O53" s="25">
        <f t="shared" si="14"/>
        <v>23.312169651320552</v>
      </c>
      <c r="P53" s="25">
        <f t="shared" si="14"/>
        <v>24.746573672811898</v>
      </c>
      <c r="Q53" s="25">
        <f t="shared" si="14"/>
        <v>25.826992214136752</v>
      </c>
      <c r="R53" s="25">
        <f t="shared" si="14"/>
        <v>27.180422144120701</v>
      </c>
      <c r="S53" s="25">
        <f t="shared" si="14"/>
        <v>28.511658939049649</v>
      </c>
    </row>
    <row r="54" spans="9:23" x14ac:dyDescent="0.25">
      <c r="I54" t="str">
        <f t="shared" si="12"/>
        <v>IMP-DSL</v>
      </c>
      <c r="J54" s="22"/>
      <c r="K54" s="22" t="str">
        <f t="shared" si="13"/>
        <v>DSL</v>
      </c>
      <c r="L54" s="272">
        <f>+L41+($E$47*L41)</f>
        <v>21.950277468988052</v>
      </c>
      <c r="M54" s="25">
        <f t="shared" si="14"/>
        <v>21.23041974609465</v>
      </c>
      <c r="N54" s="25">
        <f t="shared" si="14"/>
        <v>21.6622055999349</v>
      </c>
      <c r="O54" s="25">
        <f t="shared" si="14"/>
        <v>23.02657485460605</v>
      </c>
      <c r="P54" s="25">
        <f t="shared" si="14"/>
        <v>24.236658031499552</v>
      </c>
      <c r="Q54" s="25">
        <f t="shared" si="14"/>
        <v>25.06920114883275</v>
      </c>
      <c r="R54" s="25">
        <f t="shared" si="14"/>
        <v>26.345043679622847</v>
      </c>
      <c r="S54" s="25">
        <f t="shared" si="14"/>
        <v>27.175014184663802</v>
      </c>
    </row>
    <row r="55" spans="9:23" x14ac:dyDescent="0.25">
      <c r="I55" t="str">
        <f t="shared" si="12"/>
        <v>IMP-KER</v>
      </c>
      <c r="J55" s="22"/>
      <c r="K55" s="22" t="str">
        <f t="shared" si="13"/>
        <v>KER</v>
      </c>
      <c r="L55" s="25">
        <f t="shared" si="14"/>
        <v>14.5708859018268</v>
      </c>
      <c r="M55" s="25">
        <f t="shared" si="14"/>
        <v>14.380206068182503</v>
      </c>
      <c r="N55" s="25">
        <f t="shared" si="14"/>
        <v>15.181173230850899</v>
      </c>
      <c r="O55" s="25">
        <f t="shared" si="14"/>
        <v>16.584959682836999</v>
      </c>
      <c r="P55" s="25">
        <f t="shared" si="14"/>
        <v>18.051428306047498</v>
      </c>
      <c r="Q55" s="25">
        <f t="shared" si="14"/>
        <v>19.10594357745255</v>
      </c>
      <c r="R55" s="25">
        <f t="shared" si="14"/>
        <v>20.601349859317502</v>
      </c>
      <c r="S55" s="25">
        <f t="shared" si="14"/>
        <v>21.75400257681105</v>
      </c>
    </row>
    <row r="56" spans="9:23" x14ac:dyDescent="0.25">
      <c r="I56" t="str">
        <f t="shared" si="12"/>
        <v>IMP-LPG</v>
      </c>
      <c r="J56" s="22"/>
      <c r="K56" s="22" t="str">
        <f t="shared" si="13"/>
        <v>LPG</v>
      </c>
      <c r="L56" s="25">
        <f t="shared" si="14"/>
        <v>18.428600138703302</v>
      </c>
      <c r="M56" s="25">
        <f t="shared" si="14"/>
        <v>17.710501943288698</v>
      </c>
      <c r="N56" s="25">
        <f t="shared" si="14"/>
        <v>20.866578722589598</v>
      </c>
      <c r="O56" s="25">
        <f t="shared" si="14"/>
        <v>23.123685246193347</v>
      </c>
      <c r="P56" s="25">
        <f t="shared" si="14"/>
        <v>24.036311744008202</v>
      </c>
      <c r="Q56" s="25">
        <f t="shared" si="14"/>
        <v>25.633124729748904</v>
      </c>
      <c r="R56" s="25">
        <f t="shared" si="14"/>
        <v>27.171585693620553</v>
      </c>
      <c r="S56" s="25">
        <f t="shared" si="14"/>
        <v>28.797095497716001</v>
      </c>
    </row>
    <row r="57" spans="9:23" x14ac:dyDescent="0.25">
      <c r="I57" t="str">
        <f t="shared" si="12"/>
        <v>IMP-HFO</v>
      </c>
      <c r="J57" s="22"/>
      <c r="K57" s="22" t="str">
        <f t="shared" si="13"/>
        <v>HFO</v>
      </c>
      <c r="L57" s="25">
        <f t="shared" si="14"/>
        <v>9.7035820663099486</v>
      </c>
      <c r="M57" s="25">
        <f t="shared" si="14"/>
        <v>10.1436261548895</v>
      </c>
      <c r="N57" s="25">
        <f t="shared" si="14"/>
        <v>9.8295893130298495</v>
      </c>
      <c r="O57" s="25">
        <f t="shared" si="14"/>
        <v>11.316329324937001</v>
      </c>
      <c r="P57" s="25">
        <f t="shared" si="14"/>
        <v>12.636810908631</v>
      </c>
      <c r="Q57" s="25">
        <f t="shared" si="14"/>
        <v>14.045821206621749</v>
      </c>
      <c r="R57" s="25">
        <f t="shared" si="14"/>
        <v>15.0146769479616</v>
      </c>
      <c r="S57" s="25">
        <f t="shared" si="14"/>
        <v>15.844212547172098</v>
      </c>
    </row>
    <row r="58" spans="9:23" x14ac:dyDescent="0.25">
      <c r="I58" t="str">
        <f t="shared" si="12"/>
        <v>IMP-ETH</v>
      </c>
      <c r="J58" s="22"/>
      <c r="K58" s="22" t="str">
        <f t="shared" si="13"/>
        <v>ETH</v>
      </c>
      <c r="L58" s="25">
        <f t="shared" si="14"/>
        <v>16.258588240206418</v>
      </c>
      <c r="M58" s="25">
        <f t="shared" si="14"/>
        <v>15.830683597544411</v>
      </c>
      <c r="N58" s="25">
        <f t="shared" si="14"/>
        <v>17.684544904134647</v>
      </c>
      <c r="O58" s="25">
        <f t="shared" si="14"/>
        <v>20.580174550472726</v>
      </c>
      <c r="P58" s="25">
        <f t="shared" si="14"/>
        <v>20.735216897423562</v>
      </c>
      <c r="Q58" s="25">
        <f t="shared" si="14"/>
        <v>21.319775602760824</v>
      </c>
      <c r="R58" s="25">
        <f t="shared" si="14"/>
        <v>22.479681528674554</v>
      </c>
      <c r="S58" s="25">
        <f t="shared" si="14"/>
        <v>25.358699915137489</v>
      </c>
    </row>
    <row r="59" spans="9:23" x14ac:dyDescent="0.25">
      <c r="I59" t="str">
        <f t="shared" si="12"/>
        <v>IMP-BDSL</v>
      </c>
      <c r="J59" s="22"/>
      <c r="K59" s="22" t="str">
        <f>+RIGHT(I59,4)</f>
        <v>BDSL</v>
      </c>
      <c r="L59" s="25">
        <f t="shared" si="14"/>
        <v>28.366603784567719</v>
      </c>
      <c r="M59" s="25">
        <f t="shared" si="14"/>
        <v>27.436323115659178</v>
      </c>
      <c r="N59" s="25">
        <f t="shared" si="14"/>
        <v>27.994325093218343</v>
      </c>
      <c r="O59" s="25">
        <f t="shared" si="14"/>
        <v>29.757515655058956</v>
      </c>
      <c r="P59" s="25">
        <f t="shared" si="14"/>
        <v>31.321320489590349</v>
      </c>
      <c r="Q59" s="25">
        <f t="shared" si="14"/>
        <v>32.397225829571838</v>
      </c>
      <c r="R59" s="25">
        <f t="shared" si="14"/>
        <v>34.046012256693558</v>
      </c>
      <c r="S59" s="25">
        <f t="shared" si="14"/>
        <v>35.118592979312524</v>
      </c>
    </row>
    <row r="60" spans="9:23" x14ac:dyDescent="0.25">
      <c r="I60" t="str">
        <f t="shared" si="12"/>
        <v>IMP-GAS</v>
      </c>
      <c r="J60" s="22"/>
      <c r="K60" s="22" t="str">
        <f>+RIGHT(I60,3)</f>
        <v>GAS</v>
      </c>
      <c r="L60" s="25">
        <f t="shared" si="14"/>
        <v>5.0075833580136004</v>
      </c>
      <c r="M60" s="25">
        <f t="shared" si="14"/>
        <v>4.7379039252362993</v>
      </c>
      <c r="N60" s="25">
        <f t="shared" si="14"/>
        <v>5.1738208868618987</v>
      </c>
      <c r="O60" s="25">
        <f t="shared" si="14"/>
        <v>5.6518440974131492</v>
      </c>
      <c r="P60" s="25">
        <f t="shared" si="14"/>
        <v>5.7121308033425997</v>
      </c>
      <c r="Q60" s="25">
        <f t="shared" si="14"/>
        <v>5.7540897615064504</v>
      </c>
      <c r="R60" s="25">
        <f t="shared" si="14"/>
        <v>5.8202671027000497</v>
      </c>
      <c r="S60" s="25">
        <f t="shared" si="14"/>
        <v>5.9889458764043999</v>
      </c>
    </row>
    <row r="61" spans="9:23" x14ac:dyDescent="0.25">
      <c r="I61" t="str">
        <f t="shared" si="12"/>
        <v>IMP-LOIL</v>
      </c>
      <c r="J61" s="22"/>
      <c r="K61" s="22" t="str">
        <f>+RIGHT(I61,4)</f>
        <v>LOIL</v>
      </c>
      <c r="L61" s="25">
        <f t="shared" si="14"/>
        <v>9.8912782329577649</v>
      </c>
      <c r="M61" s="25">
        <f t="shared" si="14"/>
        <v>9.3420063122649797</v>
      </c>
      <c r="N61" s="25">
        <f t="shared" si="14"/>
        <v>11.349969829424836</v>
      </c>
      <c r="O61" s="25">
        <f t="shared" si="14"/>
        <v>12.542118025593822</v>
      </c>
      <c r="P61" s="25">
        <f t="shared" si="14"/>
        <v>13.951574929769594</v>
      </c>
      <c r="Q61" s="25">
        <f t="shared" si="14"/>
        <v>15.073487334897534</v>
      </c>
      <c r="R61" s="25">
        <f t="shared" si="14"/>
        <v>16.412269624876039</v>
      </c>
      <c r="S61" s="25">
        <f t="shared" si="14"/>
        <v>17.708244680803656</v>
      </c>
    </row>
    <row r="62" spans="9:23" x14ac:dyDescent="0.25">
      <c r="I62" t="str">
        <f t="shared" si="12"/>
        <v>IMP-MOIL</v>
      </c>
      <c r="J62" s="22"/>
      <c r="K62" s="22" t="str">
        <f>+RIGHT(I62,4)</f>
        <v>MOIL</v>
      </c>
      <c r="L62" s="25">
        <f t="shared" si="14"/>
        <v>9.100130715743088</v>
      </c>
      <c r="M62" s="25">
        <f t="shared" si="14"/>
        <v>8.5947919557700043</v>
      </c>
      <c r="N62" s="25">
        <f t="shared" si="14"/>
        <v>10.442149804598191</v>
      </c>
      <c r="O62" s="25">
        <f t="shared" si="14"/>
        <v>11.538944795313064</v>
      </c>
      <c r="P62" s="25">
        <f t="shared" si="14"/>
        <v>12.835667197021369</v>
      </c>
      <c r="Q62" s="25">
        <f t="shared" si="14"/>
        <v>13.86784416119368</v>
      </c>
      <c r="R62" s="25">
        <f t="shared" si="14"/>
        <v>15.099544812190651</v>
      </c>
      <c r="S62" s="25">
        <f t="shared" si="14"/>
        <v>16.291862138174636</v>
      </c>
    </row>
    <row r="63" spans="9:23" x14ac:dyDescent="0.25">
      <c r="I63" t="str">
        <f t="shared" si="12"/>
        <v>IMP-HOIL</v>
      </c>
      <c r="J63" s="22"/>
      <c r="K63" s="22" t="str">
        <f>+RIGHT(I63,4)</f>
        <v>HOIL</v>
      </c>
      <c r="L63" s="25">
        <f t="shared" si="14"/>
        <v>7.5178356813137359</v>
      </c>
      <c r="M63" s="25">
        <f t="shared" si="14"/>
        <v>7.1003632427800589</v>
      </c>
      <c r="N63" s="25">
        <f t="shared" si="14"/>
        <v>8.6265097549449088</v>
      </c>
      <c r="O63" s="25">
        <f t="shared" si="14"/>
        <v>9.5325983347515475</v>
      </c>
      <c r="P63" s="25">
        <f t="shared" si="14"/>
        <v>10.60385173152493</v>
      </c>
      <c r="Q63" s="25">
        <f t="shared" si="14"/>
        <v>11.456557813785972</v>
      </c>
      <c r="R63" s="25">
        <f t="shared" si="14"/>
        <v>12.474095186819879</v>
      </c>
      <c r="S63" s="25">
        <f t="shared" si="14"/>
        <v>13.459097052916594</v>
      </c>
    </row>
    <row r="64" spans="9:23" x14ac:dyDescent="0.25">
      <c r="I64" t="str">
        <f t="shared" si="12"/>
        <v>IMP-SIN</v>
      </c>
      <c r="J64" s="22"/>
      <c r="K64" s="23" t="s">
        <v>129</v>
      </c>
      <c r="L64" s="74">
        <f>+L51+($E$47*L51)</f>
        <v>33.833333333333336</v>
      </c>
      <c r="M64" s="74"/>
      <c r="N64" s="74"/>
      <c r="O64" s="74"/>
      <c r="P64" s="74"/>
      <c r="Q64" s="74"/>
      <c r="R64" s="74"/>
      <c r="S64" s="74"/>
    </row>
    <row r="65" spans="9:19" x14ac:dyDescent="0.25">
      <c r="I65" t="s">
        <v>524</v>
      </c>
      <c r="K65" s="250" t="str">
        <f>+J52</f>
        <v>AVG</v>
      </c>
      <c r="L65" s="25">
        <f>+L52*(100%+$E$47)</f>
        <v>22.523428260914532</v>
      </c>
      <c r="M65" s="25">
        <f t="shared" ref="M65:S65" si="15">+M52*(100%+$E$47)</f>
        <v>22.232485983458798</v>
      </c>
      <c r="N65" s="25">
        <f t="shared" si="15"/>
        <v>23.163671951136283</v>
      </c>
      <c r="O65" s="25">
        <f t="shared" si="15"/>
        <v>25.305591311965092</v>
      </c>
      <c r="P65" s="25">
        <f t="shared" si="15"/>
        <v>27.543152111656891</v>
      </c>
      <c r="Q65" s="25">
        <f t="shared" si="15"/>
        <v>29.152148033306148</v>
      </c>
      <c r="R65" s="25">
        <f t="shared" si="15"/>
        <v>31.433862365924078</v>
      </c>
      <c r="S65" s="25">
        <f t="shared" si="15"/>
        <v>33.192597940283235</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6">+K75/$J$80</f>
        <v>9.1439224830851291</v>
      </c>
      <c r="M75" s="63">
        <f>+(L75-L74)/L74</f>
        <v>-7.9984355770983381E-2</v>
      </c>
    </row>
    <row r="76" spans="9:19" x14ac:dyDescent="0.25">
      <c r="I76" t="s">
        <v>216</v>
      </c>
      <c r="J76" t="s">
        <v>217</v>
      </c>
      <c r="K76" s="71">
        <f>+K75-9</f>
        <v>42.761001999999998</v>
      </c>
      <c r="L76" s="71">
        <f t="shared" si="16"/>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7">+J108</f>
        <v>9.9389069659747609</v>
      </c>
      <c r="K105">
        <f t="shared" si="17"/>
        <v>9.3869901772428523</v>
      </c>
      <c r="L105">
        <f t="shared" si="17"/>
        <v>10.287079260646848</v>
      </c>
      <c r="M105">
        <f t="shared" si="17"/>
        <v>10.535673289409495</v>
      </c>
      <c r="N105">
        <f t="shared" si="17"/>
        <v>10.74174170797278</v>
      </c>
      <c r="O105">
        <f t="shared" si="17"/>
        <v>11.129993971580372</v>
      </c>
      <c r="P105">
        <f t="shared" si="17"/>
        <v>11.404622491095539</v>
      </c>
      <c r="Q105">
        <f t="shared" si="17"/>
        <v>11.693615001593368</v>
      </c>
      <c r="R105">
        <f t="shared" si="17"/>
        <v>11.97288183063062</v>
      </c>
      <c r="S105">
        <f t="shared" si="17"/>
        <v>12.106750658115047</v>
      </c>
      <c r="T105">
        <f t="shared" si="17"/>
        <v>12.377995487022886</v>
      </c>
      <c r="U105">
        <f t="shared" si="17"/>
        <v>12.602511149398413</v>
      </c>
      <c r="V105">
        <f t="shared" si="17"/>
        <v>12.89947849257279</v>
      </c>
      <c r="W105">
        <f t="shared" si="17"/>
        <v>13.05019617018589</v>
      </c>
      <c r="X105">
        <f t="shared" si="17"/>
        <v>13.528408425775462</v>
      </c>
      <c r="Y105">
        <f t="shared" si="17"/>
        <v>13.746138157938017</v>
      </c>
      <c r="Z105">
        <f t="shared" si="17"/>
        <v>14.018754906092827</v>
      </c>
      <c r="AA105">
        <f t="shared" si="17"/>
        <v>14.383410900612422</v>
      </c>
      <c r="AB105">
        <f t="shared" si="17"/>
        <v>14.451363477705129</v>
      </c>
      <c r="AC105">
        <f t="shared" si="17"/>
        <v>14.722348267322275</v>
      </c>
      <c r="AD105">
        <f t="shared" si="17"/>
        <v>14.97849385828558</v>
      </c>
      <c r="AE105">
        <f t="shared" si="17"/>
        <v>15.146069572197943</v>
      </c>
      <c r="AF105">
        <f t="shared" si="17"/>
        <v>15.324567642948036</v>
      </c>
      <c r="AG105">
        <f t="shared" si="17"/>
        <v>15.726956186501802</v>
      </c>
      <c r="AH105">
        <f t="shared" si="17"/>
        <v>15.920432485064548</v>
      </c>
      <c r="AI105">
        <f t="shared" si="17"/>
        <v>16.14669086999627</v>
      </c>
      <c r="AJ105">
        <f t="shared" si="17"/>
        <v>16.491298400506025</v>
      </c>
      <c r="AK105">
        <f t="shared" si="17"/>
        <v>16.614746224078669</v>
      </c>
      <c r="AL105">
        <f t="shared" si="17"/>
        <v>17.032564177747016</v>
      </c>
      <c r="AM105">
        <f t="shared" si="17"/>
        <v>17.354044993811897</v>
      </c>
      <c r="AN105">
        <f t="shared" si="17"/>
        <v>17.615031873336019</v>
      </c>
      <c r="AO105">
        <f t="shared" si="17"/>
        <v>17.793513868287572</v>
      </c>
    </row>
    <row r="106" spans="9:41" x14ac:dyDescent="0.25">
      <c r="I106" t="s">
        <v>67</v>
      </c>
      <c r="J106">
        <f>+J105*(100%+$M$75)</f>
        <v>9.143949895233531</v>
      </c>
      <c r="K106">
        <f t="shared" ref="K106:AO106" si="18">+K105*(100%+$M$75)</f>
        <v>8.6361778152875335</v>
      </c>
      <c r="L106">
        <f t="shared" si="18"/>
        <v>9.4642738532189661</v>
      </c>
      <c r="M106">
        <f t="shared" si="18"/>
        <v>9.6929842487425191</v>
      </c>
      <c r="N106">
        <f t="shared" si="18"/>
        <v>9.8825704176022739</v>
      </c>
      <c r="O106">
        <f t="shared" si="18"/>
        <v>10.239768574028588</v>
      </c>
      <c r="P106">
        <f t="shared" si="18"/>
        <v>10.492431108333994</v>
      </c>
      <c r="Q106">
        <f t="shared" si="18"/>
        <v>10.758308739057016</v>
      </c>
      <c r="R106">
        <f t="shared" si="18"/>
        <v>11.015238590685517</v>
      </c>
      <c r="S106">
        <f t="shared" si="18"/>
        <v>11.138400006245785</v>
      </c>
      <c r="T106">
        <f t="shared" si="18"/>
        <v>11.387949492257221</v>
      </c>
      <c r="U106">
        <f t="shared" si="18"/>
        <v>11.594507414017146</v>
      </c>
      <c r="V106">
        <f t="shared" si="18"/>
        <v>11.8677220155627</v>
      </c>
      <c r="W106">
        <f t="shared" si="18"/>
        <v>12.006384636828617</v>
      </c>
      <c r="X106">
        <f t="shared" si="18"/>
        <v>12.446347393233069</v>
      </c>
      <c r="Y106">
        <f t="shared" si="18"/>
        <v>12.646662153036411</v>
      </c>
      <c r="Z106">
        <f t="shared" si="18"/>
        <v>12.897473826217679</v>
      </c>
      <c r="AA106">
        <f t="shared" si="18"/>
        <v>13.232963045937597</v>
      </c>
      <c r="AB106">
        <f t="shared" si="18"/>
        <v>13.295480479928566</v>
      </c>
      <c r="AC106">
        <f t="shared" si="18"/>
        <v>13.544790725724448</v>
      </c>
      <c r="AD106">
        <f t="shared" si="18"/>
        <v>13.780448676610977</v>
      </c>
      <c r="AE106">
        <f t="shared" si="18"/>
        <v>13.934620955003197</v>
      </c>
      <c r="AF106">
        <f t="shared" si="18"/>
        <v>14.098841972557979</v>
      </c>
      <c r="AG106">
        <f t="shared" si="18"/>
        <v>14.469045727685973</v>
      </c>
      <c r="AH106">
        <f t="shared" si="18"/>
        <v>14.647046949151225</v>
      </c>
      <c r="AI106">
        <f t="shared" si="18"/>
        <v>14.855208202926399</v>
      </c>
      <c r="AJ106">
        <f t="shared" si="18"/>
        <v>15.172252522114501</v>
      </c>
      <c r="AK106">
        <f t="shared" si="18"/>
        <v>15.285826451047358</v>
      </c>
      <c r="AL106">
        <f t="shared" si="18"/>
        <v>15.670225504861991</v>
      </c>
      <c r="AM106">
        <f t="shared" si="18"/>
        <v>15.965992884961192</v>
      </c>
      <c r="AN106">
        <f t="shared" si="18"/>
        <v>16.206104897061898</v>
      </c>
      <c r="AO106">
        <f t="shared" si="18"/>
        <v>16.370311124630533</v>
      </c>
    </row>
    <row r="107" spans="9:41" x14ac:dyDescent="0.25">
      <c r="I107" t="s">
        <v>226</v>
      </c>
      <c r="J107">
        <f>+J105*(100%+$M$76)</f>
        <v>7.5540357537510738</v>
      </c>
      <c r="K107">
        <f t="shared" ref="K107:AO107" si="19">+K105*(100%+$M$76)</f>
        <v>7.1345530913769002</v>
      </c>
      <c r="L107">
        <f t="shared" si="19"/>
        <v>7.8186630383632059</v>
      </c>
      <c r="M107">
        <f t="shared" si="19"/>
        <v>8.0076061674085715</v>
      </c>
      <c r="N107">
        <f t="shared" si="19"/>
        <v>8.1642278368612686</v>
      </c>
      <c r="O107">
        <f t="shared" si="19"/>
        <v>8.4593177789250227</v>
      </c>
      <c r="P107">
        <f t="shared" si="19"/>
        <v>8.668048342810911</v>
      </c>
      <c r="Q107">
        <f t="shared" si="19"/>
        <v>8.8876962139843165</v>
      </c>
      <c r="R107">
        <f t="shared" si="19"/>
        <v>9.0999521107953179</v>
      </c>
      <c r="S107">
        <f t="shared" si="19"/>
        <v>9.2016987025072687</v>
      </c>
      <c r="T107">
        <f t="shared" si="19"/>
        <v>9.4078575027258964</v>
      </c>
      <c r="U107">
        <f t="shared" si="19"/>
        <v>9.5784999432546165</v>
      </c>
      <c r="V107">
        <f t="shared" si="19"/>
        <v>9.8042090615425241</v>
      </c>
      <c r="W107">
        <f t="shared" si="19"/>
        <v>9.9187615701140768</v>
      </c>
      <c r="X107">
        <f t="shared" si="19"/>
        <v>10.282225328148286</v>
      </c>
      <c r="Y107">
        <f t="shared" si="19"/>
        <v>10.447710143233209</v>
      </c>
      <c r="Z107">
        <f t="shared" si="19"/>
        <v>10.65491166646739</v>
      </c>
      <c r="AA107">
        <f t="shared" si="19"/>
        <v>10.932067336587954</v>
      </c>
      <c r="AB107">
        <f t="shared" si="19"/>
        <v>10.983714484375447</v>
      </c>
      <c r="AC107">
        <f t="shared" si="19"/>
        <v>11.189675642528805</v>
      </c>
      <c r="AD107">
        <f t="shared" si="19"/>
        <v>11.384358313261776</v>
      </c>
      <c r="AE107">
        <f t="shared" si="19"/>
        <v>11.511723720613711</v>
      </c>
      <c r="AF107">
        <f t="shared" si="19"/>
        <v>11.647390631777874</v>
      </c>
      <c r="AG107">
        <f t="shared" si="19"/>
        <v>11.953224810054323</v>
      </c>
      <c r="AH107">
        <f t="shared" si="19"/>
        <v>12.100275877324583</v>
      </c>
      <c r="AI107">
        <f t="shared" si="19"/>
        <v>12.272242868786664</v>
      </c>
      <c r="AJ107">
        <f t="shared" si="19"/>
        <v>12.534160765331462</v>
      </c>
      <c r="AK107">
        <f t="shared" si="19"/>
        <v>12.627986904984743</v>
      </c>
      <c r="AL107">
        <f t="shared" si="19"/>
        <v>12.945548159091949</v>
      </c>
      <c r="AM107">
        <f t="shared" si="19"/>
        <v>13.189888667259792</v>
      </c>
      <c r="AN107">
        <f t="shared" si="19"/>
        <v>13.388250944513667</v>
      </c>
      <c r="AO107">
        <f t="shared" si="19"/>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518</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8:17" x14ac:dyDescent="0.25">
      <c r="I113" t="s">
        <v>1021</v>
      </c>
    </row>
    <row r="114" spans="8:17" x14ac:dyDescent="0.25">
      <c r="J114">
        <v>2019</v>
      </c>
      <c r="K114">
        <v>2020</v>
      </c>
      <c r="L114">
        <v>2025</v>
      </c>
      <c r="M114">
        <v>2030</v>
      </c>
      <c r="N114">
        <v>2035</v>
      </c>
      <c r="O114">
        <v>2040</v>
      </c>
      <c r="P114">
        <v>2045</v>
      </c>
      <c r="Q114">
        <v>2050</v>
      </c>
    </row>
    <row r="115" spans="8:17" x14ac:dyDescent="0.25">
      <c r="H115" t="s">
        <v>45</v>
      </c>
      <c r="I115" t="s">
        <v>1018</v>
      </c>
      <c r="J115" s="70">
        <f>+J97*$R$3/1000000</f>
        <v>20.996445954041999</v>
      </c>
      <c r="K115" s="70">
        <f t="shared" ref="K115" si="20">+K97*$R$3/1000000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8:17" x14ac:dyDescent="0.25">
      <c r="H116" t="s">
        <v>47</v>
      </c>
      <c r="I116" t="s">
        <v>86</v>
      </c>
      <c r="J116" s="70">
        <f t="shared" ref="J116:K125" si="21">+J98*$R$3/1000000</f>
        <v>20.905026160941002</v>
      </c>
      <c r="K116" s="70">
        <f t="shared" si="21"/>
        <v>20.219447377232999</v>
      </c>
      <c r="L116" s="70">
        <f t="shared" ref="L116:L126" si="22">+P98*$R$3/1000000</f>
        <v>20.630671999937999</v>
      </c>
      <c r="M116" s="70">
        <f t="shared" ref="M116:M126" si="23">+U98*$R$3/1000000</f>
        <v>21.930071290101001</v>
      </c>
      <c r="N116" s="70">
        <f t="shared" ref="N116:N125" si="24">+Z98*$R$3/1000000</f>
        <v>23.082531458571001</v>
      </c>
      <c r="O116" s="70">
        <f t="shared" ref="O116:O126" si="25">+AE98*$R$3/1000000</f>
        <v>23.875429665555</v>
      </c>
      <c r="P116" s="70">
        <f t="shared" ref="P116:P126" si="26">+AJ98*$R$3/1000000</f>
        <v>25.090517790116998</v>
      </c>
      <c r="Q116" s="70">
        <f t="shared" ref="Q116:Q126" si="27">+AO98*$R$3/1000000</f>
        <v>25.880965890156002</v>
      </c>
    </row>
    <row r="117" spans="8:17" x14ac:dyDescent="0.25">
      <c r="H117" t="s">
        <v>48</v>
      </c>
      <c r="I117" t="s">
        <v>1019</v>
      </c>
      <c r="J117" s="70">
        <f t="shared" si="21"/>
        <v>13.877034192216</v>
      </c>
      <c r="K117" s="70">
        <f t="shared" si="21"/>
        <v>13.695434350650002</v>
      </c>
      <c r="L117" s="70">
        <f t="shared" si="22"/>
        <v>14.458260219857999</v>
      </c>
      <c r="M117" s="70">
        <f t="shared" si="23"/>
        <v>15.795199697939999</v>
      </c>
      <c r="N117" s="70">
        <f t="shared" si="24"/>
        <v>17.191836481949998</v>
      </c>
      <c r="O117" s="70">
        <f t="shared" si="25"/>
        <v>18.196136740431001</v>
      </c>
      <c r="P117" s="70">
        <f t="shared" si="26"/>
        <v>19.62033319935</v>
      </c>
      <c r="Q117" s="70">
        <f t="shared" si="27"/>
        <v>20.718097692200999</v>
      </c>
    </row>
    <row r="118" spans="8:17" x14ac:dyDescent="0.25">
      <c r="H118" t="s">
        <v>49</v>
      </c>
      <c r="I118" t="s">
        <v>49</v>
      </c>
      <c r="J118" s="70">
        <f t="shared" si="21"/>
        <v>17.551047751146001</v>
      </c>
      <c r="K118" s="70">
        <f t="shared" si="21"/>
        <v>16.867144707893999</v>
      </c>
      <c r="L118" s="70">
        <f t="shared" si="22"/>
        <v>19.872932116751997</v>
      </c>
      <c r="M118" s="70">
        <f t="shared" si="23"/>
        <v>22.022557377326997</v>
      </c>
      <c r="N118" s="70">
        <f t="shared" si="24"/>
        <v>22.891725470484001</v>
      </c>
      <c r="O118" s="70">
        <f t="shared" si="25"/>
        <v>24.412499742618003</v>
      </c>
      <c r="P118" s="70">
        <f t="shared" si="26"/>
        <v>25.877700660591003</v>
      </c>
      <c r="Q118" s="70">
        <f t="shared" si="27"/>
        <v>27.425805235919999</v>
      </c>
    </row>
    <row r="119" spans="8:17" x14ac:dyDescent="0.25">
      <c r="H119" t="s">
        <v>50</v>
      </c>
      <c r="I119" t="s">
        <v>207</v>
      </c>
      <c r="J119" s="70">
        <f t="shared" si="21"/>
        <v>9.2415067298189992</v>
      </c>
      <c r="K119" s="70">
        <f t="shared" si="21"/>
        <v>9.6605963379900004</v>
      </c>
      <c r="L119" s="70">
        <f t="shared" si="22"/>
        <v>9.3615136314569991</v>
      </c>
      <c r="M119" s="70">
        <f t="shared" si="23"/>
        <v>10.777456499940001</v>
      </c>
      <c r="N119" s="70">
        <f t="shared" si="24"/>
        <v>12.03505800822</v>
      </c>
      <c r="O119" s="70">
        <f t="shared" si="25"/>
        <v>13.376972577735</v>
      </c>
      <c r="P119" s="70">
        <f t="shared" si="26"/>
        <v>14.299692331392</v>
      </c>
      <c r="Q119" s="70">
        <f t="shared" si="27"/>
        <v>15.089726235401999</v>
      </c>
    </row>
    <row r="120" spans="8:17" x14ac:dyDescent="0.25">
      <c r="H120" t="s">
        <v>43</v>
      </c>
      <c r="I120" t="s">
        <v>208</v>
      </c>
      <c r="J120" s="70">
        <f t="shared" si="21"/>
        <v>15.484369752577541</v>
      </c>
      <c r="K120" s="70">
        <f t="shared" si="21"/>
        <v>15.076841521470868</v>
      </c>
      <c r="L120" s="70">
        <f t="shared" si="22"/>
        <v>16.842423718223472</v>
      </c>
      <c r="M120" s="70">
        <f t="shared" si="23"/>
        <v>19.600166238545455</v>
      </c>
      <c r="N120" s="70">
        <f t="shared" si="24"/>
        <v>19.747825616593868</v>
      </c>
      <c r="O120" s="70">
        <f t="shared" si="25"/>
        <v>20.304548193105546</v>
      </c>
      <c r="P120" s="70">
        <f t="shared" si="26"/>
        <v>21.409220503499576</v>
      </c>
      <c r="Q120" s="70">
        <f t="shared" si="27"/>
        <v>24.151142776321418</v>
      </c>
    </row>
    <row r="121" spans="8:17" x14ac:dyDescent="0.25">
      <c r="H121" t="s">
        <v>44</v>
      </c>
      <c r="I121" t="s">
        <v>90</v>
      </c>
      <c r="J121" s="70">
        <f t="shared" si="21"/>
        <v>27.015813128159731</v>
      </c>
      <c r="K121" s="70">
        <f>+K103*$R$3/1000000</f>
        <v>26.129831538723028</v>
      </c>
      <c r="L121" s="70">
        <f t="shared" si="22"/>
        <v>26.661261993541277</v>
      </c>
      <c r="M121" s="70">
        <f t="shared" si="23"/>
        <v>28.340491100056148</v>
      </c>
      <c r="N121" s="70">
        <f t="shared" si="24"/>
        <v>29.829829037705093</v>
      </c>
      <c r="O121" s="70">
        <f t="shared" si="25"/>
        <v>30.854500790068418</v>
      </c>
      <c r="P121" s="70">
        <f t="shared" si="26"/>
        <v>32.424773577803386</v>
      </c>
      <c r="Q121" s="70">
        <f t="shared" si="27"/>
        <v>33.446279027916688</v>
      </c>
    </row>
    <row r="122" spans="8:17" x14ac:dyDescent="0.25">
      <c r="H122" t="s">
        <v>51</v>
      </c>
      <c r="I122" t="s">
        <v>1020</v>
      </c>
      <c r="J122" s="70">
        <f t="shared" si="21"/>
        <v>4.769127007632</v>
      </c>
      <c r="K122" s="70">
        <f t="shared" si="21"/>
        <v>4.5122894526059998</v>
      </c>
      <c r="L122" s="70">
        <f t="shared" si="22"/>
        <v>4.9274484636779992</v>
      </c>
      <c r="M122" s="70">
        <f t="shared" si="23"/>
        <v>5.3827086642029993</v>
      </c>
      <c r="N122" s="70">
        <f t="shared" si="24"/>
        <v>5.4401245746119997</v>
      </c>
      <c r="O122" s="70">
        <f t="shared" si="25"/>
        <v>5.4800854871490001</v>
      </c>
      <c r="P122" s="70">
        <f t="shared" si="26"/>
        <v>5.5431115263809998</v>
      </c>
      <c r="Q122" s="70">
        <f t="shared" si="27"/>
        <v>5.7037579775280003</v>
      </c>
    </row>
    <row r="123" spans="8:17" x14ac:dyDescent="0.25">
      <c r="H123" t="s">
        <v>52</v>
      </c>
      <c r="I123" t="s">
        <v>52</v>
      </c>
      <c r="J123" s="70">
        <f>+J105*$R$3/1000000</f>
        <v>9.4202649837693002</v>
      </c>
      <c r="K123" s="70">
        <f t="shared" si="21"/>
        <v>8.8971488688237894</v>
      </c>
      <c r="L123" s="70">
        <f t="shared" si="22"/>
        <v>10.809495075642701</v>
      </c>
      <c r="M123" s="70">
        <f t="shared" si="23"/>
        <v>11.944874310089356</v>
      </c>
      <c r="N123" s="70">
        <f t="shared" si="24"/>
        <v>13.287214218828185</v>
      </c>
      <c r="O123" s="70">
        <f t="shared" si="25"/>
        <v>14.355702223711937</v>
      </c>
      <c r="P123" s="70">
        <f t="shared" si="26"/>
        <v>15.630732976072419</v>
      </c>
      <c r="Q123" s="70">
        <f t="shared" si="27"/>
        <v>16.864994934098721</v>
      </c>
    </row>
    <row r="124" spans="8:17" x14ac:dyDescent="0.25">
      <c r="H124" t="s">
        <v>67</v>
      </c>
      <c r="I124" t="s">
        <v>67</v>
      </c>
      <c r="J124" s="70">
        <f t="shared" si="21"/>
        <v>8.6667911578505592</v>
      </c>
      <c r="K124" s="70">
        <f t="shared" si="21"/>
        <v>8.1855161483523844</v>
      </c>
      <c r="L124" s="70">
        <f t="shared" si="22"/>
        <v>9.9449045758078007</v>
      </c>
      <c r="M124" s="70">
        <f t="shared" si="23"/>
        <v>10.989471233631489</v>
      </c>
      <c r="N124" s="70">
        <f t="shared" si="24"/>
        <v>12.224444949544161</v>
      </c>
      <c r="O124" s="70">
        <f t="shared" si="25"/>
        <v>13.207470629708267</v>
      </c>
      <c r="P124" s="70">
        <f t="shared" si="26"/>
        <v>14.380518868753001</v>
      </c>
      <c r="Q124" s="70">
        <f t="shared" si="27"/>
        <v>15.516059179213938</v>
      </c>
    </row>
    <row r="125" spans="8:17" x14ac:dyDescent="0.25">
      <c r="H125" t="s">
        <v>226</v>
      </c>
      <c r="I125" t="s">
        <v>226</v>
      </c>
      <c r="J125" s="70">
        <f t="shared" si="21"/>
        <v>7.1598435060130816</v>
      </c>
      <c r="K125" s="70">
        <f t="shared" si="21"/>
        <v>6.7622507074095797</v>
      </c>
      <c r="L125" s="70">
        <f t="shared" si="22"/>
        <v>8.215723576138009</v>
      </c>
      <c r="M125" s="70">
        <f t="shared" si="23"/>
        <v>9.0786650807157603</v>
      </c>
      <c r="N125" s="70">
        <f t="shared" si="24"/>
        <v>10.098906410976124</v>
      </c>
      <c r="O125" s="70">
        <f t="shared" si="25"/>
        <v>10.911007441700926</v>
      </c>
      <c r="P125" s="70">
        <f t="shared" si="26"/>
        <v>11.88009065411417</v>
      </c>
      <c r="Q125" s="70">
        <f t="shared" si="27"/>
        <v>12.818187669444375</v>
      </c>
    </row>
    <row r="126" spans="8:17" x14ac:dyDescent="0.25">
      <c r="H126" t="s">
        <v>212</v>
      </c>
      <c r="I126" t="s">
        <v>212</v>
      </c>
      <c r="J126" s="70">
        <f>+J108*$R$3/1000000</f>
        <v>9.4202649837693002</v>
      </c>
      <c r="K126" s="70">
        <f t="shared" ref="K126" si="28">+K108*$R$3/1000000</f>
        <v>8.8971488688237894</v>
      </c>
      <c r="L126" s="70">
        <f t="shared" si="22"/>
        <v>10.809495075642701</v>
      </c>
      <c r="M126" s="70">
        <f t="shared" si="23"/>
        <v>11.944874310089356</v>
      </c>
      <c r="N126" s="70">
        <f>+Z108*$R$3/1000000</f>
        <v>13.287214218828185</v>
      </c>
      <c r="O126" s="70">
        <f t="shared" si="25"/>
        <v>14.355702223711937</v>
      </c>
      <c r="P126" s="70">
        <f t="shared" si="26"/>
        <v>15.630732976072419</v>
      </c>
      <c r="Q126" s="70">
        <f t="shared" si="27"/>
        <v>16.864994934098721</v>
      </c>
    </row>
    <row r="127" spans="8:17" x14ac:dyDescent="0.25">
      <c r="H127" t="s">
        <v>518</v>
      </c>
      <c r="I127" t="s">
        <v>1022</v>
      </c>
      <c r="J127" s="70">
        <f>+J109*$R$3/1000000</f>
        <v>21.450884058013838</v>
      </c>
      <c r="K127" s="70">
        <f>+K109*$R$3/1000000</f>
        <v>21.173796174722664</v>
      </c>
      <c r="L127" s="70">
        <f>+P109*$R$3/1000000</f>
        <v>22.060639953463127</v>
      </c>
      <c r="M127" s="70">
        <f t="shared" ref="M127" si="29">+U109*$R$3/1000000</f>
        <v>24.100563154252466</v>
      </c>
      <c r="N127" s="70">
        <f>+Z109*$R$3/1000000</f>
        <v>26.231573439673227</v>
      </c>
      <c r="O127" s="70">
        <f t="shared" ref="O127" si="30">+AE109*$R$3/1000000</f>
        <v>27.763950507910614</v>
      </c>
      <c r="P127" s="70">
        <f t="shared" ref="P127" si="31">+AJ109*$R$3/1000000</f>
        <v>29.937011777070548</v>
      </c>
      <c r="Q127" s="70">
        <f>+AO109*$R$3/1000000</f>
        <v>31.611998038364984</v>
      </c>
    </row>
    <row r="132" spans="9:17" x14ac:dyDescent="0.25">
      <c r="I132" t="s">
        <v>1023</v>
      </c>
      <c r="J132" s="57">
        <v>2019</v>
      </c>
      <c r="K132" s="57">
        <v>2020</v>
      </c>
      <c r="L132" s="57">
        <v>2025</v>
      </c>
      <c r="M132" s="57">
        <v>2030</v>
      </c>
      <c r="N132" s="57">
        <v>2035</v>
      </c>
      <c r="O132" s="57">
        <v>2040</v>
      </c>
      <c r="P132" s="57">
        <v>2045</v>
      </c>
      <c r="Q132" s="57">
        <v>2050</v>
      </c>
    </row>
    <row r="133" spans="9:17" x14ac:dyDescent="0.25">
      <c r="I133" t="s">
        <v>90</v>
      </c>
      <c r="J133">
        <v>27.015813128159731</v>
      </c>
      <c r="K133">
        <v>26.062049484430577</v>
      </c>
      <c r="L133">
        <v>27.26293166627044</v>
      </c>
      <c r="M133">
        <v>28.990379051104217</v>
      </c>
      <c r="N133">
        <v>31.697009911247882</v>
      </c>
      <c r="O133">
        <v>32.967623003898666</v>
      </c>
      <c r="P133">
        <v>34.607787018684213</v>
      </c>
      <c r="Q133">
        <v>35.963817996706439</v>
      </c>
    </row>
    <row r="134" spans="9:17" x14ac:dyDescent="0.25">
      <c r="I134" t="s">
        <v>1022</v>
      </c>
      <c r="J134">
        <v>21.475872844615932</v>
      </c>
      <c r="K134">
        <v>21.173796174722664</v>
      </c>
      <c r="L134">
        <v>23.09908472316074</v>
      </c>
      <c r="M134">
        <v>25.352291121728861</v>
      </c>
      <c r="N134">
        <v>28.770631310279356</v>
      </c>
      <c r="O134">
        <v>30.877675811857468</v>
      </c>
      <c r="P134">
        <v>33.171074715211802</v>
      </c>
      <c r="Q134">
        <v>35.177965790480719</v>
      </c>
    </row>
    <row r="135" spans="9:17" x14ac:dyDescent="0.25">
      <c r="I135" t="s">
        <v>1018</v>
      </c>
      <c r="J135">
        <v>20.996450693126999</v>
      </c>
      <c r="K135">
        <v>20.789779196276999</v>
      </c>
      <c r="L135">
        <v>21.49552278666</v>
      </c>
      <c r="M135">
        <v>22.787761319388</v>
      </c>
      <c r="N135">
        <v>24.782312344958999</v>
      </c>
      <c r="O135">
        <v>26.081950485006001</v>
      </c>
      <c r="P135">
        <v>27.657616630877996</v>
      </c>
      <c r="Q135">
        <v>28.857208895307</v>
      </c>
    </row>
    <row r="136" spans="9:17" x14ac:dyDescent="0.25">
      <c r="I136" t="s">
        <v>86</v>
      </c>
      <c r="J136">
        <v>20.905028056574999</v>
      </c>
      <c r="K136">
        <v>20.166998975720997</v>
      </c>
      <c r="L136">
        <v>21.096250136325001</v>
      </c>
      <c r="M136">
        <v>22.432961190509999</v>
      </c>
      <c r="N136">
        <v>24.527371371749997</v>
      </c>
      <c r="O136">
        <v>25.510580806347001</v>
      </c>
      <c r="P136">
        <v>26.779751368928999</v>
      </c>
      <c r="Q136">
        <v>27.829057769838002</v>
      </c>
    </row>
    <row r="137" spans="9:17" x14ac:dyDescent="0.25">
      <c r="I137" t="s">
        <v>49</v>
      </c>
      <c r="J137">
        <v>17.550825014150998</v>
      </c>
      <c r="K137">
        <v>17.327211288426</v>
      </c>
      <c r="L137">
        <v>21.000397403115002</v>
      </c>
      <c r="M137">
        <v>23.265791875521</v>
      </c>
      <c r="N137">
        <v>25.362927030636001</v>
      </c>
      <c r="O137">
        <v>27.015707567627999</v>
      </c>
      <c r="P137">
        <v>29.097066308778</v>
      </c>
      <c r="Q137">
        <v>30.992470937063995</v>
      </c>
    </row>
    <row r="138" spans="9:17" x14ac:dyDescent="0.25">
      <c r="I138" t="s">
        <v>208</v>
      </c>
      <c r="J138">
        <v>15.484369752577541</v>
      </c>
      <c r="K138">
        <v>15.168782704888827</v>
      </c>
      <c r="L138">
        <v>16.949109551577816</v>
      </c>
      <c r="M138">
        <v>19.89820760097551</v>
      </c>
      <c r="N138">
        <v>20.433037285408389</v>
      </c>
      <c r="O138">
        <v>21.046576062396845</v>
      </c>
      <c r="P138">
        <v>22.996499995778219</v>
      </c>
      <c r="Q138">
        <v>24.2190062601092</v>
      </c>
    </row>
    <row r="139" spans="9:17" x14ac:dyDescent="0.25">
      <c r="I139" t="s">
        <v>1019</v>
      </c>
      <c r="J139">
        <v>13.877034192216</v>
      </c>
      <c r="K139">
        <v>13.679057020707001</v>
      </c>
      <c r="L139">
        <v>14.925902701670999</v>
      </c>
      <c r="M139">
        <v>16.381853873541001</v>
      </c>
      <c r="N139">
        <v>18.590677888301997</v>
      </c>
      <c r="O139">
        <v>19.952183835207002</v>
      </c>
      <c r="P139">
        <v>21.434106140693999</v>
      </c>
      <c r="Q139">
        <v>22.730896090656</v>
      </c>
    </row>
    <row r="140" spans="9:17" x14ac:dyDescent="0.25">
      <c r="I140" t="s">
        <v>52</v>
      </c>
      <c r="J140">
        <v>9.4202649837692984</v>
      </c>
      <c r="K140">
        <v>9.6527165147854426</v>
      </c>
      <c r="L140">
        <v>11.578601139308462</v>
      </c>
      <c r="M140">
        <v>12.911789354957682</v>
      </c>
      <c r="N140">
        <v>14.757523117529285</v>
      </c>
      <c r="O140">
        <v>16.087232795682176</v>
      </c>
      <c r="P140">
        <v>17.631300754150111</v>
      </c>
      <c r="Q140">
        <v>18.826932611437442</v>
      </c>
    </row>
    <row r="141" spans="9:17" x14ac:dyDescent="0.25">
      <c r="I141" t="s">
        <v>212</v>
      </c>
      <c r="J141">
        <v>9.4202649837692984</v>
      </c>
      <c r="K141">
        <v>9.6527165147854426</v>
      </c>
      <c r="L141">
        <v>11.578601139308462</v>
      </c>
      <c r="M141">
        <v>12.911789354957682</v>
      </c>
      <c r="N141">
        <v>14.757523117529285</v>
      </c>
      <c r="O141">
        <v>16.087232795682176</v>
      </c>
      <c r="P141">
        <v>17.631300754150111</v>
      </c>
      <c r="Q141">
        <v>18.826932611437442</v>
      </c>
    </row>
    <row r="142" spans="9:17" x14ac:dyDescent="0.25">
      <c r="I142" t="s">
        <v>207</v>
      </c>
      <c r="J142">
        <v>9.2360008608660014</v>
      </c>
      <c r="K142">
        <v>9.6932486336400014</v>
      </c>
      <c r="L142">
        <v>9.5472696505679995</v>
      </c>
      <c r="M142">
        <v>10.673080048449</v>
      </c>
      <c r="N142">
        <v>12.218909862978</v>
      </c>
      <c r="O142">
        <v>13.22060646816</v>
      </c>
      <c r="P142">
        <v>14.059067186150999</v>
      </c>
      <c r="Q142">
        <v>15.210941603714998</v>
      </c>
    </row>
    <row r="143" spans="9:17" x14ac:dyDescent="0.25">
      <c r="I143" t="s">
        <v>67</v>
      </c>
      <c r="J143">
        <v>8.6667911578505574</v>
      </c>
      <c r="K143">
        <v>8.8806502029103971</v>
      </c>
      <c r="L143">
        <v>10.652494186451701</v>
      </c>
      <c r="M143">
        <v>11.87904820155075</v>
      </c>
      <c r="N143">
        <v>13.577152138198308</v>
      </c>
      <c r="O143">
        <v>14.800505844381702</v>
      </c>
      <c r="P143">
        <v>16.22107252192496</v>
      </c>
      <c r="Q143">
        <v>17.321072535367904</v>
      </c>
    </row>
    <row r="144" spans="9:17" x14ac:dyDescent="0.25">
      <c r="I144" t="s">
        <v>226</v>
      </c>
      <c r="J144">
        <v>7.1598435060130807</v>
      </c>
      <c r="K144">
        <v>7.3365175791603097</v>
      </c>
      <c r="L144">
        <v>8.8002802807381819</v>
      </c>
      <c r="M144">
        <v>9.8135658947368913</v>
      </c>
      <c r="N144">
        <v>11.216410179536366</v>
      </c>
      <c r="O144">
        <v>12.227051941780758</v>
      </c>
      <c r="P144">
        <v>13.400616057474668</v>
      </c>
      <c r="Q144">
        <v>14.309352383228823</v>
      </c>
    </row>
    <row r="145" spans="9:17" x14ac:dyDescent="0.25">
      <c r="I145" t="s">
        <v>1020</v>
      </c>
      <c r="J145">
        <v>4.7688341321789993</v>
      </c>
      <c r="K145">
        <v>4.6568448145439998</v>
      </c>
      <c r="L145">
        <v>5.7706406841329994</v>
      </c>
      <c r="M145">
        <v>6.7599028780919994</v>
      </c>
      <c r="N145">
        <v>7.3262282746769998</v>
      </c>
      <c r="O145">
        <v>7.6825591280100003</v>
      </c>
      <c r="P145">
        <v>8.0943780319740011</v>
      </c>
      <c r="Q145">
        <v>8.6837619205349998</v>
      </c>
    </row>
    <row r="167" spans="9:17" x14ac:dyDescent="0.25">
      <c r="I167" t="s">
        <v>1024</v>
      </c>
    </row>
    <row r="168" spans="9:17" x14ac:dyDescent="0.25">
      <c r="I168" t="s">
        <v>1023</v>
      </c>
      <c r="J168">
        <v>2019</v>
      </c>
      <c r="K168">
        <v>2020</v>
      </c>
      <c r="L168">
        <v>2025</v>
      </c>
      <c r="M168">
        <v>2030</v>
      </c>
      <c r="N168">
        <v>2035</v>
      </c>
      <c r="O168">
        <v>2040</v>
      </c>
      <c r="P168">
        <v>2045</v>
      </c>
      <c r="Q168">
        <v>2050</v>
      </c>
    </row>
    <row r="169" spans="9:17" x14ac:dyDescent="0.25">
      <c r="I169" t="s">
        <v>90</v>
      </c>
      <c r="J169">
        <v>27.015813128159731</v>
      </c>
      <c r="K169">
        <v>31.322836701288676</v>
      </c>
      <c r="L169">
        <v>39.015640552433432</v>
      </c>
      <c r="M169">
        <v>42.266280355693034</v>
      </c>
      <c r="N169">
        <v>45.088618066974036</v>
      </c>
      <c r="O169">
        <v>47.363336148644329</v>
      </c>
      <c r="P169">
        <v>49.233692323046512</v>
      </c>
      <c r="Q169">
        <v>50.210386940852374</v>
      </c>
    </row>
    <row r="170" spans="9:17" x14ac:dyDescent="0.25">
      <c r="I170" t="s">
        <v>1022</v>
      </c>
      <c r="J170">
        <v>21.450884058013838</v>
      </c>
      <c r="K170">
        <v>21.173796174722664</v>
      </c>
      <c r="L170">
        <v>37.186692773166044</v>
      </c>
      <c r="M170">
        <v>41.229377773012715</v>
      </c>
      <c r="N170">
        <v>44.916747362229778</v>
      </c>
      <c r="O170">
        <v>47.699295534749872</v>
      </c>
      <c r="P170">
        <v>49.876800958156473</v>
      </c>
      <c r="Q170">
        <v>51.271656543925765</v>
      </c>
    </row>
    <row r="171" spans="9:17" x14ac:dyDescent="0.25">
      <c r="I171" t="s">
        <v>1018</v>
      </c>
      <c r="J171">
        <v>20.996427945518999</v>
      </c>
      <c r="K171">
        <v>25.491360025404003</v>
      </c>
      <c r="L171">
        <v>30.547421569079997</v>
      </c>
      <c r="M171">
        <v>33.024909051576003</v>
      </c>
      <c r="N171">
        <v>35.898836159393994</v>
      </c>
      <c r="O171">
        <v>37.688749703397008</v>
      </c>
      <c r="P171">
        <v>38.537161552070998</v>
      </c>
      <c r="Q171">
        <v>39.804000484833004</v>
      </c>
    </row>
    <row r="172" spans="9:17" x14ac:dyDescent="0.25">
      <c r="I172" t="s">
        <v>86</v>
      </c>
      <c r="J172">
        <v>20.905026160941002</v>
      </c>
      <c r="K172">
        <v>24.237831286772998</v>
      </c>
      <c r="L172">
        <v>30.190576998933</v>
      </c>
      <c r="M172">
        <v>32.705944935650997</v>
      </c>
      <c r="N172">
        <v>34.889889701978994</v>
      </c>
      <c r="O172">
        <v>36.650082548313001</v>
      </c>
      <c r="P172">
        <v>38.097377307522002</v>
      </c>
      <c r="Q172">
        <v>38.853150470433008</v>
      </c>
    </row>
    <row r="173" spans="9:17" x14ac:dyDescent="0.25">
      <c r="I173" t="s">
        <v>49</v>
      </c>
      <c r="J173">
        <v>17.551047751146001</v>
      </c>
      <c r="K173">
        <v>20.045582670203999</v>
      </c>
      <c r="L173">
        <v>30.990463460658003</v>
      </c>
      <c r="M173">
        <v>37.844807772446998</v>
      </c>
      <c r="N173">
        <v>40.179621309749997</v>
      </c>
      <c r="O173">
        <v>41.761107999819004</v>
      </c>
      <c r="P173">
        <v>43.302257494001999</v>
      </c>
      <c r="Q173">
        <v>43.799493666006001</v>
      </c>
    </row>
    <row r="174" spans="9:17" x14ac:dyDescent="0.25">
      <c r="I174" t="s">
        <v>208</v>
      </c>
      <c r="J174">
        <v>15.484369752577541</v>
      </c>
      <c r="K174">
        <v>15.267547210351818</v>
      </c>
      <c r="L174">
        <v>16.076228516171685</v>
      </c>
      <c r="M174">
        <v>18.475113595146638</v>
      </c>
      <c r="N174">
        <v>25.499449139045872</v>
      </c>
      <c r="O174">
        <v>28.021512547352661</v>
      </c>
      <c r="P174">
        <v>25.226404215831689</v>
      </c>
      <c r="Q174">
        <v>26.973992561674077</v>
      </c>
    </row>
    <row r="175" spans="9:17" x14ac:dyDescent="0.25">
      <c r="I175" t="s">
        <v>1019</v>
      </c>
      <c r="J175">
        <v>13.877034192216</v>
      </c>
      <c r="K175">
        <v>17.954588421432</v>
      </c>
      <c r="L175">
        <v>24.371681055696005</v>
      </c>
      <c r="M175">
        <v>27.021204906228</v>
      </c>
      <c r="N175">
        <v>29.437859598029998</v>
      </c>
      <c r="O175">
        <v>31.261505949063</v>
      </c>
      <c r="P175">
        <v>32.688615049622996</v>
      </c>
      <c r="Q175">
        <v>33.602785493940004</v>
      </c>
    </row>
    <row r="176" spans="9:17" x14ac:dyDescent="0.25">
      <c r="I176" t="s">
        <v>52</v>
      </c>
      <c r="J176">
        <v>9.4202649837693002</v>
      </c>
      <c r="K176">
        <v>8.8971488688237894</v>
      </c>
      <c r="L176">
        <v>10.809495075642701</v>
      </c>
      <c r="M176">
        <v>11.944874310089356</v>
      </c>
      <c r="N176">
        <v>13.287214218828185</v>
      </c>
      <c r="O176">
        <v>14.355702223711937</v>
      </c>
      <c r="P176">
        <v>15.630732976072419</v>
      </c>
      <c r="Q176">
        <v>16.864994934098721</v>
      </c>
    </row>
    <row r="177" spans="9:17" x14ac:dyDescent="0.25">
      <c r="I177" t="s">
        <v>212</v>
      </c>
      <c r="J177">
        <v>9.4202649837692984</v>
      </c>
      <c r="K177">
        <v>13.936113077570406</v>
      </c>
      <c r="L177">
        <v>18.754767902286247</v>
      </c>
      <c r="M177">
        <v>22.369962611540721</v>
      </c>
      <c r="N177">
        <v>25.612524998362172</v>
      </c>
      <c r="O177">
        <v>27.580685197432587</v>
      </c>
      <c r="P177">
        <v>29.099592320712304</v>
      </c>
      <c r="Q177">
        <v>30.008644929154396</v>
      </c>
    </row>
    <row r="178" spans="9:17" x14ac:dyDescent="0.25">
      <c r="I178" t="s">
        <v>207</v>
      </c>
      <c r="J178">
        <v>9.3223337201280021</v>
      </c>
      <c r="K178">
        <v>13.72703456943</v>
      </c>
      <c r="L178">
        <v>19.950516625104001</v>
      </c>
      <c r="M178">
        <v>22.011837567057004</v>
      </c>
      <c r="N178">
        <v>24.103288663623001</v>
      </c>
      <c r="O178">
        <v>25.621477290980998</v>
      </c>
      <c r="P178">
        <v>26.186885200710002</v>
      </c>
      <c r="Q178">
        <v>26.538456117069</v>
      </c>
    </row>
    <row r="179" spans="9:17" x14ac:dyDescent="0.25">
      <c r="I179" t="s">
        <v>67</v>
      </c>
      <c r="J179">
        <v>8.6667911578505592</v>
      </c>
      <c r="K179">
        <v>8.1855161483523844</v>
      </c>
      <c r="L179">
        <v>9.9449045758078007</v>
      </c>
      <c r="M179">
        <v>10.989471233631489</v>
      </c>
      <c r="N179">
        <v>12.224444949544161</v>
      </c>
      <c r="O179">
        <v>13.207470629708267</v>
      </c>
      <c r="P179">
        <v>14.380518868753001</v>
      </c>
      <c r="Q179">
        <v>15.516059179213938</v>
      </c>
    </row>
    <row r="180" spans="9:17" x14ac:dyDescent="0.25">
      <c r="I180" t="s">
        <v>226</v>
      </c>
      <c r="J180">
        <v>7.1598435060130816</v>
      </c>
      <c r="K180">
        <v>6.7622507074095797</v>
      </c>
      <c r="L180">
        <v>8.215723576138009</v>
      </c>
      <c r="M180">
        <v>9.0786650807157603</v>
      </c>
      <c r="N180">
        <v>10.098906410976124</v>
      </c>
      <c r="O180">
        <v>10.911007441700926</v>
      </c>
      <c r="P180">
        <v>11.88009065411417</v>
      </c>
      <c r="Q180">
        <v>12.818187669444375</v>
      </c>
    </row>
    <row r="181" spans="9:17" x14ac:dyDescent="0.25">
      <c r="I181" t="s">
        <v>1020</v>
      </c>
      <c r="J181">
        <v>4.7686256124390001</v>
      </c>
      <c r="K181">
        <v>4.4696661221159992</v>
      </c>
      <c r="L181">
        <v>4.7636988596730001</v>
      </c>
      <c r="M181">
        <v>5.3431827996689991</v>
      </c>
      <c r="N181">
        <v>5.6996757297089999</v>
      </c>
      <c r="O181">
        <v>5.8174002880109992</v>
      </c>
      <c r="P181">
        <v>6.0810886643129995</v>
      </c>
      <c r="Q181">
        <v>6.2797274120880004</v>
      </c>
    </row>
    <row r="186" spans="9:17" x14ac:dyDescent="0.25">
      <c r="I186" t="s">
        <v>1025</v>
      </c>
    </row>
    <row r="187" spans="9:17" x14ac:dyDescent="0.25">
      <c r="I187" t="s">
        <v>1023</v>
      </c>
      <c r="J187">
        <v>2019</v>
      </c>
      <c r="K187">
        <v>2020</v>
      </c>
      <c r="L187">
        <v>2025</v>
      </c>
      <c r="M187">
        <v>2030</v>
      </c>
      <c r="N187">
        <v>2035</v>
      </c>
      <c r="O187">
        <v>2040</v>
      </c>
      <c r="P187">
        <v>2045</v>
      </c>
      <c r="Q187">
        <v>2050</v>
      </c>
    </row>
    <row r="188" spans="9:17" x14ac:dyDescent="0.25">
      <c r="I188" t="s">
        <v>90</v>
      </c>
      <c r="J188">
        <v>27.015813128159731</v>
      </c>
      <c r="K188">
        <v>20.762217418713881</v>
      </c>
      <c r="L188">
        <v>20.285771846776306</v>
      </c>
      <c r="M188">
        <v>21.032357372857387</v>
      </c>
      <c r="N188">
        <v>21.1954408429634</v>
      </c>
      <c r="O188">
        <v>21.496194086339983</v>
      </c>
      <c r="P188">
        <v>21.624810811928342</v>
      </c>
      <c r="Q188">
        <v>21.746284069233294</v>
      </c>
    </row>
    <row r="189" spans="9:17" x14ac:dyDescent="0.25">
      <c r="I189" t="s">
        <v>1022</v>
      </c>
      <c r="J189">
        <v>21.450884058013838</v>
      </c>
      <c r="K189">
        <v>21.173796174722664</v>
      </c>
      <c r="L189">
        <v>15.995593051497483</v>
      </c>
      <c r="M189">
        <v>16.640750940798355</v>
      </c>
      <c r="N189">
        <v>16.949502984384424</v>
      </c>
      <c r="O189">
        <v>17.366044830737749</v>
      </c>
      <c r="P189">
        <v>17.587039160074951</v>
      </c>
      <c r="Q189">
        <v>17.585917982489683</v>
      </c>
    </row>
    <row r="190" spans="9:17" x14ac:dyDescent="0.25">
      <c r="I190" t="s">
        <v>1018</v>
      </c>
      <c r="J190">
        <v>20.996496188342999</v>
      </c>
      <c r="K190">
        <v>16.800970020588</v>
      </c>
      <c r="L190">
        <v>15.861653043444001</v>
      </c>
      <c r="M190">
        <v>16.501408666469999</v>
      </c>
      <c r="N190">
        <v>16.807575357260998</v>
      </c>
      <c r="O190">
        <v>17.220629266776005</v>
      </c>
      <c r="P190">
        <v>17.439773087529002</v>
      </c>
      <c r="Q190">
        <v>17.438661298188002</v>
      </c>
    </row>
    <row r="191" spans="9:17" x14ac:dyDescent="0.25">
      <c r="I191" t="s">
        <v>86</v>
      </c>
      <c r="J191">
        <v>20.905036586927999</v>
      </c>
      <c r="K191">
        <v>16.065957841245002</v>
      </c>
      <c r="L191">
        <v>15.697280723669998</v>
      </c>
      <c r="M191">
        <v>16.27499414151</v>
      </c>
      <c r="N191">
        <v>16.401189340340999</v>
      </c>
      <c r="O191">
        <v>16.633914430887</v>
      </c>
      <c r="P191">
        <v>16.733439007154999</v>
      </c>
      <c r="Q191">
        <v>16.827435914678997</v>
      </c>
    </row>
    <row r="192" spans="9:17" x14ac:dyDescent="0.25">
      <c r="I192" t="s">
        <v>49</v>
      </c>
      <c r="J192">
        <v>17.551159593552001</v>
      </c>
      <c r="K192">
        <v>14.072073131025002</v>
      </c>
      <c r="L192">
        <v>12.941376736509</v>
      </c>
      <c r="M192">
        <v>13.627454071959001</v>
      </c>
      <c r="N192">
        <v>13.724267891606999</v>
      </c>
      <c r="O192">
        <v>13.898379031056001</v>
      </c>
      <c r="P192">
        <v>14.022830246607001</v>
      </c>
      <c r="Q192">
        <v>14.158405990287001</v>
      </c>
    </row>
    <row r="193" spans="8:17" x14ac:dyDescent="0.25">
      <c r="I193" t="s">
        <v>208</v>
      </c>
      <c r="J193">
        <v>15.484369752577541</v>
      </c>
      <c r="K193">
        <v>14.985124420878694</v>
      </c>
      <c r="L193">
        <v>16.817830628094004</v>
      </c>
      <c r="M193">
        <v>19.685127241940332</v>
      </c>
      <c r="N193">
        <v>20.70291143663777</v>
      </c>
      <c r="O193">
        <v>22.056181233953279</v>
      </c>
      <c r="P193">
        <v>22.660588635791161</v>
      </c>
      <c r="Q193">
        <v>22.956590844506614</v>
      </c>
    </row>
    <row r="194" spans="8:17" x14ac:dyDescent="0.25">
      <c r="I194" t="s">
        <v>1019</v>
      </c>
      <c r="J194">
        <v>13.877034192216</v>
      </c>
      <c r="K194">
        <v>9.1943784251280007</v>
      </c>
      <c r="L194">
        <v>9.1138357799190004</v>
      </c>
      <c r="M194">
        <v>9.6202240728750006</v>
      </c>
      <c r="N194">
        <v>9.9838720734479978</v>
      </c>
      <c r="O194">
        <v>10.420767371781</v>
      </c>
      <c r="P194">
        <v>10.711293186438001</v>
      </c>
      <c r="Q194">
        <v>10.917375141114</v>
      </c>
    </row>
    <row r="195" spans="8:17" x14ac:dyDescent="0.25">
      <c r="I195" t="s">
        <v>52</v>
      </c>
      <c r="J195">
        <v>9.4202649837693002</v>
      </c>
      <c r="K195">
        <v>8.8971488688237894</v>
      </c>
      <c r="L195">
        <v>10.809495075642701</v>
      </c>
      <c r="M195">
        <v>11.944874310089356</v>
      </c>
      <c r="N195">
        <v>13.287214218828185</v>
      </c>
      <c r="O195">
        <v>14.355702223711937</v>
      </c>
      <c r="P195">
        <v>15.630732976072419</v>
      </c>
      <c r="Q195">
        <v>16.864994934098721</v>
      </c>
    </row>
    <row r="196" spans="8:17" x14ac:dyDescent="0.25">
      <c r="I196" t="s">
        <v>212</v>
      </c>
      <c r="J196">
        <v>9.4202649837692984</v>
      </c>
      <c r="K196">
        <v>5.5410245813461438</v>
      </c>
      <c r="L196">
        <v>5.8260146701732038</v>
      </c>
      <c r="M196">
        <v>6.2035295029981778</v>
      </c>
      <c r="N196">
        <v>6.5878743248971627</v>
      </c>
      <c r="O196">
        <v>6.9782551418962697</v>
      </c>
      <c r="P196">
        <v>7.3046487848961918</v>
      </c>
      <c r="Q196">
        <v>7.4251670907905236</v>
      </c>
    </row>
    <row r="197" spans="8:17" x14ac:dyDescent="0.25">
      <c r="I197" t="s">
        <v>207</v>
      </c>
      <c r="J197">
        <v>9.1459288635389999</v>
      </c>
      <c r="K197">
        <v>6.5706295100940002</v>
      </c>
      <c r="L197">
        <v>7.048325486826001</v>
      </c>
      <c r="M197">
        <v>7.4524272647759995</v>
      </c>
      <c r="N197">
        <v>7.4661573418380005</v>
      </c>
      <c r="O197">
        <v>7.3779165269550004</v>
      </c>
      <c r="P197">
        <v>7.0998848359920004</v>
      </c>
      <c r="Q197">
        <v>6.9238704800070003</v>
      </c>
    </row>
    <row r="198" spans="8:17" x14ac:dyDescent="0.25">
      <c r="I198" t="s">
        <v>67</v>
      </c>
      <c r="J198">
        <v>8.6667911578505592</v>
      </c>
      <c r="K198">
        <v>8.1855161483523844</v>
      </c>
      <c r="L198">
        <v>9.9449045758078007</v>
      </c>
      <c r="M198">
        <v>10.989471233631489</v>
      </c>
      <c r="N198">
        <v>12.224444949544161</v>
      </c>
      <c r="O198">
        <v>13.207470629708267</v>
      </c>
      <c r="P198">
        <v>14.380518868753001</v>
      </c>
      <c r="Q198">
        <v>15.516059179213938</v>
      </c>
    </row>
    <row r="199" spans="8:17" x14ac:dyDescent="0.25">
      <c r="I199" t="s">
        <v>226</v>
      </c>
      <c r="J199">
        <v>7.1598435060130816</v>
      </c>
      <c r="K199">
        <v>6.7622507074095797</v>
      </c>
      <c r="L199">
        <v>8.215723576138009</v>
      </c>
      <c r="M199">
        <v>9.0786650807157603</v>
      </c>
      <c r="N199">
        <v>10.098906410976124</v>
      </c>
      <c r="O199">
        <v>10.911007441700926</v>
      </c>
      <c r="P199">
        <v>11.88009065411417</v>
      </c>
      <c r="Q199">
        <v>12.818187669444375</v>
      </c>
    </row>
    <row r="200" spans="8:17" x14ac:dyDescent="0.25">
      <c r="I200" t="s">
        <v>1020</v>
      </c>
      <c r="J200">
        <v>4.7689696700100006</v>
      </c>
      <c r="K200">
        <v>4.5224329901400004</v>
      </c>
      <c r="L200">
        <v>4.9892669840520005</v>
      </c>
      <c r="M200">
        <v>5.3724049455960001</v>
      </c>
      <c r="N200">
        <v>5.4102105222750003</v>
      </c>
      <c r="O200">
        <v>5.5797465490649998</v>
      </c>
      <c r="P200">
        <v>5.6580807806640001</v>
      </c>
      <c r="Q200">
        <v>5.7504237475230005</v>
      </c>
    </row>
    <row r="204" spans="8:17" x14ac:dyDescent="0.25">
      <c r="I204" t="s">
        <v>1026</v>
      </c>
    </row>
    <row r="205" spans="8:17" x14ac:dyDescent="0.25">
      <c r="I205" s="19"/>
      <c r="J205" s="19">
        <v>2019</v>
      </c>
      <c r="K205" s="19">
        <v>2020</v>
      </c>
      <c r="L205" s="19">
        <v>2025</v>
      </c>
      <c r="M205" s="19">
        <v>2030</v>
      </c>
      <c r="N205" s="19">
        <v>2035</v>
      </c>
      <c r="O205" s="19">
        <v>2040</v>
      </c>
      <c r="P205" s="19">
        <v>2045</v>
      </c>
      <c r="Q205" s="19">
        <v>2050</v>
      </c>
    </row>
    <row r="206" spans="8:17" x14ac:dyDescent="0.25">
      <c r="H206" t="s">
        <v>90</v>
      </c>
      <c r="I206" s="19" t="s">
        <v>44</v>
      </c>
      <c r="J206" s="19">
        <v>27.015813128159731</v>
      </c>
      <c r="K206" s="19">
        <v>25.474061558177858</v>
      </c>
      <c r="L206" s="19">
        <v>25.351065720485089</v>
      </c>
      <c r="M206" s="19">
        <v>26.450334818933815</v>
      </c>
      <c r="N206" s="19">
        <v>27.615453205181815</v>
      </c>
      <c r="O206" s="19">
        <v>28.895174584628517</v>
      </c>
      <c r="P206" s="19">
        <v>29.877035725796304</v>
      </c>
      <c r="Q206" s="19">
        <v>30.294950876544668</v>
      </c>
    </row>
    <row r="207" spans="8:17" x14ac:dyDescent="0.25">
      <c r="H207" t="s">
        <v>1022</v>
      </c>
      <c r="I207" s="19" t="s">
        <v>518</v>
      </c>
      <c r="J207" s="19">
        <v>22.236027134154664</v>
      </c>
      <c r="K207" s="19">
        <v>21.173796174722664</v>
      </c>
      <c r="L207" s="19">
        <v>20.369778820328239</v>
      </c>
      <c r="M207" s="19">
        <v>21.667421243565386</v>
      </c>
      <c r="N207" s="19">
        <v>23.39959869387344</v>
      </c>
      <c r="O207" s="19">
        <v>25.242091824603278</v>
      </c>
      <c r="P207" s="19">
        <v>26.865369418442533</v>
      </c>
      <c r="Q207" s="19">
        <v>27.834179136082643</v>
      </c>
    </row>
    <row r="208" spans="8:17" x14ac:dyDescent="0.25">
      <c r="H208" t="s">
        <v>85</v>
      </c>
      <c r="I208" s="19" t="s">
        <v>45</v>
      </c>
      <c r="J208" s="19">
        <v>20.996442162773999</v>
      </c>
      <c r="K208" s="19">
        <v>20.268611592839996</v>
      </c>
      <c r="L208" s="19">
        <v>19.15508774673</v>
      </c>
      <c r="M208" s="19">
        <v>20.227572064557002</v>
      </c>
      <c r="N208" s="19">
        <v>21.021596278137004</v>
      </c>
      <c r="O208" s="19">
        <v>22.294317363200999</v>
      </c>
      <c r="P208" s="19">
        <v>23.439072727278003</v>
      </c>
      <c r="Q208" s="19">
        <v>23.937589400048996</v>
      </c>
    </row>
    <row r="209" spans="8:17" x14ac:dyDescent="0.25">
      <c r="H209" t="s">
        <v>90</v>
      </c>
      <c r="I209" s="19" t="s">
        <v>47</v>
      </c>
      <c r="J209" s="19">
        <v>20.905026160941002</v>
      </c>
      <c r="K209" s="19">
        <v>19.712007955223999</v>
      </c>
      <c r="L209" s="19">
        <v>19.616832911168999</v>
      </c>
      <c r="M209" s="19">
        <v>20.467455069087002</v>
      </c>
      <c r="N209" s="19">
        <v>21.369031868925003</v>
      </c>
      <c r="O209" s="19">
        <v>22.359289270733999</v>
      </c>
      <c r="P209" s="19">
        <v>23.119060325751001</v>
      </c>
      <c r="Q209" s="19">
        <v>23.442446007980998</v>
      </c>
    </row>
    <row r="210" spans="8:17" x14ac:dyDescent="0.25">
      <c r="H210" t="s">
        <v>49</v>
      </c>
      <c r="I210" s="19" t="s">
        <v>49</v>
      </c>
      <c r="J210" s="19">
        <v>17.551115993970004</v>
      </c>
      <c r="K210" s="19">
        <v>16.846269986286</v>
      </c>
      <c r="L210" s="19">
        <v>18.477481999626001</v>
      </c>
      <c r="M210" s="19">
        <v>20.564194959009001</v>
      </c>
      <c r="N210" s="19">
        <v>21.505640733134999</v>
      </c>
      <c r="O210" s="19">
        <v>22.988122250652001</v>
      </c>
      <c r="P210" s="19">
        <v>24.341681699829</v>
      </c>
      <c r="Q210" s="19">
        <v>25.08799564908</v>
      </c>
    </row>
    <row r="211" spans="8:17" x14ac:dyDescent="0.25">
      <c r="H211" t="s">
        <v>208</v>
      </c>
      <c r="I211" s="19" t="s">
        <v>43</v>
      </c>
      <c r="J211" s="19">
        <v>15.484369752577541</v>
      </c>
      <c r="K211" s="19">
        <v>15.095843745097101</v>
      </c>
      <c r="L211" s="19">
        <v>16.606094766013509</v>
      </c>
      <c r="M211" s="19">
        <v>19.195360613772024</v>
      </c>
      <c r="N211" s="19">
        <v>19.493995795690402</v>
      </c>
      <c r="O211" s="19">
        <v>20.098201522985082</v>
      </c>
      <c r="P211" s="19">
        <v>22.242595736720517</v>
      </c>
      <c r="Q211" s="19">
        <v>22.85054364720574</v>
      </c>
    </row>
    <row r="212" spans="8:17" x14ac:dyDescent="0.25">
      <c r="H212" t="s">
        <v>206</v>
      </c>
      <c r="I212" s="19" t="s">
        <v>48</v>
      </c>
      <c r="J212" s="19">
        <v>13.877034192216</v>
      </c>
      <c r="K212" s="19">
        <v>13.180861657898999</v>
      </c>
      <c r="L212" s="19">
        <v>13.350091539797999</v>
      </c>
      <c r="M212" s="19">
        <v>14.200549725374998</v>
      </c>
      <c r="N212" s="19">
        <v>15.335796589308</v>
      </c>
      <c r="O212" s="19">
        <v>16.543342934001</v>
      </c>
      <c r="P212" s="19">
        <v>17.607218230017001</v>
      </c>
      <c r="Q212" s="19">
        <v>18.242163681768002</v>
      </c>
    </row>
    <row r="213" spans="8:17" x14ac:dyDescent="0.25">
      <c r="H213" t="s">
        <v>52</v>
      </c>
      <c r="I213" s="19" t="s">
        <v>52</v>
      </c>
      <c r="J213" s="19">
        <v>9.4202649837692984</v>
      </c>
      <c r="K213" s="19">
        <v>9.0952086730910686</v>
      </c>
      <c r="L213" s="19">
        <v>9.6563405564494822</v>
      </c>
      <c r="M213" s="19">
        <v>10.345060172014255</v>
      </c>
      <c r="N213" s="19">
        <v>11.440741884468556</v>
      </c>
      <c r="O213" s="19">
        <v>12.52013047891119</v>
      </c>
      <c r="P213" s="19">
        <v>13.606968920228624</v>
      </c>
      <c r="Q213" s="19">
        <v>14.133951193094239</v>
      </c>
    </row>
    <row r="214" spans="8:17" x14ac:dyDescent="0.25">
      <c r="H214" t="s">
        <v>212</v>
      </c>
      <c r="I214" s="19" t="s">
        <v>212</v>
      </c>
      <c r="J214" s="19">
        <v>9.4202649837692984</v>
      </c>
      <c r="K214" s="19">
        <v>9.0952086730910686</v>
      </c>
      <c r="L214" s="19">
        <v>9.6563405564494822</v>
      </c>
      <c r="M214" s="19">
        <v>10.345060172014255</v>
      </c>
      <c r="N214" s="19">
        <v>11.440741884468556</v>
      </c>
      <c r="O214" s="19">
        <v>12.52013047891119</v>
      </c>
      <c r="P214" s="19">
        <v>13.606968920228624</v>
      </c>
      <c r="Q214" s="19">
        <v>14.133951193094239</v>
      </c>
    </row>
    <row r="215" spans="8:17" x14ac:dyDescent="0.25">
      <c r="H215" t="s">
        <v>207</v>
      </c>
      <c r="I215" s="19" t="s">
        <v>50</v>
      </c>
      <c r="J215" s="19">
        <v>9.2394916708770012</v>
      </c>
      <c r="K215" s="19">
        <v>9.3714922488330004</v>
      </c>
      <c r="L215" s="19">
        <v>8.7294125785230001</v>
      </c>
      <c r="M215" s="19">
        <v>10.011694293666002</v>
      </c>
      <c r="N215" s="19">
        <v>10.855830539853001</v>
      </c>
      <c r="O215" s="19">
        <v>12.037304334510001</v>
      </c>
      <c r="P215" s="19">
        <v>12.836904555501</v>
      </c>
      <c r="Q215" s="19">
        <v>13.911046605260999</v>
      </c>
    </row>
    <row r="216" spans="8:17" x14ac:dyDescent="0.25">
      <c r="H216" t="s">
        <v>67</v>
      </c>
      <c r="I216" s="19" t="s">
        <v>67</v>
      </c>
      <c r="J216" s="19">
        <v>8.6667911578505574</v>
      </c>
      <c r="K216" s="19">
        <v>8.3677342667712189</v>
      </c>
      <c r="L216" s="19">
        <v>8.8839843779366507</v>
      </c>
      <c r="M216" s="19">
        <v>9.5176171987436362</v>
      </c>
      <c r="N216" s="19">
        <v>10.525661515297232</v>
      </c>
      <c r="O216" s="19">
        <v>11.518715908386824</v>
      </c>
      <c r="P216" s="19">
        <v>12.518624277148344</v>
      </c>
      <c r="Q216" s="19">
        <v>13.003456212416074</v>
      </c>
    </row>
    <row r="217" spans="8:17" x14ac:dyDescent="0.25">
      <c r="H217" t="s">
        <v>226</v>
      </c>
      <c r="I217" s="19" t="s">
        <v>226</v>
      </c>
      <c r="J217" s="19">
        <v>7.1598435060130807</v>
      </c>
      <c r="K217" s="19">
        <v>6.9127854541315239</v>
      </c>
      <c r="L217" s="19">
        <v>7.3392720209109932</v>
      </c>
      <c r="M217" s="19">
        <v>7.862731252202404</v>
      </c>
      <c r="N217" s="19">
        <v>8.6955007769545887</v>
      </c>
      <c r="O217" s="19">
        <v>9.5158867673380989</v>
      </c>
      <c r="P217" s="19">
        <v>10.341934990987788</v>
      </c>
      <c r="Q217" s="19">
        <v>10.742466251059749</v>
      </c>
    </row>
    <row r="218" spans="8:17" x14ac:dyDescent="0.25">
      <c r="H218" t="s">
        <v>1020</v>
      </c>
      <c r="I218" s="19" t="s">
        <v>51</v>
      </c>
      <c r="J218" s="19">
        <v>4.7685943344780002</v>
      </c>
      <c r="K218" s="19">
        <v>4.5008085452850004</v>
      </c>
      <c r="L218" s="19">
        <v>4.4508415286790006</v>
      </c>
      <c r="M218" s="19">
        <v>4.6175426348219997</v>
      </c>
      <c r="N218" s="19">
        <v>4.6119590448749994</v>
      </c>
      <c r="O218" s="19">
        <v>4.5693793139669996</v>
      </c>
      <c r="P218" s="19">
        <v>4.4781746753250005</v>
      </c>
      <c r="Q218" s="19">
        <v>4.4311487348699998</v>
      </c>
    </row>
    <row r="221" spans="8:17" x14ac:dyDescent="0.25">
      <c r="I221" s="19" t="s">
        <v>1027</v>
      </c>
    </row>
    <row r="222" spans="8:17" x14ac:dyDescent="0.25">
      <c r="I222" s="19" t="s">
        <v>1023</v>
      </c>
      <c r="J222">
        <v>2019</v>
      </c>
      <c r="K222">
        <v>2020</v>
      </c>
      <c r="L222">
        <v>2025</v>
      </c>
      <c r="M222">
        <v>2030</v>
      </c>
      <c r="N222">
        <v>2035</v>
      </c>
      <c r="O222">
        <v>2040</v>
      </c>
      <c r="P222">
        <v>2045</v>
      </c>
      <c r="Q222">
        <v>2050</v>
      </c>
    </row>
    <row r="223" spans="8:17" x14ac:dyDescent="0.25">
      <c r="H223" t="s">
        <v>90</v>
      </c>
      <c r="I223" t="s">
        <v>44</v>
      </c>
      <c r="J223">
        <v>27.015813128159731</v>
      </c>
      <c r="K223">
        <v>26.062049484430577</v>
      </c>
      <c r="L223">
        <v>27.26293166627044</v>
      </c>
      <c r="M223">
        <v>28.990379051104217</v>
      </c>
      <c r="N223">
        <v>31.697009911247882</v>
      </c>
      <c r="O223">
        <v>32.967623003898666</v>
      </c>
      <c r="P223">
        <v>34.607787018684213</v>
      </c>
      <c r="Q223">
        <v>35.963817996706439</v>
      </c>
    </row>
    <row r="224" spans="8:17" x14ac:dyDescent="0.25">
      <c r="H224" t="s">
        <v>1022</v>
      </c>
      <c r="I224" t="s">
        <v>518</v>
      </c>
      <c r="J224" s="555">
        <v>21.475872844615932</v>
      </c>
      <c r="K224" s="555">
        <v>21.173796174722664</v>
      </c>
      <c r="L224" s="555">
        <v>23.09908472316074</v>
      </c>
      <c r="M224" s="555">
        <v>25.352291121728861</v>
      </c>
      <c r="N224" s="555">
        <v>28.770631310279356</v>
      </c>
      <c r="O224" s="555">
        <v>30.877675811857468</v>
      </c>
      <c r="P224" s="555">
        <v>33.171074715211802</v>
      </c>
      <c r="Q224" s="555">
        <v>35.177965790480719</v>
      </c>
    </row>
    <row r="225" spans="8:17" x14ac:dyDescent="0.25">
      <c r="H225" t="s">
        <v>85</v>
      </c>
      <c r="I225" t="s">
        <v>45</v>
      </c>
      <c r="J225">
        <v>20.996450693126999</v>
      </c>
      <c r="K225">
        <v>20.789779196276999</v>
      </c>
      <c r="L225">
        <v>21.49552278666</v>
      </c>
      <c r="M225">
        <v>22.787761319388</v>
      </c>
      <c r="N225">
        <v>24.782312344958999</v>
      </c>
      <c r="O225">
        <v>26.081950485006001</v>
      </c>
      <c r="P225">
        <v>27.657616630877996</v>
      </c>
      <c r="Q225">
        <v>28.857208895307</v>
      </c>
    </row>
    <row r="226" spans="8:17" x14ac:dyDescent="0.25">
      <c r="H226" t="s">
        <v>90</v>
      </c>
      <c r="I226" t="s">
        <v>47</v>
      </c>
      <c r="J226">
        <v>20.905028056574999</v>
      </c>
      <c r="K226">
        <v>20.166998975720997</v>
      </c>
      <c r="L226">
        <v>21.096250136325001</v>
      </c>
      <c r="M226">
        <v>22.432961190509999</v>
      </c>
      <c r="N226">
        <v>24.527371371749997</v>
      </c>
      <c r="O226">
        <v>25.510580806347001</v>
      </c>
      <c r="P226">
        <v>26.779751368928999</v>
      </c>
      <c r="Q226">
        <v>27.829057769838002</v>
      </c>
    </row>
    <row r="227" spans="8:17" x14ac:dyDescent="0.25">
      <c r="H227" t="s">
        <v>49</v>
      </c>
      <c r="I227" t="s">
        <v>49</v>
      </c>
      <c r="J227">
        <v>17.550825014150998</v>
      </c>
      <c r="K227">
        <v>17.327211288426</v>
      </c>
      <c r="L227">
        <v>21.000397403115002</v>
      </c>
      <c r="M227">
        <v>23.265791875521</v>
      </c>
      <c r="N227">
        <v>25.362927030636001</v>
      </c>
      <c r="O227">
        <v>27.015707567627999</v>
      </c>
      <c r="P227">
        <v>29.097066308778</v>
      </c>
      <c r="Q227">
        <v>30.992470937063995</v>
      </c>
    </row>
    <row r="228" spans="8:17" x14ac:dyDescent="0.25">
      <c r="H228" t="s">
        <v>208</v>
      </c>
      <c r="I228" t="s">
        <v>43</v>
      </c>
      <c r="J228">
        <v>15.484369752577541</v>
      </c>
      <c r="K228">
        <v>15.168782704888827</v>
      </c>
      <c r="L228">
        <v>16.949109551577816</v>
      </c>
      <c r="M228">
        <v>19.89820760097551</v>
      </c>
      <c r="N228">
        <v>20.433037285408389</v>
      </c>
      <c r="O228">
        <v>21.046576062396845</v>
      </c>
      <c r="P228">
        <v>22.996499995778219</v>
      </c>
      <c r="Q228">
        <v>24.2190062601092</v>
      </c>
    </row>
    <row r="229" spans="8:17" x14ac:dyDescent="0.25">
      <c r="H229" t="s">
        <v>206</v>
      </c>
      <c r="I229" t="s">
        <v>48</v>
      </c>
      <c r="J229">
        <v>13.877034192216</v>
      </c>
      <c r="K229">
        <v>13.679057020707001</v>
      </c>
      <c r="L229">
        <v>14.925902701670999</v>
      </c>
      <c r="M229">
        <v>16.381853873541001</v>
      </c>
      <c r="N229">
        <v>18.590677888301997</v>
      </c>
      <c r="O229">
        <v>19.952183835207002</v>
      </c>
      <c r="P229">
        <v>21.434106140693999</v>
      </c>
      <c r="Q229">
        <v>22.730896090656</v>
      </c>
    </row>
    <row r="230" spans="8:17" x14ac:dyDescent="0.25">
      <c r="H230" t="s">
        <v>52</v>
      </c>
      <c r="I230" t="s">
        <v>52</v>
      </c>
      <c r="J230">
        <v>9.4202649837692984</v>
      </c>
      <c r="K230">
        <v>9.6527165147854426</v>
      </c>
      <c r="L230">
        <v>11.578601139308462</v>
      </c>
      <c r="M230">
        <v>12.911789354957682</v>
      </c>
      <c r="N230">
        <v>14.757523117529285</v>
      </c>
      <c r="O230">
        <v>16.087232795682176</v>
      </c>
      <c r="P230">
        <v>17.631300754150111</v>
      </c>
      <c r="Q230">
        <v>18.826932611437442</v>
      </c>
    </row>
    <row r="231" spans="8:17" x14ac:dyDescent="0.25">
      <c r="H231" t="s">
        <v>212</v>
      </c>
      <c r="I231" t="s">
        <v>212</v>
      </c>
      <c r="J231">
        <v>9.4202649837692984</v>
      </c>
      <c r="K231">
        <v>9.6527165147854426</v>
      </c>
      <c r="L231">
        <v>11.578601139308462</v>
      </c>
      <c r="M231">
        <v>12.911789354957682</v>
      </c>
      <c r="N231">
        <v>14.757523117529285</v>
      </c>
      <c r="O231">
        <v>16.087232795682176</v>
      </c>
      <c r="P231">
        <v>17.631300754150111</v>
      </c>
      <c r="Q231">
        <v>18.826932611437442</v>
      </c>
    </row>
    <row r="232" spans="8:17" x14ac:dyDescent="0.25">
      <c r="H232" t="s">
        <v>207</v>
      </c>
      <c r="I232" t="s">
        <v>50</v>
      </c>
      <c r="J232">
        <v>9.2360008608660014</v>
      </c>
      <c r="K232">
        <v>9.6932486336400014</v>
      </c>
      <c r="L232">
        <v>9.5472696505679995</v>
      </c>
      <c r="M232">
        <v>10.673080048449</v>
      </c>
      <c r="N232">
        <v>12.218909862978</v>
      </c>
      <c r="O232">
        <v>13.22060646816</v>
      </c>
      <c r="P232">
        <v>14.059067186150999</v>
      </c>
      <c r="Q232">
        <v>15.210941603714998</v>
      </c>
    </row>
    <row r="233" spans="8:17" x14ac:dyDescent="0.25">
      <c r="H233" t="s">
        <v>67</v>
      </c>
      <c r="I233" t="s">
        <v>67</v>
      </c>
      <c r="J233">
        <v>8.6667911578505574</v>
      </c>
      <c r="K233">
        <v>8.8806502029103971</v>
      </c>
      <c r="L233">
        <v>10.652494186451701</v>
      </c>
      <c r="M233">
        <v>11.87904820155075</v>
      </c>
      <c r="N233">
        <v>13.577152138198308</v>
      </c>
      <c r="O233">
        <v>14.800505844381702</v>
      </c>
      <c r="P233">
        <v>16.22107252192496</v>
      </c>
      <c r="Q233">
        <v>17.321072535367904</v>
      </c>
    </row>
    <row r="234" spans="8:17" x14ac:dyDescent="0.25">
      <c r="H234" t="s">
        <v>226</v>
      </c>
      <c r="I234" t="s">
        <v>226</v>
      </c>
      <c r="J234">
        <v>7.1598435060130807</v>
      </c>
      <c r="K234">
        <v>7.3365175791603097</v>
      </c>
      <c r="L234">
        <v>8.8002802807381819</v>
      </c>
      <c r="M234">
        <v>9.8135658947368913</v>
      </c>
      <c r="N234">
        <v>11.216410179536366</v>
      </c>
      <c r="O234">
        <v>12.227051941780758</v>
      </c>
      <c r="P234">
        <v>13.400616057474668</v>
      </c>
      <c r="Q234">
        <v>14.309352383228823</v>
      </c>
    </row>
    <row r="235" spans="8:17" x14ac:dyDescent="0.25">
      <c r="H235" t="s">
        <v>1020</v>
      </c>
      <c r="I235" t="s">
        <v>51</v>
      </c>
      <c r="J235">
        <v>4.7688341321789993</v>
      </c>
      <c r="K235">
        <v>4.6568448145439998</v>
      </c>
      <c r="L235">
        <v>5.7706406841329994</v>
      </c>
      <c r="M235">
        <v>6.7599028780919994</v>
      </c>
      <c r="N235">
        <v>7.3262282746769998</v>
      </c>
      <c r="O235">
        <v>7.6825591280100003</v>
      </c>
      <c r="P235">
        <v>8.0943780319740011</v>
      </c>
      <c r="Q235">
        <v>8.6837619205349998</v>
      </c>
    </row>
    <row r="238" spans="8:17" x14ac:dyDescent="0.25">
      <c r="J238">
        <v>21.475872844615932</v>
      </c>
      <c r="K238">
        <v>21.173796174722664</v>
      </c>
      <c r="L238">
        <v>23.09908472316074</v>
      </c>
      <c r="M238">
        <v>25.352291121728861</v>
      </c>
      <c r="N238">
        <v>28.770631310279356</v>
      </c>
      <c r="O238">
        <v>30.877675811857468</v>
      </c>
      <c r="P238">
        <v>33.171074715211802</v>
      </c>
      <c r="Q238">
        <v>35.177965790480719</v>
      </c>
    </row>
  </sheetData>
  <autoFilter ref="I222:Q222" xr:uid="{743BBBF6-E167-48D3-927A-A11A4A00D8B9}">
    <sortState xmlns:xlrd2="http://schemas.microsoft.com/office/spreadsheetml/2017/richdata2" ref="I223:Q235">
      <sortCondition descending="1" ref="J222"/>
    </sortState>
  </autoFilter>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8"/>
  <sheetViews>
    <sheetView showGridLines="0" topLeftCell="A87" zoomScaleNormal="100" workbookViewId="0">
      <selection activeCell="K108" sqref="K108"/>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518</v>
      </c>
      <c r="J11" s="38" t="s">
        <v>519</v>
      </c>
      <c r="K11" s="149">
        <v>1</v>
      </c>
      <c r="L11" s="34"/>
      <c r="M11" s="38"/>
      <c r="O11" s="38"/>
      <c r="P11" s="38" t="str">
        <f t="shared" si="1"/>
        <v>FTE-DAVG</v>
      </c>
      <c r="Q11" s="38" t="s">
        <v>520</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542</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543</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544</v>
      </c>
      <c r="I26" s="38" t="s">
        <v>43</v>
      </c>
      <c r="J26" s="38" t="s">
        <v>548</v>
      </c>
      <c r="K26" s="163">
        <v>1</v>
      </c>
      <c r="L26" s="38"/>
      <c r="M26" s="38"/>
      <c r="O26" s="38"/>
      <c r="P26" s="38" t="str">
        <f>+H26</f>
        <v>FTE-ETH</v>
      </c>
      <c r="Q26" s="38" t="s">
        <v>546</v>
      </c>
      <c r="R26" s="38" t="s">
        <v>9</v>
      </c>
      <c r="S26" s="38" t="s">
        <v>42</v>
      </c>
    </row>
    <row r="27" spans="2:19" x14ac:dyDescent="0.25">
      <c r="H27" s="38" t="s">
        <v>545</v>
      </c>
      <c r="I27" s="38" t="s">
        <v>44</v>
      </c>
      <c r="J27" s="38" t="s">
        <v>549</v>
      </c>
      <c r="K27" s="163">
        <v>1</v>
      </c>
      <c r="P27" s="38" t="str">
        <f>+H27</f>
        <v>FTE-BDSL</v>
      </c>
      <c r="Q27" s="38" t="s">
        <v>547</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552</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549</v>
      </c>
      <c r="J68" s="269"/>
      <c r="K68" s="270" t="s">
        <v>552</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552</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548</v>
      </c>
      <c r="J70" s="269"/>
      <c r="K70" s="270" t="s">
        <v>552</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551</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550</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552</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549</v>
      </c>
      <c r="J77" s="269"/>
      <c r="K77" s="270" t="s">
        <v>552</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552</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548</v>
      </c>
      <c r="J79" s="269"/>
      <c r="K79" s="270" t="s">
        <v>552</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552</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549</v>
      </c>
      <c r="J87" s="269"/>
      <c r="K87" s="270" t="s">
        <v>552</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552</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548</v>
      </c>
      <c r="J89" s="269"/>
      <c r="K89" s="270" t="s">
        <v>552</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519</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row r="108" spans="8:18" x14ac:dyDescent="0.25">
      <c r="K108">
        <f>+M73*K101+M75*K102+K103+M92*K104</f>
        <v>127.2831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zoomScaleNormal="100" workbookViewId="0">
      <selection activeCell="L22" sqref="L22"/>
    </sheetView>
  </sheetViews>
  <sheetFormatPr baseColWidth="10" defaultRowHeight="15" x14ac:dyDescent="0.25"/>
  <cols>
    <col min="2" max="2" width="15" customWidth="1"/>
    <col min="7" max="7" width="12" bestFit="1" customWidth="1"/>
  </cols>
  <sheetData>
    <row r="1" spans="2:8" x14ac:dyDescent="0.25">
      <c r="G1" s="212" t="s">
        <v>404</v>
      </c>
    </row>
    <row r="2" spans="2:8" x14ac:dyDescent="0.25">
      <c r="G2" s="259" t="s">
        <v>281</v>
      </c>
    </row>
    <row r="3" spans="2:8" x14ac:dyDescent="0.25">
      <c r="G3" s="260" t="s">
        <v>472</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528</v>
      </c>
      <c r="G11" s="122">
        <v>77.841777688967127</v>
      </c>
      <c r="H11" s="257">
        <v>77.841777688967127</v>
      </c>
    </row>
    <row r="12" spans="2:8" x14ac:dyDescent="0.25">
      <c r="B12" s="258">
        <v>0</v>
      </c>
      <c r="C12" s="257">
        <v>0</v>
      </c>
      <c r="D12" s="257" t="str">
        <v>DHOIL</v>
      </c>
      <c r="F12" t="s">
        <v>529</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770</v>
      </c>
      <c r="G16" s="122">
        <v>0.16600000000000001</v>
      </c>
      <c r="H16" t="s">
        <v>771</v>
      </c>
    </row>
    <row r="17" spans="2:15" x14ac:dyDescent="0.25">
      <c r="B17" s="258">
        <v>0</v>
      </c>
      <c r="C17" s="257">
        <v>0</v>
      </c>
      <c r="D17" s="257" t="str">
        <v>DIND</v>
      </c>
      <c r="F17" t="s">
        <v>770</v>
      </c>
      <c r="G17" s="457">
        <f>+(G16/1000000)</f>
        <v>1.66E-7</v>
      </c>
      <c r="H17" t="s">
        <v>772</v>
      </c>
    </row>
    <row r="18" spans="2:15" x14ac:dyDescent="0.25">
      <c r="B18" s="258">
        <v>0</v>
      </c>
      <c r="C18" s="257">
        <v>0</v>
      </c>
      <c r="D18" s="257" t="str">
        <v>DTRA</v>
      </c>
      <c r="F18" t="s">
        <v>770</v>
      </c>
      <c r="G18">
        <f>+G17*(1000000)</f>
        <v>0.16600000000000001</v>
      </c>
      <c r="H18" t="s">
        <v>774</v>
      </c>
    </row>
    <row r="19" spans="2:15" x14ac:dyDescent="0.25">
      <c r="B19" s="258" t="str">
        <v>NRG</v>
      </c>
      <c r="C19" s="257">
        <v>0</v>
      </c>
      <c r="D19" s="257" t="str">
        <v>DAVG</v>
      </c>
      <c r="F19" s="458" t="s">
        <v>770</v>
      </c>
      <c r="G19" s="458">
        <f>+G18/0.0036</f>
        <v>46.111111111111114</v>
      </c>
      <c r="H19" s="458" t="s">
        <v>775</v>
      </c>
    </row>
    <row r="21" spans="2:15" ht="18.75" x14ac:dyDescent="0.3">
      <c r="B21" s="454" t="s">
        <v>773</v>
      </c>
    </row>
    <row r="23" spans="2:15" x14ac:dyDescent="0.25">
      <c r="B23" s="254" t="s">
        <v>527</v>
      </c>
    </row>
    <row r="24" spans="2:15" ht="15.75" thickBot="1" x14ac:dyDescent="0.3">
      <c r="B24" s="255" t="s">
        <v>2</v>
      </c>
      <c r="C24" s="256" t="s">
        <v>146</v>
      </c>
      <c r="D24" s="256" t="s">
        <v>147</v>
      </c>
      <c r="E24" s="256" t="s">
        <v>548</v>
      </c>
      <c r="F24" s="256" t="s">
        <v>549</v>
      </c>
      <c r="G24" s="256" t="s">
        <v>148</v>
      </c>
      <c r="H24" s="256" t="s">
        <v>149</v>
      </c>
      <c r="I24" s="256" t="s">
        <v>150</v>
      </c>
      <c r="J24" s="256" t="s">
        <v>151</v>
      </c>
      <c r="K24" s="256" t="s">
        <v>152</v>
      </c>
      <c r="L24" s="256" t="s">
        <v>528</v>
      </c>
      <c r="M24" s="256" t="s">
        <v>529</v>
      </c>
      <c r="N24" s="256" t="s">
        <v>173</v>
      </c>
      <c r="O24" s="256" t="s">
        <v>519</v>
      </c>
    </row>
    <row r="25" spans="2:15" ht="15.75" thickBot="1" x14ac:dyDescent="0.3">
      <c r="B25" s="7" t="s">
        <v>8</v>
      </c>
      <c r="C25" s="21" t="s">
        <v>281</v>
      </c>
      <c r="D25" s="21" t="s">
        <v>281</v>
      </c>
      <c r="E25" s="21" t="s">
        <v>281</v>
      </c>
      <c r="F25" s="21" t="s">
        <v>281</v>
      </c>
      <c r="G25" s="21" t="s">
        <v>281</v>
      </c>
      <c r="H25" s="21" t="s">
        <v>281</v>
      </c>
      <c r="I25" s="21" t="s">
        <v>281</v>
      </c>
      <c r="J25" s="21" t="s">
        <v>281</v>
      </c>
      <c r="K25" s="21" t="s">
        <v>281</v>
      </c>
      <c r="L25" s="21" t="s">
        <v>281</v>
      </c>
      <c r="M25" s="21" t="s">
        <v>281</v>
      </c>
      <c r="N25" s="21" t="s">
        <v>281</v>
      </c>
      <c r="O25" s="21" t="s">
        <v>281</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766</v>
      </c>
    </row>
    <row r="33" spans="2:6" x14ac:dyDescent="0.25">
      <c r="B33" s="254" t="s">
        <v>527</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281</v>
      </c>
      <c r="D35" s="21" t="s">
        <v>281</v>
      </c>
      <c r="E35" s="21" t="s">
        <v>281</v>
      </c>
      <c r="F35" s="21" t="s">
        <v>281</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527</v>
      </c>
    </row>
    <row r="41" spans="2:6" ht="15.75" thickBot="1" x14ac:dyDescent="0.3">
      <c r="B41" s="255" t="s">
        <v>2</v>
      </c>
      <c r="C41" s="256" t="s">
        <v>756</v>
      </c>
      <c r="D41" s="256" t="s">
        <v>757</v>
      </c>
      <c r="E41" s="256" t="s">
        <v>742</v>
      </c>
      <c r="F41" s="256" t="s">
        <v>731</v>
      </c>
    </row>
    <row r="42" spans="2:6" ht="15.75" thickBot="1" x14ac:dyDescent="0.3">
      <c r="B42" s="7" t="s">
        <v>8</v>
      </c>
      <c r="C42" s="21" t="s">
        <v>281</v>
      </c>
      <c r="D42" s="21" t="s">
        <v>281</v>
      </c>
      <c r="E42" s="21" t="s">
        <v>281</v>
      </c>
      <c r="F42" s="21" t="s">
        <v>281</v>
      </c>
    </row>
    <row r="43" spans="2:6" x14ac:dyDescent="0.25">
      <c r="B43" t="s">
        <v>769</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topLeftCell="A34" zoomScale="130" zoomScaleNormal="130" workbookViewId="0">
      <selection activeCell="G18" sqref="G18"/>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569</v>
      </c>
    </row>
    <row r="4" spans="2:10" x14ac:dyDescent="0.25">
      <c r="C4" s="142"/>
      <c r="J4" t="s">
        <v>611</v>
      </c>
    </row>
    <row r="5" spans="2:10" x14ac:dyDescent="0.25">
      <c r="B5" s="286"/>
      <c r="C5" s="251"/>
      <c r="D5" s="726" t="s">
        <v>576</v>
      </c>
      <c r="E5" s="726"/>
      <c r="F5" s="726"/>
    </row>
    <row r="6" spans="2:10" x14ac:dyDescent="0.25">
      <c r="B6" s="286"/>
      <c r="C6" s="287"/>
      <c r="D6" s="287" t="s">
        <v>573</v>
      </c>
      <c r="E6" s="287" t="s">
        <v>577</v>
      </c>
      <c r="F6" s="287" t="s">
        <v>575</v>
      </c>
    </row>
    <row r="7" spans="2:10" x14ac:dyDescent="0.25">
      <c r="B7" s="727" t="s">
        <v>579</v>
      </c>
      <c r="C7" s="287" t="s">
        <v>572</v>
      </c>
      <c r="D7" s="288">
        <v>62846</v>
      </c>
      <c r="E7" s="288">
        <v>105000</v>
      </c>
      <c r="F7" s="288">
        <f>+E7+D7</f>
        <v>167846</v>
      </c>
    </row>
    <row r="8" spans="2:10" x14ac:dyDescent="0.25">
      <c r="B8" s="727"/>
      <c r="C8" s="287" t="s">
        <v>571</v>
      </c>
      <c r="D8" s="288">
        <v>146640</v>
      </c>
      <c r="E8" s="288">
        <v>45000</v>
      </c>
      <c r="F8" s="288">
        <f t="shared" ref="F8:F9" si="0">+E8+D8</f>
        <v>191640</v>
      </c>
    </row>
    <row r="9" spans="2:10" x14ac:dyDescent="0.25">
      <c r="B9" s="286"/>
      <c r="C9" s="287" t="s">
        <v>575</v>
      </c>
      <c r="D9" s="288">
        <f>+SUM(D7:D8)</f>
        <v>209486</v>
      </c>
      <c r="E9" s="288">
        <f>+SUM(E7:E8)</f>
        <v>150000</v>
      </c>
      <c r="F9" s="288">
        <f t="shared" si="0"/>
        <v>359486</v>
      </c>
    </row>
    <row r="10" spans="2:10" x14ac:dyDescent="0.25">
      <c r="B10" s="142" t="s">
        <v>594</v>
      </c>
      <c r="C10" s="287" t="s">
        <v>570</v>
      </c>
      <c r="E10" s="285">
        <v>0.6</v>
      </c>
      <c r="F10" s="283"/>
    </row>
    <row r="11" spans="2:10" x14ac:dyDescent="0.25">
      <c r="C11" s="287" t="s">
        <v>592</v>
      </c>
      <c r="D11" s="284"/>
      <c r="E11" s="285">
        <v>0.25</v>
      </c>
      <c r="F11" s="283"/>
    </row>
    <row r="12" spans="2:10" x14ac:dyDescent="0.25">
      <c r="C12" s="287" t="s">
        <v>593</v>
      </c>
      <c r="D12" s="285"/>
      <c r="E12" s="281">
        <v>0.15</v>
      </c>
    </row>
    <row r="14" spans="2:10" x14ac:dyDescent="0.25">
      <c r="C14" s="22"/>
      <c r="D14" s="22" t="s">
        <v>573</v>
      </c>
      <c r="E14" s="22" t="s">
        <v>577</v>
      </c>
      <c r="F14" s="22" t="s">
        <v>575</v>
      </c>
    </row>
    <row r="15" spans="2:10" x14ac:dyDescent="0.25">
      <c r="B15" s="142" t="s">
        <v>579</v>
      </c>
      <c r="C15" s="22" t="s">
        <v>574</v>
      </c>
      <c r="D15" s="285">
        <f>+D8/D9</f>
        <v>0.69999904528226231</v>
      </c>
      <c r="E15" s="285">
        <f>+E8/E9</f>
        <v>0.3</v>
      </c>
      <c r="F15" s="285">
        <f>+F8/F9</f>
        <v>0.53309447377644748</v>
      </c>
    </row>
    <row r="16" spans="2:10" x14ac:dyDescent="0.25">
      <c r="B16" s="142" t="s">
        <v>582</v>
      </c>
      <c r="C16" s="19" t="s">
        <v>581</v>
      </c>
      <c r="D16" s="290">
        <v>0.7</v>
      </c>
      <c r="E16" s="281">
        <f>45000/150000</f>
        <v>0.3</v>
      </c>
    </row>
    <row r="20" spans="2:5" x14ac:dyDescent="0.25">
      <c r="C20" s="19"/>
      <c r="D20" s="19" t="s">
        <v>573</v>
      </c>
      <c r="E20" t="s">
        <v>577</v>
      </c>
    </row>
    <row r="21" spans="2:5" x14ac:dyDescent="0.25">
      <c r="C21" s="19" t="s">
        <v>578</v>
      </c>
      <c r="D21" s="19">
        <v>250</v>
      </c>
      <c r="E21" s="19">
        <v>150</v>
      </c>
    </row>
    <row r="24" spans="2:5" x14ac:dyDescent="0.25">
      <c r="D24" s="19" t="s">
        <v>573</v>
      </c>
      <c r="E24" t="s">
        <v>577</v>
      </c>
    </row>
    <row r="25" spans="2:5" x14ac:dyDescent="0.25">
      <c r="B25" s="142" t="s">
        <v>580</v>
      </c>
      <c r="C25" t="s">
        <v>567</v>
      </c>
      <c r="D25" s="265">
        <v>0.83</v>
      </c>
      <c r="E25" s="265">
        <v>0.93700000000000006</v>
      </c>
    </row>
    <row r="26" spans="2:5" x14ac:dyDescent="0.25">
      <c r="B26" s="142" t="s">
        <v>594</v>
      </c>
      <c r="D26" s="283">
        <v>220000</v>
      </c>
      <c r="E26" s="283">
        <v>150000</v>
      </c>
    </row>
    <row r="28" spans="2:5" x14ac:dyDescent="0.25">
      <c r="D28" s="19" t="s">
        <v>573</v>
      </c>
      <c r="E28" t="s">
        <v>577</v>
      </c>
    </row>
    <row r="29" spans="2:5" x14ac:dyDescent="0.25">
      <c r="B29" s="142" t="s">
        <v>580</v>
      </c>
      <c r="C29" t="s">
        <v>583</v>
      </c>
      <c r="D29" s="289">
        <v>0.61</v>
      </c>
      <c r="E29" s="289">
        <v>0.97</v>
      </c>
    </row>
    <row r="30" spans="2:5" x14ac:dyDescent="0.25">
      <c r="D30" s="19" t="s">
        <v>573</v>
      </c>
      <c r="E30" t="s">
        <v>577</v>
      </c>
    </row>
    <row r="31" spans="2:5" x14ac:dyDescent="0.25">
      <c r="B31" s="142" t="s">
        <v>601</v>
      </c>
      <c r="C31" t="s">
        <v>600</v>
      </c>
      <c r="D31">
        <v>180000</v>
      </c>
      <c r="E31">
        <v>130000</v>
      </c>
    </row>
    <row r="32" spans="2:5" x14ac:dyDescent="0.25">
      <c r="C32" t="s">
        <v>602</v>
      </c>
      <c r="D32">
        <v>222000</v>
      </c>
      <c r="E32">
        <v>165000</v>
      </c>
    </row>
    <row r="33" spans="2:9" x14ac:dyDescent="0.25">
      <c r="C33" t="s">
        <v>603</v>
      </c>
      <c r="D33" s="293">
        <f>+D31/D32</f>
        <v>0.81081081081081086</v>
      </c>
      <c r="E33" s="293">
        <f>+E31/E32</f>
        <v>0.78787878787878785</v>
      </c>
    </row>
    <row r="34" spans="2:9" x14ac:dyDescent="0.25">
      <c r="B34" s="142" t="s">
        <v>580</v>
      </c>
      <c r="C34" t="s">
        <v>600</v>
      </c>
      <c r="D34">
        <v>209000</v>
      </c>
      <c r="E34">
        <v>147888</v>
      </c>
    </row>
    <row r="35" spans="2:9" x14ac:dyDescent="0.25">
      <c r="C35" t="s">
        <v>602</v>
      </c>
      <c r="D35">
        <v>211820</v>
      </c>
      <c r="E35">
        <v>150000</v>
      </c>
    </row>
    <row r="36" spans="2:9" x14ac:dyDescent="0.25">
      <c r="C36" t="s">
        <v>603</v>
      </c>
      <c r="D36" s="293">
        <f>+D34/D35</f>
        <v>0.98668680955528276</v>
      </c>
      <c r="E36" s="293">
        <f>+E34/E35</f>
        <v>0.98592000000000002</v>
      </c>
    </row>
    <row r="39" spans="2:9" x14ac:dyDescent="0.25">
      <c r="D39" s="19" t="s">
        <v>573</v>
      </c>
      <c r="E39" t="s">
        <v>577</v>
      </c>
    </row>
    <row r="40" spans="2:9" x14ac:dyDescent="0.25">
      <c r="C40" t="s">
        <v>584</v>
      </c>
      <c r="D40">
        <v>2027</v>
      </c>
      <c r="E40">
        <v>2026</v>
      </c>
    </row>
    <row r="41" spans="2:9" x14ac:dyDescent="0.25">
      <c r="C41" t="s">
        <v>585</v>
      </c>
      <c r="D41">
        <v>2032</v>
      </c>
      <c r="E41">
        <v>2029</v>
      </c>
    </row>
    <row r="45" spans="2:9" x14ac:dyDescent="0.25">
      <c r="B45" s="728" t="s">
        <v>582</v>
      </c>
      <c r="C45" t="s">
        <v>587</v>
      </c>
    </row>
    <row r="46" spans="2:9" x14ac:dyDescent="0.25">
      <c r="B46" s="728"/>
      <c r="D46" s="19" t="s">
        <v>573</v>
      </c>
      <c r="E46" t="s">
        <v>577</v>
      </c>
      <c r="F46" t="s">
        <v>590</v>
      </c>
    </row>
    <row r="47" spans="2:9" x14ac:dyDescent="0.25">
      <c r="B47" s="728"/>
      <c r="C47" t="s">
        <v>85</v>
      </c>
      <c r="D47" s="283">
        <v>62000</v>
      </c>
      <c r="E47" s="282">
        <v>27000</v>
      </c>
      <c r="F47" s="283">
        <v>113000</v>
      </c>
      <c r="G47" s="291"/>
      <c r="I47" s="291"/>
    </row>
    <row r="48" spans="2:9" x14ac:dyDescent="0.25">
      <c r="B48" s="728"/>
      <c r="C48" t="s">
        <v>86</v>
      </c>
      <c r="D48" s="283">
        <v>64000</v>
      </c>
      <c r="E48" s="282">
        <v>77000</v>
      </c>
      <c r="F48" s="283">
        <v>113300</v>
      </c>
      <c r="H48" s="291"/>
      <c r="I48" s="291"/>
    </row>
    <row r="49" spans="2:15" x14ac:dyDescent="0.25">
      <c r="B49" s="728"/>
      <c r="C49" t="s">
        <v>586</v>
      </c>
      <c r="D49" s="283">
        <v>21000</v>
      </c>
      <c r="E49" s="282">
        <v>7000</v>
      </c>
      <c r="F49" s="283">
        <v>36200</v>
      </c>
      <c r="H49" s="291"/>
      <c r="I49" s="291"/>
    </row>
    <row r="50" spans="2:15" x14ac:dyDescent="0.25">
      <c r="B50" s="728"/>
      <c r="C50" t="s">
        <v>568</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640</v>
      </c>
      <c r="D52" s="283"/>
      <c r="E52" s="283">
        <f>150000*0.937</f>
        <v>140550</v>
      </c>
      <c r="F52" s="283"/>
      <c r="H52" s="355">
        <f>+E51/E52</f>
        <v>0.88794023479188899</v>
      </c>
    </row>
    <row r="53" spans="2:15" x14ac:dyDescent="0.25">
      <c r="B53" s="308"/>
      <c r="D53" s="283"/>
      <c r="E53" s="283"/>
      <c r="F53" s="283"/>
      <c r="H53" s="291"/>
    </row>
    <row r="54" spans="2:15" x14ac:dyDescent="0.25">
      <c r="D54" s="19"/>
      <c r="E54" t="s">
        <v>577</v>
      </c>
      <c r="H54" s="291"/>
    </row>
    <row r="55" spans="2:15" x14ac:dyDescent="0.25">
      <c r="B55" s="142" t="s">
        <v>591</v>
      </c>
      <c r="C55" t="s">
        <v>85</v>
      </c>
      <c r="D55" s="283">
        <v>56700</v>
      </c>
      <c r="E55" s="282">
        <v>29000</v>
      </c>
      <c r="F55" s="283"/>
      <c r="H55" s="291"/>
    </row>
    <row r="56" spans="2:15" x14ac:dyDescent="0.25">
      <c r="C56" t="s">
        <v>86</v>
      </c>
      <c r="D56" s="283">
        <v>58000</v>
      </c>
      <c r="E56" s="282">
        <v>75000</v>
      </c>
      <c r="F56" s="283"/>
      <c r="H56" s="291"/>
    </row>
    <row r="57" spans="2:15" x14ac:dyDescent="0.25">
      <c r="C57" t="s">
        <v>586</v>
      </c>
      <c r="D57" s="283">
        <v>23000</v>
      </c>
      <c r="E57" s="282">
        <v>9000</v>
      </c>
      <c r="F57" s="283"/>
      <c r="H57" s="291"/>
    </row>
    <row r="58" spans="2:15" x14ac:dyDescent="0.25">
      <c r="C58" t="s">
        <v>568</v>
      </c>
      <c r="D58" s="283"/>
      <c r="E58" s="282"/>
      <c r="F58" s="283"/>
      <c r="H58" s="291"/>
    </row>
    <row r="59" spans="2:15" x14ac:dyDescent="0.25">
      <c r="D59" s="283"/>
      <c r="E59" s="282"/>
      <c r="F59" s="283"/>
      <c r="H59" s="291"/>
    </row>
    <row r="62" spans="2:15" x14ac:dyDescent="0.25">
      <c r="B62" s="303" t="s">
        <v>582</v>
      </c>
      <c r="C62" s="304" t="s">
        <v>588</v>
      </c>
      <c r="D62" s="305"/>
      <c r="E62" s="305"/>
      <c r="F62" s="305"/>
      <c r="G62" s="306">
        <v>209500</v>
      </c>
    </row>
    <row r="63" spans="2:15" x14ac:dyDescent="0.25">
      <c r="B63" s="296"/>
      <c r="D63" s="19" t="s">
        <v>573</v>
      </c>
      <c r="E63" t="s">
        <v>577</v>
      </c>
      <c r="G63" s="297"/>
    </row>
    <row r="64" spans="2:15" x14ac:dyDescent="0.25">
      <c r="B64" s="296"/>
      <c r="C64" t="s">
        <v>589</v>
      </c>
      <c r="D64" s="298">
        <v>0.29599999999999999</v>
      </c>
      <c r="E64" s="299">
        <v>0.34799999999999998</v>
      </c>
      <c r="G64" s="297">
        <f>+D64*$G$62</f>
        <v>62012</v>
      </c>
      <c r="K64" t="s">
        <v>45</v>
      </c>
      <c r="L64" s="63">
        <v>0.34799999999999998</v>
      </c>
      <c r="M64">
        <f t="shared" ref="M64:M66" si="1">+$M$68*L64</f>
        <v>0.34799999999999998</v>
      </c>
      <c r="N64" t="s">
        <v>715</v>
      </c>
      <c r="O64">
        <f>+M64*'4.1 Ref_Cart'!E11</f>
        <v>1.8551527595955706</v>
      </c>
    </row>
    <row r="65" spans="2:17" x14ac:dyDescent="0.25">
      <c r="B65" s="296"/>
      <c r="C65" t="s">
        <v>86</v>
      </c>
      <c r="D65" s="298">
        <v>0.307</v>
      </c>
      <c r="E65" s="299">
        <v>0.51300000000000001</v>
      </c>
      <c r="G65" s="297">
        <f t="shared" ref="G65:G67" si="2">+D65*$G$62</f>
        <v>64316.5</v>
      </c>
      <c r="I65" t="s">
        <v>638</v>
      </c>
      <c r="K65" t="s">
        <v>47</v>
      </c>
      <c r="L65" s="63">
        <v>0.51300000000000001</v>
      </c>
      <c r="M65">
        <f t="shared" si="1"/>
        <v>0.51300000000000001</v>
      </c>
      <c r="N65" t="s">
        <v>715</v>
      </c>
      <c r="O65">
        <f>+M65*'4.1 Ref_Cart'!E12</f>
        <v>2.9091459679514378</v>
      </c>
    </row>
    <row r="66" spans="2:17" x14ac:dyDescent="0.25">
      <c r="B66" s="296"/>
      <c r="C66" t="s">
        <v>586</v>
      </c>
      <c r="D66" s="298">
        <v>0.10100000000000001</v>
      </c>
      <c r="E66" s="299">
        <v>4.7E-2</v>
      </c>
      <c r="G66" s="297">
        <f t="shared" si="2"/>
        <v>21159.5</v>
      </c>
      <c r="I66" s="292" t="s">
        <v>45</v>
      </c>
      <c r="J66" s="310">
        <v>0.28962955526553558</v>
      </c>
      <c r="K66" t="s">
        <v>716</v>
      </c>
      <c r="L66" s="63">
        <v>4.7E-2</v>
      </c>
      <c r="M66">
        <f t="shared" si="1"/>
        <v>4.7E-2</v>
      </c>
      <c r="N66" t="s">
        <v>715</v>
      </c>
      <c r="O66">
        <f>+L66*'4.1 Ref_Cart'!F13</f>
        <v>4.1235476325416265</v>
      </c>
      <c r="Q66">
        <f>+SUM(O64:O66)</f>
        <v>8.8878463600886342</v>
      </c>
    </row>
    <row r="67" spans="2:17" x14ac:dyDescent="0.25">
      <c r="B67" s="296"/>
      <c r="C67" t="s">
        <v>568</v>
      </c>
      <c r="D67" s="298">
        <v>0.29599999999999999</v>
      </c>
      <c r="E67" s="299">
        <v>9.1999999999999998E-2</v>
      </c>
      <c r="G67" s="297">
        <f t="shared" si="2"/>
        <v>62012</v>
      </c>
      <c r="I67" s="292" t="s">
        <v>47</v>
      </c>
      <c r="J67" s="310">
        <v>0.25690191747816488</v>
      </c>
      <c r="K67" t="s">
        <v>568</v>
      </c>
      <c r="L67" s="63">
        <v>9.1999999999999998E-2</v>
      </c>
      <c r="M67">
        <f>+$M$68*L67</f>
        <v>9.1999999999999998E-2</v>
      </c>
      <c r="N67" t="s">
        <v>715</v>
      </c>
    </row>
    <row r="68" spans="2:17" x14ac:dyDescent="0.25">
      <c r="B68" s="296"/>
      <c r="D68" s="298">
        <f>+SUM(D64:D67)</f>
        <v>1</v>
      </c>
      <c r="E68" s="299">
        <f>+SUM(E64:E67)</f>
        <v>1</v>
      </c>
      <c r="G68" s="297"/>
      <c r="I68" s="292" t="s">
        <v>48</v>
      </c>
      <c r="J68" s="310">
        <v>8.7340628450958732E-2</v>
      </c>
      <c r="L68" s="289">
        <v>1</v>
      </c>
      <c r="M68">
        <v>1</v>
      </c>
      <c r="N68" t="s">
        <v>715</v>
      </c>
      <c r="O68">
        <f>+M68*'4.1 Ref_Cart'!E8</f>
        <v>6.0871741676095334</v>
      </c>
    </row>
    <row r="69" spans="2:17" x14ac:dyDescent="0.25">
      <c r="B69" s="307" t="s">
        <v>591</v>
      </c>
      <c r="D69" s="19" t="s">
        <v>573</v>
      </c>
      <c r="E69" t="s">
        <v>577</v>
      </c>
      <c r="G69" s="297"/>
      <c r="I69" s="1" t="s">
        <v>49</v>
      </c>
      <c r="J69" s="309">
        <v>4.6280493926312651E-2</v>
      </c>
    </row>
    <row r="70" spans="2:17" x14ac:dyDescent="0.25">
      <c r="B70" s="296"/>
      <c r="C70" t="s">
        <v>589</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515</v>
      </c>
      <c r="J71" s="309">
        <v>2.6904929223973497E-2</v>
      </c>
      <c r="L71" s="289">
        <f>+SUM(J69:J71)</f>
        <v>0.3661278988053408</v>
      </c>
    </row>
    <row r="72" spans="2:17" x14ac:dyDescent="0.25">
      <c r="B72" s="296"/>
      <c r="C72" t="s">
        <v>586</v>
      </c>
      <c r="D72" s="298">
        <v>9.8000000000000004E-2</v>
      </c>
      <c r="E72" s="299">
        <v>5.8000000000000003E-2</v>
      </c>
      <c r="G72" s="297"/>
    </row>
    <row r="73" spans="2:17" x14ac:dyDescent="0.25">
      <c r="B73" s="296"/>
      <c r="C73" t="s">
        <v>568</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596</v>
      </c>
      <c r="D75" s="19" t="s">
        <v>573</v>
      </c>
      <c r="E75" t="s">
        <v>577</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586</v>
      </c>
      <c r="D78" s="265">
        <v>9.9000000000000005E-2</v>
      </c>
      <c r="G78" s="297"/>
    </row>
    <row r="79" spans="2:17" x14ac:dyDescent="0.25">
      <c r="B79" s="296"/>
      <c r="C79" t="s">
        <v>598</v>
      </c>
      <c r="D79" s="265">
        <v>0.248</v>
      </c>
      <c r="G79" s="297"/>
    </row>
    <row r="80" spans="2:17" x14ac:dyDescent="0.25">
      <c r="B80" s="300"/>
      <c r="C80" s="152"/>
      <c r="D80" s="301">
        <f>+SUM(D76:D79)</f>
        <v>1</v>
      </c>
      <c r="E80" s="152"/>
      <c r="F80" s="152"/>
      <c r="G80" s="302"/>
    </row>
    <row r="81" spans="2:5" x14ac:dyDescent="0.25">
      <c r="B81" s="142" t="s">
        <v>596</v>
      </c>
      <c r="C81" s="292" t="s">
        <v>599</v>
      </c>
      <c r="D81" s="19" t="s">
        <v>573</v>
      </c>
      <c r="E81" t="s">
        <v>577</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586</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582</v>
      </c>
    </row>
    <row r="91" spans="2:5" x14ac:dyDescent="0.25">
      <c r="C91" s="22"/>
      <c r="D91" s="22" t="s">
        <v>604</v>
      </c>
      <c r="E91" s="22"/>
    </row>
    <row r="92" spans="2:5" x14ac:dyDescent="0.25">
      <c r="C92" s="22" t="s">
        <v>605</v>
      </c>
      <c r="D92" s="295" t="s">
        <v>606</v>
      </c>
      <c r="E92" s="22" t="s">
        <v>607</v>
      </c>
    </row>
    <row r="93" spans="2:5" x14ac:dyDescent="0.25">
      <c r="C93" s="22" t="s">
        <v>608</v>
      </c>
      <c r="D93" s="295">
        <v>0.307</v>
      </c>
      <c r="E93" s="295">
        <v>0.43</v>
      </c>
    </row>
    <row r="94" spans="2:5" x14ac:dyDescent="0.25">
      <c r="C94" s="22" t="s">
        <v>609</v>
      </c>
      <c r="D94" s="295">
        <v>0.29599999999999999</v>
      </c>
      <c r="E94" s="295">
        <v>0.33600000000000002</v>
      </c>
    </row>
    <row r="95" spans="2:5" x14ac:dyDescent="0.25">
      <c r="C95" s="22" t="s">
        <v>610</v>
      </c>
      <c r="D95" s="295">
        <v>0.10100000000000001</v>
      </c>
      <c r="E95" s="295">
        <v>0.114</v>
      </c>
    </row>
    <row r="96" spans="2:5" x14ac:dyDescent="0.25">
      <c r="C96" s="22" t="s">
        <v>568</v>
      </c>
      <c r="D96" s="294">
        <v>0.29599999999999999</v>
      </c>
      <c r="E96" s="294">
        <v>0.12</v>
      </c>
    </row>
    <row r="100" spans="2:4" x14ac:dyDescent="0.25">
      <c r="B100" s="142" t="s">
        <v>596</v>
      </c>
      <c r="C100" s="142"/>
      <c r="D100" t="s">
        <v>595</v>
      </c>
    </row>
    <row r="101" spans="2:4" x14ac:dyDescent="0.25">
      <c r="C101" t="s">
        <v>589</v>
      </c>
      <c r="D101" s="265">
        <v>0.60299999999999998</v>
      </c>
    </row>
    <row r="102" spans="2:4" x14ac:dyDescent="0.25">
      <c r="C102" t="s">
        <v>86</v>
      </c>
      <c r="D102" s="265">
        <v>0.57799999999999996</v>
      </c>
    </row>
    <row r="103" spans="2:4" x14ac:dyDescent="0.25">
      <c r="C103" t="s">
        <v>586</v>
      </c>
      <c r="D103" s="289">
        <v>0.64</v>
      </c>
    </row>
    <row r="104" spans="2:4" x14ac:dyDescent="0.25">
      <c r="C104" t="s">
        <v>597</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zoomScale="115" zoomScaleNormal="115" workbookViewId="0">
      <selection activeCell="F2" sqref="F2"/>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694" t="s">
        <v>612</v>
      </c>
      <c r="M7" s="729"/>
      <c r="N7" s="729"/>
      <c r="O7" s="729"/>
      <c r="P7" s="729"/>
      <c r="Q7" s="729"/>
      <c r="R7" s="729"/>
      <c r="S7" s="729"/>
      <c r="T7" s="729"/>
      <c r="U7" s="695"/>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734" t="s">
        <v>722</v>
      </c>
      <c r="O9" s="735"/>
      <c r="P9" s="736"/>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657</v>
      </c>
      <c r="P10" s="359" t="s">
        <v>658</v>
      </c>
      <c r="R10" s="730"/>
      <c r="S10" s="730"/>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731"/>
      <c r="P12" s="360"/>
      <c r="R12" s="19"/>
      <c r="S12" s="733"/>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732"/>
      <c r="P13" s="362"/>
      <c r="R13" s="19"/>
      <c r="S13" s="730"/>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1017</v>
      </c>
      <c r="R21" s="319" t="s">
        <v>31</v>
      </c>
      <c r="T21" s="323"/>
    </row>
    <row r="22" spans="1:22" x14ac:dyDescent="0.25">
      <c r="A22" s="417" t="s">
        <v>46</v>
      </c>
      <c r="B22" s="417"/>
      <c r="C22" s="464" t="s">
        <v>618</v>
      </c>
      <c r="D22" s="417" t="s">
        <v>619</v>
      </c>
      <c r="E22" s="417" t="s">
        <v>9</v>
      </c>
      <c r="F22" s="417" t="s">
        <v>42</v>
      </c>
      <c r="G22" s="418"/>
      <c r="N22" s="320" t="str">
        <f>+C22</f>
        <v>MIX-OIL-REF1</v>
      </c>
      <c r="O22" s="320" t="str">
        <f>+C8</f>
        <v>LOIL</v>
      </c>
      <c r="P22" s="320" t="s">
        <v>620</v>
      </c>
      <c r="Q22" s="537">
        <v>0.3</v>
      </c>
      <c r="R22" s="322">
        <v>1</v>
      </c>
      <c r="T22" s="323"/>
      <c r="U22" s="342"/>
      <c r="V22" s="342"/>
    </row>
    <row r="23" spans="1:22" x14ac:dyDescent="0.25">
      <c r="A23" s="417"/>
      <c r="B23" s="417"/>
      <c r="C23" s="465" t="s">
        <v>628</v>
      </c>
      <c r="D23" s="418" t="s">
        <v>687</v>
      </c>
      <c r="E23" s="417" t="s">
        <v>9</v>
      </c>
      <c r="F23" s="417" t="s">
        <v>42</v>
      </c>
      <c r="G23" s="418"/>
      <c r="I23" s="341"/>
      <c r="N23" s="320"/>
      <c r="O23" s="22" t="str">
        <f>+C10</f>
        <v>HOIL</v>
      </c>
      <c r="P23" s="320"/>
      <c r="Q23" s="321">
        <v>0.5</v>
      </c>
      <c r="R23" s="320"/>
      <c r="T23" s="323"/>
      <c r="U23" s="72"/>
      <c r="V23" s="72"/>
    </row>
    <row r="24" spans="1:22" x14ac:dyDescent="0.25">
      <c r="A24" s="417"/>
      <c r="B24" s="417"/>
      <c r="C24" s="466" t="s">
        <v>691</v>
      </c>
      <c r="D24" s="418" t="s">
        <v>692</v>
      </c>
      <c r="E24" s="417" t="s">
        <v>9</v>
      </c>
      <c r="F24" s="417" t="s">
        <v>42</v>
      </c>
      <c r="G24" s="418"/>
      <c r="O24" s="320" t="str">
        <f>+C9</f>
        <v>MOIL</v>
      </c>
      <c r="P24" s="22"/>
      <c r="Q24" s="281">
        <v>0.5</v>
      </c>
      <c r="R24" s="22"/>
      <c r="T24" s="323"/>
      <c r="U24" s="343"/>
      <c r="V24" s="343"/>
    </row>
    <row r="25" spans="1:22" x14ac:dyDescent="0.25">
      <c r="A25" s="417"/>
      <c r="B25" s="417"/>
      <c r="C25" s="464" t="s">
        <v>693</v>
      </c>
      <c r="D25" s="418" t="s">
        <v>694</v>
      </c>
      <c r="E25" s="1" t="s">
        <v>9</v>
      </c>
      <c r="F25" s="1" t="s">
        <v>42</v>
      </c>
      <c r="G25" s="418"/>
      <c r="T25" s="323"/>
      <c r="U25" s="72"/>
      <c r="V25" s="72"/>
    </row>
    <row r="26" spans="1:22" x14ac:dyDescent="0.25">
      <c r="A26" s="418"/>
      <c r="B26" s="418"/>
      <c r="C26" s="71" t="s">
        <v>782</v>
      </c>
      <c r="D26" t="s">
        <v>695</v>
      </c>
      <c r="E26" s="1" t="s">
        <v>9</v>
      </c>
      <c r="F26" s="1" t="s">
        <v>42</v>
      </c>
      <c r="G26" s="418"/>
    </row>
    <row r="27" spans="1:22" x14ac:dyDescent="0.25">
      <c r="A27" s="418"/>
      <c r="B27" s="418"/>
      <c r="C27" s="71" t="s">
        <v>745</v>
      </c>
      <c r="D27" t="s">
        <v>762</v>
      </c>
      <c r="E27" t="s">
        <v>9</v>
      </c>
      <c r="F27" s="463" t="s">
        <v>42</v>
      </c>
      <c r="G27" s="418"/>
    </row>
    <row r="28" spans="1:22" x14ac:dyDescent="0.25">
      <c r="A28" s="418"/>
      <c r="B28" s="418"/>
      <c r="C28" s="467" t="s">
        <v>761</v>
      </c>
      <c r="D28" s="418" t="s">
        <v>763</v>
      </c>
      <c r="E28" s="418" t="s">
        <v>9</v>
      </c>
      <c r="F28" s="463" t="s">
        <v>42</v>
      </c>
      <c r="G28" s="418"/>
      <c r="L28" s="694" t="s">
        <v>667</v>
      </c>
      <c r="M28" s="729"/>
      <c r="N28" s="729"/>
      <c r="O28" s="729"/>
      <c r="P28" s="729"/>
      <c r="Q28" s="729"/>
      <c r="R28" s="729"/>
      <c r="S28" s="729"/>
      <c r="T28" s="729"/>
      <c r="U28" s="695"/>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F32" s="418"/>
      <c r="G32" s="418"/>
      <c r="L32" s="148"/>
      <c r="N32" s="341" t="s">
        <v>630</v>
      </c>
      <c r="O32">
        <v>165</v>
      </c>
      <c r="P32" s="371">
        <f>+O32*365*E8/1000</f>
        <v>366.60006424428417</v>
      </c>
      <c r="Q32" s="371" t="s">
        <v>9</v>
      </c>
      <c r="U32" s="297"/>
    </row>
    <row r="33" spans="1:21" x14ac:dyDescent="0.25">
      <c r="A33" s="418"/>
      <c r="B33" s="418"/>
      <c r="C33" s="418"/>
      <c r="D33" s="418"/>
      <c r="E33" s="418"/>
      <c r="F33" s="418"/>
      <c r="G33" s="418"/>
      <c r="L33" s="148"/>
      <c r="N33" s="341" t="s">
        <v>705</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631</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620</v>
      </c>
      <c r="D36" s="417" t="s">
        <v>621</v>
      </c>
      <c r="E36" s="417" t="s">
        <v>9</v>
      </c>
      <c r="F36" s="418"/>
      <c r="G36" s="418"/>
      <c r="L36" s="148"/>
      <c r="N36" s="440" t="s">
        <v>712</v>
      </c>
      <c r="O36" s="441"/>
      <c r="P36" s="441">
        <f>+O135</f>
        <v>1.8895118399999999</v>
      </c>
      <c r="Q36" s="438" t="s">
        <v>9</v>
      </c>
      <c r="R36" s="72">
        <f>+O135/P85</f>
        <v>5.4866761516362177E-3</v>
      </c>
      <c r="S36" t="s">
        <v>713</v>
      </c>
      <c r="U36" s="297"/>
    </row>
    <row r="37" spans="1:21" x14ac:dyDescent="0.25">
      <c r="A37" s="417"/>
      <c r="B37" s="417"/>
      <c r="C37" t="s">
        <v>633</v>
      </c>
      <c r="D37" t="s">
        <v>688</v>
      </c>
      <c r="E37" t="s">
        <v>9</v>
      </c>
      <c r="F37" s="418"/>
      <c r="G37" s="418"/>
      <c r="L37" s="151"/>
      <c r="M37" s="152"/>
      <c r="N37" s="152"/>
      <c r="O37" s="152"/>
      <c r="P37" s="152"/>
      <c r="Q37" s="152"/>
      <c r="R37" s="152"/>
      <c r="S37" s="152"/>
      <c r="T37" s="152"/>
      <c r="U37" s="302"/>
    </row>
    <row r="38" spans="1:21" x14ac:dyDescent="0.25">
      <c r="A38" s="417"/>
      <c r="B38" s="418"/>
      <c r="C38" t="s">
        <v>689</v>
      </c>
      <c r="D38" t="s">
        <v>690</v>
      </c>
      <c r="E38" t="s">
        <v>9</v>
      </c>
      <c r="F38" s="418"/>
      <c r="G38" s="418"/>
    </row>
    <row r="39" spans="1:21" x14ac:dyDescent="0.25">
      <c r="A39" s="417"/>
      <c r="B39" s="418"/>
      <c r="C39" s="71" t="s">
        <v>709</v>
      </c>
      <c r="D39" t="s">
        <v>710</v>
      </c>
      <c r="E39" t="s">
        <v>9</v>
      </c>
      <c r="F39" s="418"/>
      <c r="G39" s="418"/>
      <c r="N39" s="344" t="s">
        <v>632</v>
      </c>
      <c r="O39" s="345"/>
      <c r="P39" s="346"/>
    </row>
    <row r="40" spans="1:21" x14ac:dyDescent="0.25">
      <c r="C40" s="71" t="s">
        <v>759</v>
      </c>
      <c r="D40" s="71" t="s">
        <v>747</v>
      </c>
      <c r="E40" s="463" t="s">
        <v>9</v>
      </c>
      <c r="G40" s="418"/>
      <c r="N40" s="374" t="s">
        <v>11</v>
      </c>
      <c r="O40" s="340" t="s">
        <v>12</v>
      </c>
      <c r="P40" s="375" t="s">
        <v>175</v>
      </c>
    </row>
    <row r="41" spans="1:21" x14ac:dyDescent="0.25">
      <c r="A41" s="417"/>
      <c r="B41" s="417"/>
      <c r="C41" s="71" t="s">
        <v>760</v>
      </c>
      <c r="D41" s="71" t="s">
        <v>748</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694" t="s">
        <v>666</v>
      </c>
      <c r="M48" s="729"/>
      <c r="N48" s="729"/>
      <c r="O48" s="729"/>
      <c r="P48" s="729"/>
      <c r="Q48" s="729"/>
      <c r="R48" s="729"/>
      <c r="S48" s="729"/>
      <c r="T48" s="729"/>
      <c r="U48" s="695"/>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356" t="s">
        <v>664</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637</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648</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647</v>
      </c>
      <c r="N61" s="19">
        <v>33.799999999999997</v>
      </c>
      <c r="O61" s="364">
        <v>0.81</v>
      </c>
      <c r="P61" s="365">
        <f t="shared" si="0"/>
        <v>3.8117647058823534E-2</v>
      </c>
      <c r="Q61" s="366" t="s">
        <v>665</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568</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575</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R71" s="448" t="s">
        <v>725</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741</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694" t="s">
        <v>668</v>
      </c>
      <c r="M81" s="729"/>
      <c r="N81" s="729"/>
      <c r="O81" s="729"/>
      <c r="P81" s="729"/>
      <c r="Q81" s="729"/>
      <c r="R81" s="729"/>
      <c r="S81" s="729"/>
      <c r="T81" s="729"/>
      <c r="U81" s="695"/>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v>165</v>
      </c>
      <c r="P84" s="364">
        <f>+O84*365*E10/1000</f>
        <v>366.60006424428417</v>
      </c>
      <c r="S84" s="122"/>
      <c r="T84" s="122"/>
      <c r="U84" s="297"/>
    </row>
    <row r="85" spans="1:21" x14ac:dyDescent="0.25">
      <c r="A85" t="s">
        <v>644</v>
      </c>
      <c r="B85" s="1"/>
      <c r="C85" s="1"/>
      <c r="D85" s="1"/>
      <c r="E85" s="1"/>
      <c r="F85" s="1"/>
      <c r="G85" s="1"/>
      <c r="H85" s="1"/>
      <c r="I85" s="1"/>
      <c r="L85" s="148"/>
      <c r="N85" s="323" t="s">
        <v>622</v>
      </c>
      <c r="O85">
        <v>155</v>
      </c>
      <c r="P85" s="367">
        <f>+O85*365*E10/1000</f>
        <v>344.3818785325094</v>
      </c>
      <c r="U85" s="297"/>
    </row>
    <row r="86" spans="1:21" x14ac:dyDescent="0.25">
      <c r="B86" s="1"/>
      <c r="C86" s="1"/>
      <c r="D86" s="1"/>
      <c r="E86" s="1"/>
      <c r="F86" s="1"/>
      <c r="G86" s="1"/>
      <c r="H86" s="1"/>
      <c r="I86" s="1"/>
      <c r="L86" s="148"/>
      <c r="N86" s="324" t="s">
        <v>623</v>
      </c>
      <c r="O86" s="379">
        <f>+O85/O84</f>
        <v>0.93939393939393945</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f>+N65/N51</f>
        <v>0.97945454545454558</v>
      </c>
      <c r="P89" s="384">
        <f>+O65/O51</f>
        <v>1.0171399974978106</v>
      </c>
      <c r="U89" s="297"/>
    </row>
    <row r="90" spans="1:21" x14ac:dyDescent="0.25">
      <c r="B90" s="1"/>
      <c r="C90" s="1"/>
      <c r="D90" s="1"/>
      <c r="E90" s="1"/>
      <c r="F90" s="1"/>
      <c r="G90" s="1"/>
      <c r="H90" s="1"/>
      <c r="I90" s="1"/>
      <c r="L90" s="148"/>
      <c r="N90" s="323" t="s">
        <v>670</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REF1</v>
      </c>
      <c r="O97" s="328" t="s">
        <v>626</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694" t="s">
        <v>673</v>
      </c>
      <c r="M104" s="729"/>
      <c r="N104" s="729"/>
      <c r="O104" s="729"/>
      <c r="P104" s="729"/>
      <c r="Q104" s="729"/>
      <c r="R104" s="729"/>
      <c r="S104" s="729"/>
      <c r="T104" s="729"/>
      <c r="U104" s="695"/>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74825000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336712500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11890900923.75</v>
      </c>
      <c r="Y111" t="s">
        <v>655</v>
      </c>
    </row>
    <row r="112" spans="2:25" x14ac:dyDescent="0.25">
      <c r="B112" s="1"/>
      <c r="C112" s="1"/>
      <c r="D112" s="1"/>
      <c r="E112" s="1"/>
      <c r="F112" s="1"/>
      <c r="G112" s="1"/>
      <c r="H112" s="1"/>
      <c r="I112" s="1"/>
      <c r="L112" s="148"/>
      <c r="U112" s="297"/>
      <c r="X112">
        <f>+X111/(1000000)</f>
        <v>11890.900923749999</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
        <v>691</v>
      </c>
      <c r="O117" s="400" t="s">
        <v>626</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694" t="s">
        <v>679</v>
      </c>
      <c r="M128" s="729"/>
      <c r="N128" s="729"/>
      <c r="O128" s="729"/>
      <c r="P128" s="729"/>
      <c r="Q128" s="729"/>
      <c r="R128" s="729"/>
      <c r="S128" s="729"/>
      <c r="T128" s="729"/>
      <c r="U128" s="695"/>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7.9730836007290984</v>
      </c>
    </row>
    <row r="131" spans="2:25" x14ac:dyDescent="0.25">
      <c r="B131" s="1"/>
      <c r="C131" s="1"/>
      <c r="D131" s="1" t="s">
        <v>698</v>
      </c>
      <c r="E131" s="1">
        <v>874.27499999999998</v>
      </c>
      <c r="F131" s="1" t="s">
        <v>252</v>
      </c>
      <c r="G131" s="434">
        <f>+E131/E130</f>
        <v>0.56007367072389491</v>
      </c>
      <c r="H131" s="1"/>
      <c r="I131" s="1"/>
      <c r="L131" s="148"/>
      <c r="M131" s="323" t="s">
        <v>681</v>
      </c>
      <c r="N131" s="19">
        <v>58</v>
      </c>
      <c r="O131" s="261">
        <f>+N131*365*E7/1000</f>
        <v>21.37232897677039</v>
      </c>
      <c r="P131" t="s">
        <v>9</v>
      </c>
      <c r="Q131" s="122">
        <f>O131/(85*24*365*0.0036/1000)</f>
        <v>7.9730836007290984</v>
      </c>
      <c r="R131" s="71" t="s">
        <v>685</v>
      </c>
      <c r="U131" s="297"/>
      <c r="W131" t="s">
        <v>707</v>
      </c>
      <c r="X131" s="57">
        <f>+Q132</f>
        <v>3.9306260817079615</v>
      </c>
    </row>
    <row r="132" spans="2:25" x14ac:dyDescent="0.25">
      <c r="B132" s="1"/>
      <c r="C132" s="1"/>
      <c r="D132" s="1" t="s">
        <v>699</v>
      </c>
      <c r="E132" s="1">
        <f>+E130-E131</f>
        <v>686.72500000000002</v>
      </c>
      <c r="F132" s="1" t="s">
        <v>252</v>
      </c>
      <c r="G132" s="434">
        <f>+E132/E130</f>
        <v>0.43992632927610509</v>
      </c>
      <c r="H132" s="1"/>
      <c r="I132" s="1"/>
      <c r="L132" s="148"/>
      <c r="M132" s="323" t="s">
        <v>514</v>
      </c>
      <c r="N132" s="436">
        <v>33.799999999999997</v>
      </c>
      <c r="O132" s="261">
        <f>0.81*365*0.041868</f>
        <v>12.378274200000002</v>
      </c>
      <c r="P132" t="s">
        <v>9</v>
      </c>
      <c r="Q132" s="122">
        <f>+O132/(O33*0.0036)</f>
        <v>3.9306260817079615</v>
      </c>
      <c r="R132" t="s">
        <v>684</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1.8895118399999999</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AUTO-REF1</v>
      </c>
      <c r="O145" s="394" t="s">
        <v>626</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694" t="s">
        <v>711</v>
      </c>
      <c r="M162" s="729"/>
      <c r="N162" s="729"/>
      <c r="O162" s="729"/>
      <c r="P162" s="729"/>
      <c r="Q162" s="729"/>
      <c r="R162" s="729"/>
      <c r="S162" s="729"/>
      <c r="T162" s="729"/>
      <c r="U162" s="695"/>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162:U162"/>
    <mergeCell ref="L48:U48"/>
    <mergeCell ref="L81:U81"/>
    <mergeCell ref="L104:U104"/>
    <mergeCell ref="L128:U128"/>
    <mergeCell ref="L28:U28"/>
    <mergeCell ref="L7:U7"/>
    <mergeCell ref="R10:S10"/>
    <mergeCell ref="O12:O13"/>
    <mergeCell ref="S12:S13"/>
    <mergeCell ref="N9:P9"/>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F1" zoomScale="115" zoomScaleNormal="115" workbookViewId="0">
      <selection activeCell="M33" sqref="M33"/>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694" t="s">
        <v>612</v>
      </c>
      <c r="M7" s="729"/>
      <c r="N7" s="729"/>
      <c r="O7" s="729"/>
      <c r="P7" s="729"/>
      <c r="Q7" s="729"/>
      <c r="R7" s="729"/>
      <c r="S7" s="729"/>
      <c r="T7" s="729"/>
      <c r="U7" s="695"/>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734" t="s">
        <v>613</v>
      </c>
      <c r="O9" s="735"/>
      <c r="P9" s="736"/>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723</v>
      </c>
      <c r="P10" s="359" t="s">
        <v>658</v>
      </c>
      <c r="R10" s="730"/>
      <c r="S10" s="730"/>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731"/>
      <c r="P12" s="360"/>
      <c r="R12" s="19"/>
      <c r="S12" s="733"/>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732"/>
      <c r="P13" s="362"/>
      <c r="R13" s="19"/>
      <c r="S13" s="730"/>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23"/>
    </row>
    <row r="22" spans="1:22" x14ac:dyDescent="0.25">
      <c r="A22" s="417" t="s">
        <v>46</v>
      </c>
      <c r="B22" s="417"/>
      <c r="C22" s="427" t="s">
        <v>726</v>
      </c>
      <c r="D22" s="452" t="s">
        <v>749</v>
      </c>
      <c r="E22" s="452" t="s">
        <v>9</v>
      </c>
      <c r="F22" s="452" t="s">
        <v>42</v>
      </c>
      <c r="G22" s="418"/>
      <c r="N22" s="320" t="str">
        <f>+C22</f>
        <v>MIX-OIL-REF2</v>
      </c>
      <c r="O22" s="22" t="str">
        <f>+C10</f>
        <v>HOIL</v>
      </c>
      <c r="P22" s="320" t="str">
        <f>+C36</f>
        <v>OIL-REF2</v>
      </c>
      <c r="Q22" s="321">
        <f>+O11</f>
        <v>0.30000095471773769</v>
      </c>
      <c r="R22" s="322">
        <v>1</v>
      </c>
      <c r="T22" s="323"/>
      <c r="U22" s="342"/>
      <c r="V22" s="342"/>
    </row>
    <row r="23" spans="1:22" x14ac:dyDescent="0.25">
      <c r="A23" s="417"/>
      <c r="B23" s="417"/>
      <c r="C23" s="428" t="s">
        <v>727</v>
      </c>
      <c r="D23" s="453" t="s">
        <v>750</v>
      </c>
      <c r="E23" s="452" t="s">
        <v>9</v>
      </c>
      <c r="F23" s="452" t="s">
        <v>42</v>
      </c>
      <c r="G23" s="418"/>
      <c r="I23" s="341"/>
      <c r="N23" s="320"/>
      <c r="O23" s="320" t="str">
        <f>+C8</f>
        <v>LOIL</v>
      </c>
      <c r="P23" s="22"/>
      <c r="R23" s="320"/>
      <c r="T23" s="323"/>
      <c r="U23" s="72"/>
      <c r="V23" s="72"/>
    </row>
    <row r="24" spans="1:22" x14ac:dyDescent="0.25">
      <c r="A24" s="417"/>
      <c r="B24" s="417"/>
      <c r="C24" s="400" t="s">
        <v>728</v>
      </c>
      <c r="D24" s="453" t="s">
        <v>751</v>
      </c>
      <c r="E24" s="452" t="s">
        <v>9</v>
      </c>
      <c r="F24" s="452" t="s">
        <v>42</v>
      </c>
      <c r="G24" s="418"/>
      <c r="N24" s="22"/>
      <c r="O24" s="320" t="str">
        <f>+C9</f>
        <v>MOIL</v>
      </c>
      <c r="Q24" s="22"/>
      <c r="R24" s="22"/>
      <c r="T24" s="323"/>
      <c r="U24" s="343"/>
      <c r="V24" s="343"/>
    </row>
    <row r="25" spans="1:22" x14ac:dyDescent="0.25">
      <c r="A25" s="417"/>
      <c r="B25" s="417"/>
      <c r="C25" s="427" t="s">
        <v>729</v>
      </c>
      <c r="D25" s="453" t="s">
        <v>752</v>
      </c>
      <c r="E25" s="16" t="s">
        <v>9</v>
      </c>
      <c r="F25" s="16" t="s">
        <v>42</v>
      </c>
      <c r="G25" s="418"/>
      <c r="P25" s="320"/>
      <c r="T25" s="323"/>
      <c r="U25" s="72"/>
      <c r="V25" s="72"/>
    </row>
    <row r="26" spans="1:22" x14ac:dyDescent="0.25">
      <c r="A26" s="418"/>
      <c r="B26" s="418"/>
      <c r="C26" s="19" t="s">
        <v>730</v>
      </c>
      <c r="D26" s="19" t="s">
        <v>753</v>
      </c>
      <c r="E26" s="16" t="s">
        <v>9</v>
      </c>
      <c r="F26" s="16" t="s">
        <v>42</v>
      </c>
      <c r="G26" s="418"/>
      <c r="Q26" s="321"/>
    </row>
    <row r="27" spans="1:22" x14ac:dyDescent="0.25">
      <c r="A27" s="418"/>
      <c r="B27" s="418"/>
      <c r="C27" s="22" t="s">
        <v>758</v>
      </c>
      <c r="D27" s="22" t="s">
        <v>764</v>
      </c>
      <c r="E27" s="22" t="s">
        <v>9</v>
      </c>
      <c r="F27" s="320" t="s">
        <v>42</v>
      </c>
      <c r="G27" s="418"/>
    </row>
    <row r="28" spans="1:22" x14ac:dyDescent="0.25">
      <c r="A28" s="418"/>
      <c r="B28" s="418"/>
      <c r="C28" s="428" t="s">
        <v>746</v>
      </c>
      <c r="D28" s="428" t="s">
        <v>765</v>
      </c>
      <c r="E28" s="428" t="s">
        <v>9</v>
      </c>
      <c r="F28" s="320" t="s">
        <v>42</v>
      </c>
      <c r="G28" s="418"/>
      <c r="L28" s="694" t="s">
        <v>667</v>
      </c>
      <c r="M28" s="729"/>
      <c r="N28" s="729"/>
      <c r="O28" s="729"/>
      <c r="P28" s="729"/>
      <c r="Q28" s="729"/>
      <c r="R28" s="729"/>
      <c r="S28" s="729"/>
      <c r="T28" s="729"/>
      <c r="U28" s="695"/>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C32" s="418"/>
      <c r="D32" s="418"/>
      <c r="E32" s="418"/>
      <c r="F32" s="418"/>
      <c r="G32" s="418"/>
      <c r="L32" s="148"/>
      <c r="N32" s="341" t="s">
        <v>630</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705</v>
      </c>
      <c r="O33" s="75">
        <v>667</v>
      </c>
      <c r="P33" s="371">
        <f>+O33*0.0036</f>
        <v>2.4011999999999998</v>
      </c>
      <c r="Q33" s="372" t="s">
        <v>9</v>
      </c>
      <c r="R33" s="323">
        <f>+ROUND(P33/P32,4)</f>
        <v>4.4000000000000003E-3</v>
      </c>
      <c r="S33" s="71" t="str">
        <f>+ROUND(O33/(365*O32),4)&amp;" Gwh per kbl oil"</f>
        <v>0,0075 Gwh per kbl oil</v>
      </c>
      <c r="U33" s="297"/>
      <c r="W33" t="s">
        <v>737</v>
      </c>
      <c r="X33" t="s">
        <v>738</v>
      </c>
    </row>
    <row r="34" spans="1:26" x14ac:dyDescent="0.25">
      <c r="A34" s="423" t="s">
        <v>20</v>
      </c>
      <c r="B34" s="423"/>
      <c r="C34" s="424"/>
      <c r="D34" s="424"/>
      <c r="E34" s="424"/>
      <c r="F34" s="418"/>
      <c r="G34" s="418"/>
      <c r="L34" s="148"/>
      <c r="N34" s="341" t="s">
        <v>631</v>
      </c>
      <c r="O34">
        <v>5.83</v>
      </c>
      <c r="P34" s="371">
        <f>+O34*0.041868</f>
        <v>0.24409044000000002</v>
      </c>
      <c r="Q34" s="372" t="s">
        <v>9</v>
      </c>
      <c r="R34" s="323">
        <f>+ROUND(P34/P32,4)</f>
        <v>5.0000000000000001E-4</v>
      </c>
      <c r="S34" s="71" t="str">
        <f>+ROUND(O34/(365*O32),4)&amp;" kt H2 per kbl oil"</f>
        <v>0,0001 kt H2 per kbl oil</v>
      </c>
      <c r="U34" s="297"/>
      <c r="W34" t="s">
        <v>1</v>
      </c>
      <c r="X34" t="s">
        <v>739</v>
      </c>
      <c r="Y34">
        <v>2019</v>
      </c>
    </row>
    <row r="35" spans="1:26" x14ac:dyDescent="0.25">
      <c r="A35" s="420" t="s">
        <v>21</v>
      </c>
      <c r="B35" s="421" t="s">
        <v>22</v>
      </c>
      <c r="C35" s="421" t="s">
        <v>2</v>
      </c>
      <c r="D35" s="421" t="s">
        <v>23</v>
      </c>
      <c r="E35" s="422" t="s">
        <v>24</v>
      </c>
      <c r="F35" s="418"/>
      <c r="G35" s="418"/>
      <c r="L35" s="148"/>
      <c r="N35" s="341"/>
      <c r="O35" s="72"/>
      <c r="U35" s="297"/>
      <c r="W35" t="s">
        <v>740</v>
      </c>
      <c r="X35" t="s">
        <v>732</v>
      </c>
      <c r="Y35">
        <v>0.24284476982969799</v>
      </c>
      <c r="Z35" s="450">
        <f>+Y35/$Y$40</f>
        <v>4.9624956990719797E-4</v>
      </c>
    </row>
    <row r="36" spans="1:26" x14ac:dyDescent="0.25">
      <c r="A36" s="425" t="s">
        <v>82</v>
      </c>
      <c r="B36" s="425"/>
      <c r="C36" s="417" t="s">
        <v>731</v>
      </c>
      <c r="D36" s="417" t="s">
        <v>778</v>
      </c>
      <c r="E36" s="417" t="s">
        <v>9</v>
      </c>
      <c r="F36" s="418"/>
      <c r="G36" s="418"/>
      <c r="L36" s="148"/>
      <c r="N36" s="440" t="s">
        <v>712</v>
      </c>
      <c r="O36" s="441"/>
      <c r="P36" s="441">
        <f>+O135</f>
        <v>1.4407199999999998</v>
      </c>
      <c r="Q36" s="438" t="s">
        <v>9</v>
      </c>
      <c r="R36" s="72">
        <f>+O135/P32</f>
        <v>2.6575482987367489E-3</v>
      </c>
      <c r="S36" t="s">
        <v>713</v>
      </c>
      <c r="U36" s="297"/>
      <c r="W36" t="s">
        <v>740</v>
      </c>
      <c r="X36" t="s">
        <v>733</v>
      </c>
      <c r="Y36">
        <v>2.1370339745013398</v>
      </c>
      <c r="Z36" s="450">
        <f t="shared" ref="Z36:Z38" si="0">+Y36/$Y$40</f>
        <v>4.366996215183337E-3</v>
      </c>
    </row>
    <row r="37" spans="1:26" x14ac:dyDescent="0.25">
      <c r="A37" s="417"/>
      <c r="B37" s="417"/>
      <c r="C37" t="s">
        <v>732</v>
      </c>
      <c r="D37" t="s">
        <v>779</v>
      </c>
      <c r="E37" t="s">
        <v>9</v>
      </c>
      <c r="F37" s="418"/>
      <c r="G37" s="418"/>
      <c r="L37" s="151"/>
      <c r="M37" s="152"/>
      <c r="N37" s="152"/>
      <c r="O37" s="152"/>
      <c r="P37" s="152"/>
      <c r="Q37" s="152"/>
      <c r="R37" s="152"/>
      <c r="S37" s="152"/>
      <c r="T37" s="152"/>
      <c r="U37" s="302"/>
      <c r="W37" t="s">
        <v>740</v>
      </c>
      <c r="X37" t="s">
        <v>731</v>
      </c>
      <c r="Y37">
        <v>485.68953965939698</v>
      </c>
      <c r="Z37" s="450">
        <f t="shared" si="0"/>
        <v>0.99249913981439797</v>
      </c>
    </row>
    <row r="38" spans="1:26" x14ac:dyDescent="0.25">
      <c r="A38" s="417"/>
      <c r="B38" s="418"/>
      <c r="C38" t="s">
        <v>733</v>
      </c>
      <c r="D38" t="s">
        <v>780</v>
      </c>
      <c r="E38" t="s">
        <v>9</v>
      </c>
      <c r="F38" s="418"/>
      <c r="G38" s="418"/>
      <c r="W38" t="s">
        <v>740</v>
      </c>
      <c r="X38" t="s">
        <v>734</v>
      </c>
      <c r="Y38">
        <v>1.29074340983606</v>
      </c>
      <c r="Z38" s="450">
        <f t="shared" si="0"/>
        <v>2.6376144005114295E-3</v>
      </c>
    </row>
    <row r="39" spans="1:26" x14ac:dyDescent="0.25">
      <c r="A39" s="417"/>
      <c r="B39" s="418"/>
      <c r="C39" s="71" t="s">
        <v>734</v>
      </c>
      <c r="D39" t="s">
        <v>781</v>
      </c>
      <c r="E39" t="s">
        <v>9</v>
      </c>
      <c r="F39" s="418"/>
      <c r="G39" s="418"/>
      <c r="N39" s="344" t="s">
        <v>632</v>
      </c>
      <c r="O39" s="345"/>
      <c r="P39" s="346"/>
    </row>
    <row r="40" spans="1:26" x14ac:dyDescent="0.25">
      <c r="C40" s="71" t="s">
        <v>756</v>
      </c>
      <c r="D40" s="71" t="s">
        <v>754</v>
      </c>
      <c r="E40" s="463" t="s">
        <v>9</v>
      </c>
      <c r="G40" s="418"/>
      <c r="N40" s="374" t="s">
        <v>11</v>
      </c>
      <c r="O40" s="340" t="s">
        <v>12</v>
      </c>
      <c r="P40" s="375" t="s">
        <v>175</v>
      </c>
      <c r="Y40">
        <f>+SUM(Y35:Y38)</f>
        <v>489.3601618135641</v>
      </c>
    </row>
    <row r="41" spans="1:26" x14ac:dyDescent="0.25">
      <c r="A41" s="417"/>
      <c r="B41" s="417"/>
      <c r="C41" s="71" t="s">
        <v>757</v>
      </c>
      <c r="D41" s="71" t="s">
        <v>755</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694" t="s">
        <v>666</v>
      </c>
      <c r="M48" s="729"/>
      <c r="N48" s="729"/>
      <c r="O48" s="729"/>
      <c r="P48" s="729"/>
      <c r="Q48" s="729"/>
      <c r="R48" s="729"/>
      <c r="S48" s="729"/>
      <c r="T48" s="729"/>
      <c r="U48" s="695"/>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212" t="s">
        <v>663</v>
      </c>
      <c r="S54" s="353"/>
      <c r="T54" s="353"/>
      <c r="U54" s="354"/>
    </row>
    <row r="55" spans="2:21" x14ac:dyDescent="0.25">
      <c r="B55" s="1"/>
      <c r="C55" s="1"/>
      <c r="D55" s="1"/>
      <c r="E55" s="1"/>
      <c r="F55" s="1"/>
      <c r="G55" s="1"/>
      <c r="H55" s="1"/>
      <c r="I55" s="1"/>
      <c r="L55" s="148"/>
      <c r="M55" s="323" t="s">
        <v>85</v>
      </c>
      <c r="N55" s="66"/>
      <c r="O55" s="364">
        <v>2466</v>
      </c>
      <c r="P55" s="365">
        <f>+O55/$O$63</f>
        <v>0.30324643384161337</v>
      </c>
      <c r="Q55" s="446">
        <v>0.32100000000000001</v>
      </c>
      <c r="R55" s="323"/>
      <c r="S55" s="353"/>
      <c r="T55" s="323"/>
      <c r="U55" s="297"/>
    </row>
    <row r="56" spans="2:21" x14ac:dyDescent="0.25">
      <c r="B56" s="1"/>
      <c r="C56" s="1"/>
      <c r="D56" s="1"/>
      <c r="E56" s="1"/>
      <c r="F56" s="1"/>
      <c r="G56" s="1"/>
      <c r="H56" s="1"/>
      <c r="I56" s="1"/>
      <c r="L56" s="148"/>
      <c r="M56" s="323" t="s">
        <v>637</v>
      </c>
      <c r="N56" s="66"/>
      <c r="O56" s="364">
        <v>3084</v>
      </c>
      <c r="P56" s="365">
        <f>+O56/$O$63</f>
        <v>0.3792424987702902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8.8047220855878017E-2</v>
      </c>
      <c r="Q57" s="446">
        <v>0.08</v>
      </c>
      <c r="R57" s="323"/>
      <c r="S57" s="323"/>
      <c r="T57" s="323"/>
      <c r="U57" s="297"/>
    </row>
    <row r="58" spans="2:21" x14ac:dyDescent="0.25">
      <c r="B58" s="1"/>
      <c r="C58" s="1"/>
      <c r="D58" s="1"/>
      <c r="E58" s="1"/>
      <c r="F58" s="1"/>
      <c r="G58" s="1"/>
      <c r="H58" s="1"/>
      <c r="I58" s="1"/>
      <c r="L58" s="148"/>
      <c r="M58" s="323" t="s">
        <v>49</v>
      </c>
      <c r="N58" s="66"/>
      <c r="O58" s="364"/>
      <c r="P58" s="365">
        <f t="shared" ref="P58" si="1">+O58/$O$63</f>
        <v>0</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0.19367929168716183</v>
      </c>
      <c r="Q59" s="446">
        <v>0.20100000000000001</v>
      </c>
      <c r="R59" s="323"/>
      <c r="S59" s="72"/>
      <c r="T59" s="323"/>
      <c r="U59" s="297"/>
    </row>
    <row r="60" spans="2:21" x14ac:dyDescent="0.25">
      <c r="B60" s="1"/>
      <c r="C60" s="1"/>
      <c r="D60" s="1"/>
      <c r="E60" s="1"/>
      <c r="F60" s="1"/>
      <c r="G60" s="1"/>
      <c r="H60" s="1"/>
      <c r="I60" s="1"/>
      <c r="L60" s="148"/>
      <c r="M60" s="323" t="s">
        <v>724</v>
      </c>
      <c r="N60" s="66"/>
      <c r="O60" s="364"/>
      <c r="P60" s="365">
        <f>+O60/$O$63</f>
        <v>0</v>
      </c>
      <c r="Q60" s="446">
        <v>1E-3</v>
      </c>
      <c r="T60" s="323"/>
      <c r="U60" s="297"/>
    </row>
    <row r="61" spans="2:21" x14ac:dyDescent="0.25">
      <c r="B61" s="1"/>
      <c r="C61" s="1"/>
      <c r="D61" s="1"/>
      <c r="E61" s="1"/>
      <c r="F61" s="1"/>
      <c r="G61" s="1"/>
      <c r="H61" s="1"/>
      <c r="I61" s="1"/>
      <c r="L61" s="148"/>
      <c r="M61" s="323" t="s">
        <v>647</v>
      </c>
      <c r="N61" s="436"/>
      <c r="O61" s="364">
        <v>291</v>
      </c>
      <c r="P61" s="365">
        <f>+O61/$O$63</f>
        <v>3.578455484505657E-2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c r="O63" s="367">
        <f>+SUM(O55:O61)</f>
        <v>8132</v>
      </c>
      <c r="P63" s="368">
        <f>+SUM(P55:P61)</f>
        <v>1</v>
      </c>
      <c r="Q63" s="369">
        <f>+SUM(Q55:Q61)</f>
        <v>1</v>
      </c>
      <c r="U63" s="297"/>
    </row>
    <row r="64" spans="2:21" x14ac:dyDescent="0.25">
      <c r="B64" s="1"/>
      <c r="C64" s="1"/>
      <c r="D64" s="1"/>
      <c r="E64" s="1"/>
      <c r="F64" s="1"/>
      <c r="G64" s="1"/>
      <c r="H64" s="1"/>
      <c r="I64" s="1"/>
      <c r="L64" s="148"/>
      <c r="M64" s="323" t="s">
        <v>568</v>
      </c>
      <c r="N64" s="367"/>
      <c r="O64" s="367">
        <f>24.39-O63</f>
        <v>-8107.61</v>
      </c>
      <c r="P64" s="365"/>
      <c r="S64" s="309"/>
      <c r="T64" s="309"/>
      <c r="U64" s="297"/>
    </row>
    <row r="65" spans="2:21" x14ac:dyDescent="0.25">
      <c r="B65" s="1"/>
      <c r="C65" s="1"/>
      <c r="D65" s="1"/>
      <c r="E65" s="1"/>
      <c r="F65" s="1"/>
      <c r="G65" s="1"/>
      <c r="H65" s="1"/>
      <c r="I65" s="1"/>
      <c r="L65" s="148"/>
      <c r="M65" s="323" t="s">
        <v>575</v>
      </c>
      <c r="N65" s="367"/>
      <c r="O65" s="367">
        <f>+O64+O63</f>
        <v>24.390000000000327</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S71" s="309"/>
    </row>
    <row r="72" spans="2:21" x14ac:dyDescent="0.25">
      <c r="B72" s="1"/>
      <c r="C72" s="1"/>
      <c r="D72" s="1"/>
      <c r="E72" s="1"/>
      <c r="F72" s="1"/>
      <c r="G72" s="1"/>
      <c r="H72" s="1"/>
      <c r="I72" s="1"/>
      <c r="N72" s="352" t="str">
        <f>+C23</f>
        <v>REF2</v>
      </c>
      <c r="O72" s="1" t="s">
        <v>45</v>
      </c>
      <c r="P72" s="265">
        <f>+P55+P60</f>
        <v>0.30324643384161337</v>
      </c>
    </row>
    <row r="73" spans="2:21" x14ac:dyDescent="0.25">
      <c r="B73" s="1"/>
      <c r="C73" s="1"/>
      <c r="D73" s="1"/>
      <c r="E73" s="1"/>
      <c r="F73" s="1"/>
      <c r="G73" s="1"/>
      <c r="H73" s="1"/>
      <c r="I73" s="1"/>
      <c r="N73" s="1"/>
      <c r="O73" s="1" t="s">
        <v>47</v>
      </c>
      <c r="P73" s="265">
        <f>+P56</f>
        <v>0.3792424987702902</v>
      </c>
    </row>
    <row r="74" spans="2:21" x14ac:dyDescent="0.25">
      <c r="B74" s="1"/>
      <c r="C74" s="1"/>
      <c r="D74" s="1"/>
      <c r="E74" s="1"/>
      <c r="F74" s="1"/>
      <c r="G74" s="1"/>
      <c r="H74" s="1"/>
      <c r="I74" s="1"/>
      <c r="N74" s="1"/>
      <c r="O74" s="1" t="s">
        <v>48</v>
      </c>
      <c r="P74" s="265">
        <f>+P57</f>
        <v>8.8047220855878017E-2</v>
      </c>
    </row>
    <row r="75" spans="2:21" x14ac:dyDescent="0.25">
      <c r="B75" s="1"/>
      <c r="C75" s="1"/>
      <c r="D75" s="1"/>
      <c r="E75" s="1"/>
      <c r="F75" s="1"/>
      <c r="G75" s="1"/>
      <c r="H75" s="1"/>
      <c r="I75" s="1"/>
      <c r="N75" s="1"/>
      <c r="O75" s="1" t="s">
        <v>49</v>
      </c>
      <c r="P75" s="265">
        <f>+P58</f>
        <v>0</v>
      </c>
      <c r="R75" s="265"/>
    </row>
    <row r="76" spans="2:21" x14ac:dyDescent="0.25">
      <c r="B76" s="1"/>
      <c r="C76" s="1"/>
      <c r="D76" s="1"/>
      <c r="E76" s="1"/>
      <c r="F76" s="1"/>
      <c r="G76" s="1"/>
      <c r="H76" s="1"/>
      <c r="I76" s="1"/>
      <c r="N76" s="1"/>
      <c r="O76" s="1" t="s">
        <v>50</v>
      </c>
      <c r="P76" s="265">
        <f>+P59</f>
        <v>0.19367929168716183</v>
      </c>
    </row>
    <row r="77" spans="2:21" x14ac:dyDescent="0.25">
      <c r="B77" s="1"/>
      <c r="C77" s="1"/>
      <c r="D77" s="1"/>
      <c r="E77" s="1"/>
      <c r="F77" s="1"/>
      <c r="G77" s="1"/>
      <c r="H77" s="1"/>
      <c r="I77" s="1"/>
      <c r="N77" s="1"/>
      <c r="O77" s="1" t="s">
        <v>742</v>
      </c>
      <c r="P77" s="299">
        <f>+P61</f>
        <v>3.578455484505657E-2</v>
      </c>
    </row>
    <row r="78" spans="2:21" x14ac:dyDescent="0.25">
      <c r="B78" s="1"/>
      <c r="C78" s="1"/>
      <c r="D78" s="1"/>
      <c r="E78" s="1"/>
      <c r="F78" s="1"/>
      <c r="G78" s="1"/>
      <c r="H78" s="1"/>
      <c r="I78" s="1"/>
      <c r="O78" s="1" t="s">
        <v>518</v>
      </c>
      <c r="P78" s="265">
        <v>0</v>
      </c>
    </row>
    <row r="79" spans="2:21" x14ac:dyDescent="0.25">
      <c r="B79" s="1"/>
      <c r="C79" s="1"/>
      <c r="D79" s="1"/>
      <c r="E79" s="1"/>
      <c r="F79" s="1"/>
      <c r="G79" s="1"/>
      <c r="H79" s="1"/>
      <c r="I79" s="1"/>
      <c r="Q79" s="370">
        <f>++SUM(P72:P77)</f>
        <v>1</v>
      </c>
    </row>
    <row r="80" spans="2:21" x14ac:dyDescent="0.25">
      <c r="B80" s="1"/>
      <c r="C80" s="1"/>
      <c r="D80" s="1"/>
      <c r="E80" s="1"/>
      <c r="F80" s="1"/>
      <c r="G80" s="1"/>
      <c r="H80" s="1"/>
      <c r="I80" s="1"/>
    </row>
    <row r="81" spans="1:21" x14ac:dyDescent="0.25">
      <c r="B81" s="1"/>
      <c r="C81" s="1"/>
      <c r="D81" s="1"/>
      <c r="E81" s="1"/>
      <c r="F81" s="1"/>
      <c r="G81" s="1"/>
      <c r="H81" s="1"/>
      <c r="I81" s="1"/>
      <c r="L81" s="694" t="s">
        <v>668</v>
      </c>
      <c r="M81" s="729"/>
      <c r="N81" s="729"/>
      <c r="O81" s="729"/>
      <c r="P81" s="729"/>
      <c r="Q81" s="729"/>
      <c r="R81" s="729"/>
      <c r="S81" s="729"/>
      <c r="T81" s="729"/>
      <c r="U81" s="695"/>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f>+'4. Refinery''s Data'!D21</f>
        <v>250</v>
      </c>
      <c r="P84" s="364">
        <f>+O84*365*E10/1000</f>
        <v>555.45464279436999</v>
      </c>
      <c r="S84" s="122"/>
      <c r="T84" s="122"/>
      <c r="U84" s="297"/>
    </row>
    <row r="85" spans="1:21" x14ac:dyDescent="0.25">
      <c r="A85" t="s">
        <v>644</v>
      </c>
      <c r="B85" s="1"/>
      <c r="C85" s="1"/>
      <c r="D85" s="1"/>
      <c r="E85" s="1"/>
      <c r="F85" s="1"/>
      <c r="G85" s="1"/>
      <c r="H85" s="1"/>
      <c r="I85" s="1"/>
      <c r="L85" s="148"/>
      <c r="N85" s="323" t="s">
        <v>622</v>
      </c>
      <c r="O85">
        <v>218.6</v>
      </c>
      <c r="P85" s="367">
        <f>+O85*365*E10/1000</f>
        <v>485.68953965939704</v>
      </c>
      <c r="U85" s="297"/>
    </row>
    <row r="86" spans="1:21" x14ac:dyDescent="0.25">
      <c r="B86" s="1"/>
      <c r="C86" s="1"/>
      <c r="D86" s="1"/>
      <c r="E86" s="1"/>
      <c r="F86" s="1"/>
      <c r="G86" s="1"/>
      <c r="H86" s="1"/>
      <c r="I86" s="1"/>
      <c r="L86" s="148"/>
      <c r="N86" s="324" t="s">
        <v>623</v>
      </c>
      <c r="O86" s="379">
        <f>+O85/O84</f>
        <v>0.87439999999999996</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c r="P89" s="384">
        <f>+O65/O51</f>
        <v>2.0105514796801851E-3</v>
      </c>
      <c r="U89" s="297"/>
    </row>
    <row r="90" spans="1:21" x14ac:dyDescent="0.25">
      <c r="B90" s="1"/>
      <c r="C90" s="1"/>
      <c r="D90" s="1"/>
      <c r="E90" s="1"/>
      <c r="F90" s="1"/>
      <c r="G90" s="1"/>
      <c r="H90" s="1"/>
      <c r="I90" s="1"/>
      <c r="L90" s="148"/>
      <c r="N90" s="323" t="s">
        <v>670</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REF2</v>
      </c>
      <c r="O97" s="328" t="s">
        <v>626</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694" t="s">
        <v>673</v>
      </c>
      <c r="M104" s="729"/>
      <c r="N104" s="729"/>
      <c r="O104" s="729"/>
      <c r="P104" s="729"/>
      <c r="Q104" s="729"/>
      <c r="R104" s="729"/>
      <c r="S104" s="729"/>
      <c r="T104" s="729"/>
      <c r="U104" s="695"/>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5830000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26235000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926481154.5</v>
      </c>
      <c r="Y111" t="s">
        <v>655</v>
      </c>
    </row>
    <row r="112" spans="2:25" x14ac:dyDescent="0.25">
      <c r="B112" s="1"/>
      <c r="C112" s="1"/>
      <c r="D112" s="1"/>
      <c r="E112" s="1"/>
      <c r="F112" s="1"/>
      <c r="G112" s="1"/>
      <c r="H112" s="1"/>
      <c r="I112" s="1"/>
      <c r="L112" s="148"/>
      <c r="U112" s="297"/>
      <c r="X112">
        <f>+X111/(1000000)</f>
        <v>926.4811545</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tr">
        <f>+C24</f>
        <v>SMR-REF2</v>
      </c>
      <c r="O117" s="400" t="s">
        <v>626</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694" t="s">
        <v>679</v>
      </c>
      <c r="M128" s="729"/>
      <c r="N128" s="729"/>
      <c r="O128" s="729"/>
      <c r="P128" s="729"/>
      <c r="Q128" s="729"/>
      <c r="R128" s="729"/>
      <c r="S128" s="729"/>
      <c r="T128" s="729"/>
      <c r="U128" s="695"/>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181.10027784183313</v>
      </c>
    </row>
    <row r="131" spans="2:25" x14ac:dyDescent="0.25">
      <c r="B131" s="1"/>
      <c r="C131" s="1"/>
      <c r="D131" s="1" t="s">
        <v>698</v>
      </c>
      <c r="E131" s="1">
        <v>874.27499999999998</v>
      </c>
      <c r="F131" s="1" t="s">
        <v>252</v>
      </c>
      <c r="G131" s="434" t="s">
        <v>735</v>
      </c>
      <c r="H131" s="1">
        <f>643+289</f>
        <v>932</v>
      </c>
      <c r="I131" s="1"/>
      <c r="L131" s="148"/>
      <c r="M131" s="323" t="s">
        <v>681</v>
      </c>
      <c r="N131" s="19">
        <v>58</v>
      </c>
      <c r="O131" s="261">
        <f>43+643*I132</f>
        <v>485.45016077170419</v>
      </c>
      <c r="P131" t="s">
        <v>9</v>
      </c>
      <c r="Q131" s="122">
        <f>O131/(85*24*365*0.0036/1000)</f>
        <v>181.10027784183313</v>
      </c>
      <c r="R131" s="71" t="s">
        <v>685</v>
      </c>
      <c r="U131" s="297"/>
      <c r="W131" t="s">
        <v>707</v>
      </c>
      <c r="X131" s="57">
        <f>+Q132</f>
        <v>83.520672675452204</v>
      </c>
    </row>
    <row r="132" spans="2:25" x14ac:dyDescent="0.25">
      <c r="B132" s="1"/>
      <c r="C132" s="1"/>
      <c r="D132" s="1" t="s">
        <v>699</v>
      </c>
      <c r="E132" s="1">
        <f>+E130-E131</f>
        <v>686.72500000000002</v>
      </c>
      <c r="F132" s="1" t="s">
        <v>252</v>
      </c>
      <c r="G132" s="434" t="s">
        <v>736</v>
      </c>
      <c r="H132" s="1">
        <v>642</v>
      </c>
      <c r="I132" s="449">
        <f>+H132/(H132+H133)</f>
        <v>0.68810289389067525</v>
      </c>
      <c r="L132" s="148"/>
      <c r="M132" s="323" t="s">
        <v>514</v>
      </c>
      <c r="N132" s="436">
        <v>33.799999999999997</v>
      </c>
      <c r="O132" s="261">
        <f>643*I133</f>
        <v>200.54983922829581</v>
      </c>
      <c r="P132" t="s">
        <v>9</v>
      </c>
      <c r="Q132" s="122">
        <f>+O132/(O33*0.0036)</f>
        <v>83.520672675452204</v>
      </c>
      <c r="R132" t="s">
        <v>684</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1.4407199999999998</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AUTO-REF2</v>
      </c>
      <c r="O145" s="394" t="s">
        <v>626</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694" t="s">
        <v>711</v>
      </c>
      <c r="M162" s="729"/>
      <c r="N162" s="729"/>
      <c r="O162" s="729"/>
      <c r="P162" s="729"/>
      <c r="Q162" s="729"/>
      <c r="R162" s="729"/>
      <c r="S162" s="729"/>
      <c r="T162" s="729"/>
      <c r="U162" s="695"/>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28:U28"/>
    <mergeCell ref="L7:U7"/>
    <mergeCell ref="N9:P9"/>
    <mergeCell ref="R10:S10"/>
    <mergeCell ref="O12:O13"/>
    <mergeCell ref="S12:S13"/>
    <mergeCell ref="L48:U48"/>
    <mergeCell ref="L81:U81"/>
    <mergeCell ref="L104:U104"/>
    <mergeCell ref="L128:U128"/>
    <mergeCell ref="L162:U162"/>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72"/>
  <sheetViews>
    <sheetView showGridLines="0" topLeftCell="A19" zoomScaleNormal="100" workbookViewId="0">
      <selection activeCell="F43" sqref="F43"/>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737" t="s">
        <v>783</v>
      </c>
      <c r="E2" s="737"/>
      <c r="F2" s="737"/>
      <c r="G2" s="737"/>
      <c r="H2" s="737"/>
    </row>
    <row r="3" spans="1:23" ht="15.75" thickTop="1" x14ac:dyDescent="0.25">
      <c r="D3" s="468"/>
      <c r="E3" s="738" t="s">
        <v>784</v>
      </c>
      <c r="F3" s="738"/>
      <c r="G3" s="738" t="s">
        <v>785</v>
      </c>
      <c r="H3" s="738"/>
    </row>
    <row r="4" spans="1:23" x14ac:dyDescent="0.25">
      <c r="A4" t="s">
        <v>786</v>
      </c>
      <c r="D4" s="16"/>
      <c r="E4" s="16" t="s">
        <v>787</v>
      </c>
      <c r="F4" s="16" t="s">
        <v>788</v>
      </c>
      <c r="G4" s="16" t="s">
        <v>787</v>
      </c>
      <c r="H4" s="16" t="s">
        <v>788</v>
      </c>
    </row>
    <row r="5" spans="1:23" x14ac:dyDescent="0.25">
      <c r="A5" t="s">
        <v>216</v>
      </c>
      <c r="B5">
        <v>15</v>
      </c>
      <c r="D5" s="320" t="s">
        <v>789</v>
      </c>
      <c r="E5" s="469">
        <v>0</v>
      </c>
      <c r="F5" s="16"/>
      <c r="G5" s="469">
        <v>0</v>
      </c>
      <c r="H5" s="16">
        <v>10</v>
      </c>
    </row>
    <row r="6" spans="1:23" x14ac:dyDescent="0.25">
      <c r="D6" s="320" t="s">
        <v>790</v>
      </c>
      <c r="E6" s="16"/>
      <c r="F6" s="16">
        <v>18</v>
      </c>
      <c r="G6" s="16">
        <v>10</v>
      </c>
      <c r="H6" s="16">
        <v>22.3</v>
      </c>
    </row>
    <row r="7" spans="1:23" x14ac:dyDescent="0.25">
      <c r="D7" s="320" t="s">
        <v>791</v>
      </c>
      <c r="E7" s="16">
        <v>18.100000000000001</v>
      </c>
      <c r="F7" s="16">
        <v>32</v>
      </c>
      <c r="G7" s="16">
        <v>22.3</v>
      </c>
      <c r="H7" s="16">
        <v>31.1</v>
      </c>
    </row>
    <row r="8" spans="1:23" x14ac:dyDescent="0.25">
      <c r="D8" s="320" t="s">
        <v>792</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739" t="s">
        <v>793</v>
      </c>
      <c r="O11" s="739"/>
      <c r="P11" s="739"/>
      <c r="Q11" s="739"/>
      <c r="R11" s="739"/>
      <c r="S11" s="739"/>
      <c r="T11" s="739"/>
      <c r="U11" s="739"/>
      <c r="V11" s="121"/>
      <c r="W11" s="121"/>
    </row>
    <row r="12" spans="1:23" ht="37.5" x14ac:dyDescent="0.25">
      <c r="A12" t="s">
        <v>794</v>
      </c>
      <c r="C12" s="470" t="s">
        <v>795</v>
      </c>
      <c r="D12" s="470" t="s">
        <v>796</v>
      </c>
      <c r="E12" s="470" t="s">
        <v>797</v>
      </c>
      <c r="F12" s="470" t="s">
        <v>798</v>
      </c>
      <c r="G12" s="470" t="s">
        <v>799</v>
      </c>
      <c r="H12" s="470" t="s">
        <v>800</v>
      </c>
      <c r="I12" s="471"/>
      <c r="J12" s="470" t="s">
        <v>801</v>
      </c>
      <c r="K12" s="472" t="s">
        <v>802</v>
      </c>
      <c r="L12" s="472" t="s">
        <v>803</v>
      </c>
      <c r="M12" s="472" t="s">
        <v>804</v>
      </c>
      <c r="N12" s="470" t="s">
        <v>805</v>
      </c>
      <c r="O12" s="470" t="s">
        <v>806</v>
      </c>
      <c r="P12" s="470" t="s">
        <v>807</v>
      </c>
      <c r="Q12" s="470" t="s">
        <v>808</v>
      </c>
      <c r="R12" s="470" t="s">
        <v>809</v>
      </c>
      <c r="S12" s="470" t="s">
        <v>810</v>
      </c>
      <c r="T12" s="470" t="s">
        <v>811</v>
      </c>
      <c r="U12" s="470" t="s">
        <v>812</v>
      </c>
      <c r="V12" s="470" t="s">
        <v>813</v>
      </c>
      <c r="W12" s="472" t="s">
        <v>814</v>
      </c>
    </row>
    <row r="13" spans="1:23" x14ac:dyDescent="0.25">
      <c r="C13" s="473" t="e" vm="1">
        <v>#VALUE!</v>
      </c>
      <c r="D13" s="474" t="s">
        <v>815</v>
      </c>
      <c r="E13" s="474" t="s">
        <v>836</v>
      </c>
      <c r="F13" s="474" t="s">
        <v>837</v>
      </c>
      <c r="G13" s="475" t="s">
        <v>838</v>
      </c>
      <c r="H13" s="473" t="s">
        <v>665</v>
      </c>
      <c r="I13" s="476" t="s">
        <v>51</v>
      </c>
      <c r="J13" s="476" t="str">
        <f>+IF(I13="Gas","Doesn't Apply",IF(H13&lt;$F$5,$D$5,IF(H13&lt;$F$6,$D$6,IF(H13&lt;$F$7,$D$7,IF(H13&gt;$E$8,$D$8,"Doesn't Apply")))))</f>
        <v>Doesn't Apply</v>
      </c>
      <c r="K13" s="477">
        <f>+SUM(O13:U13)-T13</f>
        <v>162.95282191780822</v>
      </c>
      <c r="L13" s="477">
        <f t="shared" ref="L13:L32" si="0">+P13+O13+R13+Q13</f>
        <v>6.7568767123287659</v>
      </c>
      <c r="M13" s="477">
        <f t="shared" ref="M13:M32" si="1">+S13-T13+U13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815</v>
      </c>
      <c r="E14" s="474" t="s">
        <v>836</v>
      </c>
      <c r="F14" s="474" t="s">
        <v>837</v>
      </c>
      <c r="G14" s="475" t="s">
        <v>839</v>
      </c>
      <c r="H14" s="473" t="s">
        <v>665</v>
      </c>
      <c r="I14" s="476" t="s">
        <v>51</v>
      </c>
      <c r="J14" s="476" t="str">
        <f>+IF(I14="Gas","Doesn't Apply",IF(H14&lt;$F$5,$D$5,IF(H14&lt;$F$6,$D$6,IF(H14&lt;$F$7,$D$7,IF(H14&gt;$E$8,$D$8,"Doesn't Apply")))))</f>
        <v>Doesn't Apply</v>
      </c>
      <c r="K14" s="477">
        <f t="shared" ref="K14:K32" si="2">+SUM(O14:U14)-T14</f>
        <v>23.174410958904112</v>
      </c>
      <c r="L14" s="477">
        <f t="shared" si="0"/>
        <v>0.14397260273972604</v>
      </c>
      <c r="M14" s="477">
        <f t="shared" si="1"/>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2" si="3">+K14-P14</f>
        <v>23.174410958904112</v>
      </c>
    </row>
    <row r="15" spans="1:23" x14ac:dyDescent="0.25">
      <c r="C15" s="473" t="e" vm="2">
        <v>#VALUE!</v>
      </c>
      <c r="D15" s="474" t="s">
        <v>815</v>
      </c>
      <c r="E15" s="474" t="s">
        <v>849</v>
      </c>
      <c r="F15" s="474" t="s">
        <v>822</v>
      </c>
      <c r="G15" s="475" t="s">
        <v>850</v>
      </c>
      <c r="H15" s="473" t="s">
        <v>665</v>
      </c>
      <c r="I15" s="476" t="s">
        <v>51</v>
      </c>
      <c r="J15" s="476" t="str">
        <f>+IF(I15="Gas","Doesn't Apply",IF(H15&lt;$F$5,$D$5,IF(H15&lt;$F$6,$D$6,IF(H15&lt;$F$7,$D$7,IF(H15&gt;$E$8,$D$8,"Doesn't Apply")))))</f>
        <v>Doesn't Apply</v>
      </c>
      <c r="K15" s="477">
        <f t="shared" si="2"/>
        <v>35.569315068493154</v>
      </c>
      <c r="L15" s="477">
        <f t="shared" si="0"/>
        <v>0</v>
      </c>
      <c r="M15" s="477">
        <f t="shared" si="1"/>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815</v>
      </c>
      <c r="E16" s="474" t="s">
        <v>821</v>
      </c>
      <c r="F16" s="474" t="s">
        <v>822</v>
      </c>
      <c r="G16" s="475" t="s">
        <v>823</v>
      </c>
      <c r="H16" s="473">
        <v>48</v>
      </c>
      <c r="I16" s="476"/>
      <c r="J16" s="476" t="str">
        <f t="shared" ref="J16:J22" si="4">+IF(G16="Gas","Doesn't Apply",IF(H16&lt;$F$5,$D$5,IF(H16&lt;$F$6,$D$6,IF(H16&lt;$F$7,$D$7,IF(H16&gt;$E$8,$D$8,"Doesn't Apply")))))</f>
        <v>Light Oil</v>
      </c>
      <c r="K16" s="477">
        <f t="shared" si="2"/>
        <v>649.48632876712327</v>
      </c>
      <c r="L16" s="477">
        <f t="shared" si="0"/>
        <v>436.89753424657533</v>
      </c>
      <c r="M16" s="477">
        <f t="shared" si="1"/>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815</v>
      </c>
      <c r="E17" s="474" t="s">
        <v>824</v>
      </c>
      <c r="F17" s="474" t="s">
        <v>822</v>
      </c>
      <c r="G17" s="475" t="s">
        <v>825</v>
      </c>
      <c r="H17" s="473">
        <v>52</v>
      </c>
      <c r="I17" s="476"/>
      <c r="J17" s="476" t="str">
        <f t="shared" si="4"/>
        <v>Light Oil</v>
      </c>
      <c r="K17" s="477">
        <f t="shared" si="2"/>
        <v>277.3735890410959</v>
      </c>
      <c r="L17" s="477">
        <f t="shared" si="0"/>
        <v>82.001808219178074</v>
      </c>
      <c r="M17" s="477">
        <f t="shared" si="1"/>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815</v>
      </c>
      <c r="E18" s="474" t="s">
        <v>826</v>
      </c>
      <c r="F18" s="474" t="s">
        <v>822</v>
      </c>
      <c r="G18" s="475" t="s">
        <v>827</v>
      </c>
      <c r="H18" s="473">
        <v>46</v>
      </c>
      <c r="I18" s="476"/>
      <c r="J18" s="476" t="str">
        <f t="shared" si="4"/>
        <v>Light Oil</v>
      </c>
      <c r="K18" s="477">
        <f t="shared" si="2"/>
        <v>435.40112328767128</v>
      </c>
      <c r="L18" s="477">
        <f t="shared" si="0"/>
        <v>235.53923287671233</v>
      </c>
      <c r="M18" s="477">
        <f t="shared" si="1"/>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815</v>
      </c>
      <c r="E19" s="474" t="s">
        <v>826</v>
      </c>
      <c r="F19" s="474" t="s">
        <v>822</v>
      </c>
      <c r="G19" s="475" t="s">
        <v>828</v>
      </c>
      <c r="H19" s="473">
        <f>44+((47-44)/2)</f>
        <v>45.5</v>
      </c>
      <c r="I19" s="476"/>
      <c r="J19" s="476" t="str">
        <f t="shared" si="4"/>
        <v>Light Oil</v>
      </c>
      <c r="K19" s="477">
        <f>+SUM(O19:U19)-T19</f>
        <v>166.60876712328769</v>
      </c>
      <c r="L19" s="477">
        <f t="shared" si="0"/>
        <v>166.60876712328769</v>
      </c>
      <c r="M19" s="477">
        <f t="shared" si="1"/>
        <v>0</v>
      </c>
      <c r="N19" s="478">
        <v>166.60868493150684</v>
      </c>
      <c r="O19" s="478">
        <v>0</v>
      </c>
      <c r="P19" s="478">
        <v>161.80676712328767</v>
      </c>
      <c r="Q19" s="478">
        <v>0.54767123287671238</v>
      </c>
      <c r="R19" s="478">
        <v>4.2543287671232868</v>
      </c>
      <c r="S19" s="478">
        <v>0</v>
      </c>
      <c r="T19" s="478">
        <v>0</v>
      </c>
      <c r="U19" s="478">
        <v>0</v>
      </c>
      <c r="V19" s="478">
        <v>8010.0189863013702</v>
      </c>
      <c r="W19" s="479">
        <f t="shared" si="3"/>
        <v>4.8020000000000209</v>
      </c>
    </row>
    <row r="20" spans="3:23" x14ac:dyDescent="0.25">
      <c r="C20" s="473" t="e" vm="4">
        <v>#VALUE!</v>
      </c>
      <c r="D20" s="474" t="s">
        <v>815</v>
      </c>
      <c r="E20" s="474" t="s">
        <v>840</v>
      </c>
      <c r="F20" s="474" t="s">
        <v>822</v>
      </c>
      <c r="G20" s="475" t="s">
        <v>841</v>
      </c>
      <c r="H20" s="473">
        <f>11.3+(14.4-11.3)/2</f>
        <v>12.850000000000001</v>
      </c>
      <c r="I20" s="476"/>
      <c r="J20" s="476" t="str">
        <f t="shared" si="4"/>
        <v>Heavy Oil</v>
      </c>
      <c r="K20" s="477">
        <f t="shared" si="2"/>
        <v>0</v>
      </c>
      <c r="L20" s="477">
        <f t="shared" si="0"/>
        <v>0</v>
      </c>
      <c r="M20" s="477">
        <f t="shared" si="1"/>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815</v>
      </c>
      <c r="E21" s="474" t="s">
        <v>842</v>
      </c>
      <c r="F21" s="474" t="s">
        <v>822</v>
      </c>
      <c r="G21" s="475" t="s">
        <v>843</v>
      </c>
      <c r="H21" s="473">
        <v>13.7</v>
      </c>
      <c r="I21" s="476"/>
      <c r="J21" s="476" t="str">
        <f t="shared" si="4"/>
        <v>Heavy Oil</v>
      </c>
      <c r="K21" s="477">
        <f t="shared" si="2"/>
        <v>0</v>
      </c>
      <c r="L21" s="477">
        <f t="shared" si="0"/>
        <v>0</v>
      </c>
      <c r="M21" s="477">
        <f t="shared" si="1"/>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815</v>
      </c>
      <c r="E22" s="474" t="s">
        <v>844</v>
      </c>
      <c r="F22" s="474" t="s">
        <v>822</v>
      </c>
      <c r="G22" s="475" t="s">
        <v>845</v>
      </c>
      <c r="H22" s="473">
        <f>7+(20-7)/2</f>
        <v>13.5</v>
      </c>
      <c r="I22" s="476"/>
      <c r="J22" s="476" t="str">
        <f t="shared" si="4"/>
        <v>Heavy Oil</v>
      </c>
      <c r="K22" s="477">
        <f t="shared" si="2"/>
        <v>3.793589041095891</v>
      </c>
      <c r="L22" s="477">
        <f t="shared" si="0"/>
        <v>3.793589041095891</v>
      </c>
      <c r="M22" s="477">
        <f t="shared" si="1"/>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815</v>
      </c>
      <c r="E23" s="474" t="s">
        <v>844</v>
      </c>
      <c r="F23" s="474" t="s">
        <v>822</v>
      </c>
      <c r="G23" s="475" t="s">
        <v>846</v>
      </c>
      <c r="H23" s="473">
        <v>8</v>
      </c>
      <c r="I23" s="476"/>
      <c r="J23" s="476" t="str">
        <f>+IF(I23="Gas","Doesn't Apply",IF(H23&lt;$F$5,$D$5,IF(H23&lt;$F$6,$D$6,IF(H23&lt;$F$7,$D$7,IF(H23&gt;$E$8,$D$8,"Doesn't Apply")))))</f>
        <v>Heavy Oil</v>
      </c>
      <c r="K23" s="477">
        <f t="shared" si="2"/>
        <v>0.58205479452054798</v>
      </c>
      <c r="L23" s="477">
        <f t="shared" si="0"/>
        <v>0.58205479452054798</v>
      </c>
      <c r="M23" s="477">
        <f t="shared" si="1"/>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815</v>
      </c>
      <c r="E24" s="474" t="s">
        <v>847</v>
      </c>
      <c r="F24" s="474" t="s">
        <v>822</v>
      </c>
      <c r="G24" s="475" t="s">
        <v>848</v>
      </c>
      <c r="H24" s="473">
        <v>13.5</v>
      </c>
      <c r="I24" s="476"/>
      <c r="J24" s="476" t="str">
        <f>+IF(I24="Gas","Doesn't Apply",IF(H24&lt;$F$5,$D$5,IF(H24&lt;$F$6,$D$6,IF(H24&lt;$F$7,$D$7,IF(H24&gt;$E$8,$D$8,"Doesn't Apply")))))</f>
        <v>Heavy Oil</v>
      </c>
      <c r="K24" s="477">
        <f t="shared" si="2"/>
        <v>1.1906575342465753</v>
      </c>
      <c r="L24" s="477">
        <f t="shared" si="0"/>
        <v>1.5506849315068495E-2</v>
      </c>
      <c r="M24" s="477">
        <f t="shared" si="1"/>
        <v>0.64550684931506841</v>
      </c>
      <c r="N24" s="478">
        <v>1.1908493150684931</v>
      </c>
      <c r="O24" s="478">
        <v>0</v>
      </c>
      <c r="P24" s="478">
        <v>0</v>
      </c>
      <c r="Q24" s="478">
        <v>1.5506849315068495E-2</v>
      </c>
      <c r="R24" s="478">
        <v>0</v>
      </c>
      <c r="S24" s="478">
        <v>1.1751506849315068</v>
      </c>
      <c r="T24" s="478">
        <v>0.52964383561643835</v>
      </c>
      <c r="U24" s="478">
        <v>0</v>
      </c>
      <c r="V24" s="478">
        <v>3941.1335068493149</v>
      </c>
      <c r="W24" s="479">
        <f t="shared" si="3"/>
        <v>1.1906575342465753</v>
      </c>
    </row>
    <row r="25" spans="3:23" x14ac:dyDescent="0.25">
      <c r="C25" s="473" t="e" vm="5">
        <v>#VALUE!</v>
      </c>
      <c r="D25" s="474" t="s">
        <v>815</v>
      </c>
      <c r="E25" s="474" t="s">
        <v>851</v>
      </c>
      <c r="F25" s="474" t="s">
        <v>852</v>
      </c>
      <c r="G25" s="475" t="s">
        <v>851</v>
      </c>
      <c r="H25" s="473">
        <v>35</v>
      </c>
      <c r="I25" s="476"/>
      <c r="J25" s="476" t="str">
        <f>+IF(G25="Gas","Doesn't Apply",IF(H25&lt;$F$5,$D$5,IF(H25&lt;$F$6,$D$6,IF(H25&lt;$F$7,$D$7,IF(H25&gt;$E$8,$D$8,"Doesn't Apply")))))</f>
        <v>Light Oil</v>
      </c>
      <c r="K25" s="477">
        <f t="shared" si="2"/>
        <v>3.4626301369863017</v>
      </c>
      <c r="L25" s="477">
        <f t="shared" si="0"/>
        <v>3.4626301369863017</v>
      </c>
      <c r="M25" s="477">
        <f t="shared" si="1"/>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815</v>
      </c>
      <c r="E26" s="474" t="s">
        <v>816</v>
      </c>
      <c r="F26" s="474" t="s">
        <v>817</v>
      </c>
      <c r="G26" s="475" t="s">
        <v>818</v>
      </c>
      <c r="H26" s="473">
        <v>21</v>
      </c>
      <c r="I26" s="476"/>
      <c r="J26" s="476" t="str">
        <f>+IF(G26="Gas","Doesn't Apply",IF(H26&lt;$F$5,$D$5,IF(H26&lt;$F$6,$D$6,IF(H26&lt;$F$7,$D$7,IF(H26&gt;$E$8,$D$8,"Doesn't Apply")))))</f>
        <v>Medium Oil</v>
      </c>
      <c r="K26" s="477">
        <f t="shared" si="2"/>
        <v>1.1893972602739726</v>
      </c>
      <c r="L26" s="477">
        <f t="shared" si="0"/>
        <v>1.1893972602739726</v>
      </c>
      <c r="M26" s="477">
        <f t="shared" si="1"/>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815</v>
      </c>
      <c r="E27" s="474" t="s">
        <v>819</v>
      </c>
      <c r="F27" s="474" t="s">
        <v>817</v>
      </c>
      <c r="G27" s="475" t="s">
        <v>820</v>
      </c>
      <c r="H27" s="473">
        <v>12.5</v>
      </c>
      <c r="I27" s="476"/>
      <c r="J27" s="476" t="str">
        <f>+IF(I27="Gas","Doesn't Apply",IF(H27&lt;$F$5,$D$5,IF(H27&lt;$F$6,$D$6,IF(H27&lt;$F$7,$D$7,IF(H27&gt;$E$8,$D$8,"Doesn't Apply")))))</f>
        <v>Heavy Oil</v>
      </c>
      <c r="K27" s="477">
        <f t="shared" si="2"/>
        <v>0.23824657534246574</v>
      </c>
      <c r="L27" s="477">
        <f t="shared" si="0"/>
        <v>0.23824657534246574</v>
      </c>
      <c r="M27" s="477">
        <f t="shared" si="1"/>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815</v>
      </c>
      <c r="E28" s="474" t="s">
        <v>853</v>
      </c>
      <c r="F28" s="474" t="s">
        <v>817</v>
      </c>
      <c r="G28" s="475" t="s">
        <v>854</v>
      </c>
      <c r="H28" s="473">
        <v>21</v>
      </c>
      <c r="I28" s="476"/>
      <c r="J28" s="476" t="str">
        <f>+IF(G28="Gas","Doesn't Apply",IF(H28&lt;$F$5,$D$5,IF(H28&lt;$F$6,$D$6,IF(H28&lt;$F$7,$D$7,IF(H28&gt;$E$8,$D$8,"Doesn't Apply")))))</f>
        <v>Medium Oil</v>
      </c>
      <c r="K28" s="477">
        <f t="shared" si="2"/>
        <v>5.057041095890412</v>
      </c>
      <c r="L28" s="477">
        <f t="shared" si="0"/>
        <v>2.6139452054794523</v>
      </c>
      <c r="M28" s="477">
        <f t="shared" si="1"/>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815</v>
      </c>
      <c r="E29" s="474" t="s">
        <v>855</v>
      </c>
      <c r="F29" s="474" t="s">
        <v>817</v>
      </c>
      <c r="G29" s="475" t="s">
        <v>856</v>
      </c>
      <c r="H29" s="473">
        <f>20+(25-20)/2</f>
        <v>22.5</v>
      </c>
      <c r="I29" s="476"/>
      <c r="J29" s="476" t="str">
        <f>+IF(G29="Gas","Doesn't Apply",IF(H29&lt;$F$5,$D$5,IF(H29&lt;$F$6,$D$6,IF(H29&lt;$F$7,$D$7,IF(H29&gt;$E$8,$D$8,"Doesn't Apply")))))</f>
        <v>Medium Oil</v>
      </c>
      <c r="K29" s="477">
        <f t="shared" si="2"/>
        <v>6.7767123287671236</v>
      </c>
      <c r="L29" s="477">
        <f t="shared" si="0"/>
        <v>3.0408493150684928</v>
      </c>
      <c r="M29" s="477">
        <f t="shared" si="1"/>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815</v>
      </c>
      <c r="E30" s="474" t="s">
        <v>829</v>
      </c>
      <c r="F30" s="474" t="s">
        <v>830</v>
      </c>
      <c r="G30" s="475" t="s">
        <v>831</v>
      </c>
      <c r="H30" s="473">
        <v>23</v>
      </c>
      <c r="I30" s="476"/>
      <c r="J30" s="476" t="str">
        <f>+IF(I30="Gas","Doesn't Apply",IF(H30&lt;$F$5,$D$5,IF(H30&lt;$F$6,$D$6,IF(H30&lt;$F$7,$D$7,IF(H30&gt;$E$8,$D$8,"Doesn't Apply")))))</f>
        <v>Medium Oil</v>
      </c>
      <c r="K30" s="477">
        <f t="shared" si="2"/>
        <v>1.9274794520547947</v>
      </c>
      <c r="L30" s="477">
        <f t="shared" si="0"/>
        <v>0.33145205479452056</v>
      </c>
      <c r="M30" s="477">
        <f t="shared" si="1"/>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815</v>
      </c>
      <c r="E31" s="474" t="s">
        <v>832</v>
      </c>
      <c r="F31" s="474" t="s">
        <v>830</v>
      </c>
      <c r="G31" s="475" t="s">
        <v>833</v>
      </c>
      <c r="H31" s="473">
        <v>25.5</v>
      </c>
      <c r="I31" s="476"/>
      <c r="J31" s="476" t="str">
        <f>+IF(I31="Gas","Doesn't Apply",IF(H31&lt;$F$5,$D$5,IF(H31&lt;$F$6,$D$6,IF(H31&lt;$F$7,$D$7,IF(H31&gt;$E$8,$D$8,"Doesn't Apply")))))</f>
        <v>Medium Oil</v>
      </c>
      <c r="K31" s="477">
        <f t="shared" si="2"/>
        <v>0.8670410958904109</v>
      </c>
      <c r="L31" s="477">
        <f t="shared" si="0"/>
        <v>0.8670410958904109</v>
      </c>
      <c r="M31" s="477">
        <f t="shared" si="1"/>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815</v>
      </c>
      <c r="E32" s="474" t="s">
        <v>834</v>
      </c>
      <c r="F32" s="474" t="s">
        <v>830</v>
      </c>
      <c r="G32" s="480" t="s">
        <v>835</v>
      </c>
      <c r="H32" s="473">
        <v>21</v>
      </c>
      <c r="I32" s="476"/>
      <c r="J32" s="476" t="str">
        <f>+IF(I32="Gas","Doesn't Apply",IF(H32&lt;$F$5,$D$5,IF(H32&lt;$F$6,$D$6,IF(H32&lt;$F$7,$D$7,IF(H32&gt;$E$8,$D$8,"Doesn't Apply")))))</f>
        <v>Medium Oil</v>
      </c>
      <c r="K32" s="477">
        <f t="shared" si="2"/>
        <v>1.1906575342465753</v>
      </c>
      <c r="L32" s="477">
        <f t="shared" si="0"/>
        <v>1.5506849315068495E-2</v>
      </c>
      <c r="M32" s="477">
        <f t="shared" si="1"/>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 t="shared" si="3"/>
        <v>1.1906575342465753</v>
      </c>
    </row>
    <row r="33" spans="5:22" x14ac:dyDescent="0.25">
      <c r="L33" s="75"/>
    </row>
    <row r="34" spans="5:22" x14ac:dyDescent="0.25">
      <c r="V34" s="75"/>
    </row>
    <row r="37" spans="5:22" x14ac:dyDescent="0.25">
      <c r="G37" s="693" t="s">
        <v>51</v>
      </c>
      <c r="H37" s="693"/>
      <c r="J37" s="740" t="s">
        <v>270</v>
      </c>
      <c r="K37" s="740"/>
    </row>
    <row r="38" spans="5:22" x14ac:dyDescent="0.25">
      <c r="F38" s="474"/>
      <c r="H38" s="63"/>
      <c r="K38" s="63"/>
    </row>
    <row r="39" spans="5:22" x14ac:dyDescent="0.25">
      <c r="E39" t="s">
        <v>1068</v>
      </c>
      <c r="F39" s="474" t="s">
        <v>837</v>
      </c>
      <c r="G39">
        <f t="shared" ref="G39:G43" si="5">+SUMIF($F$13:$F$32,$F39,$M$13:$M$32)</f>
        <v>179.22638356164384</v>
      </c>
      <c r="H39" s="63">
        <f t="shared" ref="H39:H43" si="6">+G39/$G$44</f>
        <v>0.22717460191782315</v>
      </c>
      <c r="J39">
        <f>+SUMIF($F$13:$F$32,F39,$V$13:$V$32)</f>
        <v>0</v>
      </c>
      <c r="K39" s="63">
        <f t="shared" ref="K39:K43" si="7">+J39/$J$44</f>
        <v>0</v>
      </c>
    </row>
    <row r="40" spans="5:22" x14ac:dyDescent="0.25">
      <c r="E40" t="s">
        <v>1069</v>
      </c>
      <c r="F40" s="474" t="s">
        <v>822</v>
      </c>
      <c r="G40">
        <f t="shared" si="5"/>
        <v>601.8491506849316</v>
      </c>
      <c r="H40" s="63">
        <f>+G40/$G$44</f>
        <v>0.76286112850345833</v>
      </c>
      <c r="J40">
        <f>+SUMIF($F$13:$F$32,F40,$V$13:$V$32)</f>
        <v>374586.17336986301</v>
      </c>
      <c r="K40" s="63">
        <f t="shared" si="7"/>
        <v>0.80885189117791911</v>
      </c>
    </row>
    <row r="41" spans="5:22" x14ac:dyDescent="0.25">
      <c r="E41" t="s">
        <v>852</v>
      </c>
      <c r="F41" s="474" t="s">
        <v>852</v>
      </c>
      <c r="G41">
        <f t="shared" si="5"/>
        <v>0</v>
      </c>
      <c r="H41" s="63">
        <f t="shared" si="6"/>
        <v>0</v>
      </c>
      <c r="J41">
        <f>+SUMIF($F$13:$F$32,F41,$V$13:$V$32)</f>
        <v>1962.0646849315069</v>
      </c>
      <c r="K41" s="63">
        <f t="shared" si="7"/>
        <v>4.2367280050490501E-3</v>
      </c>
    </row>
    <row r="42" spans="5:22" x14ac:dyDescent="0.25">
      <c r="E42" t="s">
        <v>1070</v>
      </c>
      <c r="F42" s="474" t="s">
        <v>817</v>
      </c>
      <c r="G42">
        <f t="shared" si="5"/>
        <v>6.1789589041095905</v>
      </c>
      <c r="H42" s="63">
        <f t="shared" si="6"/>
        <v>7.8320083316577652E-3</v>
      </c>
      <c r="J42">
        <f>+SUMIF($F$13:$F$32,F42,$V$13:$V$32)</f>
        <v>73780.315945205512</v>
      </c>
      <c r="K42" s="63">
        <f t="shared" si="7"/>
        <v>0.15931540544359332</v>
      </c>
    </row>
    <row r="43" spans="5:22" x14ac:dyDescent="0.25">
      <c r="E43" t="s">
        <v>1071</v>
      </c>
      <c r="F43" s="474" t="s">
        <v>830</v>
      </c>
      <c r="G43">
        <f t="shared" si="5"/>
        <v>1.6822191780821916</v>
      </c>
      <c r="H43" s="63">
        <f t="shared" si="6"/>
        <v>2.1322612470608088E-3</v>
      </c>
      <c r="J43">
        <f>+SUMIF($F$13:$F$32,F43,$V$13:$V$32)</f>
        <v>12779.930328767123</v>
      </c>
      <c r="K43" s="63">
        <f t="shared" si="7"/>
        <v>2.7595975373438577E-2</v>
      </c>
    </row>
    <row r="44" spans="5:22" x14ac:dyDescent="0.25">
      <c r="G44" s="144">
        <f>+SUM(G38:G43)</f>
        <v>788.93671232876716</v>
      </c>
      <c r="H44" s="144"/>
      <c r="I44" s="144"/>
      <c r="J44" s="144">
        <f>+SUM(J38:J43)</f>
        <v>463108.48432876711</v>
      </c>
      <c r="K44" s="144"/>
    </row>
    <row r="58" spans="5:15" x14ac:dyDescent="0.25">
      <c r="G58" t="s">
        <v>815</v>
      </c>
      <c r="L58" t="s">
        <v>857</v>
      </c>
    </row>
    <row r="59" spans="5:15" x14ac:dyDescent="0.25">
      <c r="E59" s="481" t="e" vm="6">
        <v>#VALUE!</v>
      </c>
      <c r="F59" s="357" t="s">
        <v>858</v>
      </c>
      <c r="G59" s="482">
        <v>14656.498438356164</v>
      </c>
      <c r="K59" s="483">
        <v>2.8564827826612956E-2</v>
      </c>
      <c r="L59" s="357">
        <f>+SUMIF($C$13:C32,E59,V$13:V$32)</f>
        <v>13595.920273972637</v>
      </c>
      <c r="M59" s="357"/>
      <c r="N59" s="484">
        <f t="shared" ref="N59:N71" si="8">+G59-L59</f>
        <v>1060.5781643835271</v>
      </c>
      <c r="O59" s="483">
        <f t="shared" ref="O59:O71" si="9">+N59/G59</f>
        <v>7.2362315517872006E-2</v>
      </c>
    </row>
    <row r="60" spans="5:15" x14ac:dyDescent="0.25">
      <c r="E60" s="481" t="e" vm="3">
        <v>#VALUE!</v>
      </c>
      <c r="F60" s="357" t="s">
        <v>859</v>
      </c>
      <c r="G60" s="482">
        <v>49873.263342465754</v>
      </c>
      <c r="K60" s="483">
        <v>9.7200650381855019E-2</v>
      </c>
      <c r="L60" s="357">
        <f ca="1">+SUMIF($C$13:C33,E60,V$13:V$32)</f>
        <v>48432.902986301378</v>
      </c>
      <c r="M60" s="357"/>
      <c r="N60" s="484">
        <f t="shared" ca="1" si="8"/>
        <v>1440.3603561643758</v>
      </c>
      <c r="O60" s="483">
        <f t="shared" ca="1" si="9"/>
        <v>2.8880411259111401E-2</v>
      </c>
    </row>
    <row r="61" spans="5:15" x14ac:dyDescent="0.25">
      <c r="F61" t="s">
        <v>860</v>
      </c>
      <c r="G61" s="283">
        <v>2877.3214794520545</v>
      </c>
      <c r="K61" s="63">
        <v>5.6077645699651466E-3</v>
      </c>
      <c r="L61">
        <f ca="1">+SUMIF($C$13:C34,E61,V$13:V$32)</f>
        <v>0</v>
      </c>
      <c r="N61" s="291">
        <f t="shared" ca="1" si="8"/>
        <v>2877.3214794520545</v>
      </c>
      <c r="O61" s="63">
        <f t="shared" ca="1" si="9"/>
        <v>1</v>
      </c>
    </row>
    <row r="62" spans="5:15" x14ac:dyDescent="0.25">
      <c r="F62" t="s">
        <v>861</v>
      </c>
      <c r="G62" s="283">
        <v>63.741945205479446</v>
      </c>
      <c r="K62" s="63">
        <v>1.2423006066462157E-4</v>
      </c>
      <c r="L62">
        <f ca="1">+SUMIF($C$13:C35,E62,V$13:V$32)</f>
        <v>0</v>
      </c>
      <c r="N62" s="291">
        <f t="shared" ca="1" si="8"/>
        <v>63.741945205479446</v>
      </c>
      <c r="O62" s="63">
        <f t="shared" ca="1" si="9"/>
        <v>1</v>
      </c>
    </row>
    <row r="63" spans="5:15" x14ac:dyDescent="0.25">
      <c r="E63" s="481" t="e" vm="8">
        <v>#VALUE!</v>
      </c>
      <c r="F63" s="357" t="s">
        <v>862</v>
      </c>
      <c r="G63" s="482">
        <v>23392.562712328774</v>
      </c>
      <c r="K63" s="483">
        <v>4.5591007232138166E-2</v>
      </c>
      <c r="L63" s="357">
        <f ca="1">+SUMIF($C$13:C36,E63,V$13:V$32)</f>
        <v>12779.930328767123</v>
      </c>
      <c r="M63" s="357"/>
      <c r="N63" s="484">
        <f t="shared" ca="1" si="8"/>
        <v>10612.632383561651</v>
      </c>
      <c r="O63" s="483">
        <f t="shared" ca="1" si="9"/>
        <v>0.45367549139745977</v>
      </c>
    </row>
    <row r="64" spans="5:15" x14ac:dyDescent="0.25">
      <c r="E64" s="481" t="e" vm="4">
        <v>#VALUE!</v>
      </c>
      <c r="F64" s="357" t="s">
        <v>863</v>
      </c>
      <c r="G64" s="482">
        <v>351063.42304109584</v>
      </c>
      <c r="K64" s="483">
        <v>0.68420614088469911</v>
      </c>
      <c r="L64" s="357">
        <f ca="1">+SUMIF($C$13:C37,E64,V$13:V$32)</f>
        <v>326153.27038356167</v>
      </c>
      <c r="M64" s="357"/>
      <c r="N64" s="484">
        <f t="shared" ca="1" si="8"/>
        <v>24910.15265753417</v>
      </c>
      <c r="O64" s="483">
        <f t="shared" ca="1" si="9"/>
        <v>7.0956274629095054E-2</v>
      </c>
    </row>
    <row r="65" spans="5:15" x14ac:dyDescent="0.25">
      <c r="E65" s="481" t="e" vm="2">
        <v>#VALUE!</v>
      </c>
      <c r="F65" s="357" t="s">
        <v>864</v>
      </c>
      <c r="G65" s="482">
        <v>1502.4393150684932</v>
      </c>
      <c r="K65" s="483">
        <v>2.9281837360656286E-3</v>
      </c>
      <c r="L65" s="357">
        <f ca="1">+SUMIF($C$13:C38,E65,V$13:V$32)</f>
        <v>0</v>
      </c>
      <c r="M65" s="357"/>
      <c r="N65" s="484">
        <f t="shared" ca="1" si="8"/>
        <v>1502.4393150684932</v>
      </c>
      <c r="O65" s="483">
        <f t="shared" ca="1" si="9"/>
        <v>1</v>
      </c>
    </row>
    <row r="66" spans="5:15" x14ac:dyDescent="0.25">
      <c r="E66" s="481" t="e" vm="5">
        <v>#VALUE!</v>
      </c>
      <c r="F66" s="357" t="s">
        <v>865</v>
      </c>
      <c r="G66" s="482">
        <v>5907.8353698630135</v>
      </c>
      <c r="K66" s="483">
        <v>1.1514093961656952E-2</v>
      </c>
      <c r="L66" s="357">
        <f ca="1">+SUMIF($C$13:C39,E66,V$13:V$32)</f>
        <v>1962.0646849315069</v>
      </c>
      <c r="M66" s="357"/>
      <c r="N66" s="484">
        <f t="shared" ca="1" si="8"/>
        <v>3945.7706849315064</v>
      </c>
      <c r="O66" s="483">
        <f t="shared" ca="1" si="9"/>
        <v>0.66788771824273063</v>
      </c>
    </row>
    <row r="67" spans="5:15" x14ac:dyDescent="0.25">
      <c r="F67" t="s">
        <v>860</v>
      </c>
      <c r="G67" s="283">
        <v>2877.3214794520545</v>
      </c>
      <c r="K67" s="63">
        <v>5.6077645699651466E-3</v>
      </c>
      <c r="L67">
        <f ca="1">+SUMIF($C$13:C40,E67,V$13:V$32)</f>
        <v>0</v>
      </c>
      <c r="N67" s="291">
        <f t="shared" ca="1" si="8"/>
        <v>2877.3214794520545</v>
      </c>
      <c r="O67" s="63">
        <f t="shared" ca="1" si="9"/>
        <v>1</v>
      </c>
    </row>
    <row r="68" spans="5:15" x14ac:dyDescent="0.25">
      <c r="E68" s="481" t="e" vm="7">
        <v>#VALUE!</v>
      </c>
      <c r="F68" s="357" t="s">
        <v>866</v>
      </c>
      <c r="G68" s="482">
        <v>56937.26830136987</v>
      </c>
      <c r="K68" s="483">
        <v>0.11096806462926974</v>
      </c>
      <c r="L68" s="357">
        <f ca="1">+SUMIF($C$13:C41,E68,V$13:V$32)</f>
        <v>60184.39567123288</v>
      </c>
      <c r="M68" s="357"/>
      <c r="N68" s="484">
        <f t="shared" ca="1" si="8"/>
        <v>-3247.1273698630102</v>
      </c>
      <c r="O68" s="483">
        <f t="shared" ca="1" si="9"/>
        <v>-5.7029911457569638E-2</v>
      </c>
    </row>
    <row r="69" spans="5:15" x14ac:dyDescent="0.25">
      <c r="F69" t="s">
        <v>867</v>
      </c>
      <c r="G69" s="283">
        <v>33.721452054794518</v>
      </c>
      <c r="K69" s="63">
        <v>6.5721527966581929E-5</v>
      </c>
      <c r="L69">
        <f ca="1">+SUMIF($C$13:C42,E69,V$13:V$32)</f>
        <v>0</v>
      </c>
      <c r="N69" s="291">
        <f t="shared" ca="1" si="8"/>
        <v>33.721452054794518</v>
      </c>
      <c r="O69" s="63">
        <f t="shared" ca="1" si="9"/>
        <v>1</v>
      </c>
    </row>
    <row r="70" spans="5:15" x14ac:dyDescent="0.25">
      <c r="F70" t="s">
        <v>868</v>
      </c>
      <c r="G70" s="283">
        <v>3910.58701369863</v>
      </c>
      <c r="K70" s="63">
        <v>7.6215506191408197E-3</v>
      </c>
      <c r="L70">
        <f ca="1">+SUMIF($C$13:C43,E70,V$13:V$32)</f>
        <v>0</v>
      </c>
      <c r="N70" s="291">
        <f t="shared" ca="1" si="8"/>
        <v>3910.58701369863</v>
      </c>
      <c r="O70" s="63">
        <f t="shared" ca="1" si="9"/>
        <v>1</v>
      </c>
    </row>
    <row r="71" spans="5:15" x14ac:dyDescent="0.25">
      <c r="E71" s="481" t="e" vm="9">
        <v>#VALUE!</v>
      </c>
      <c r="F71" s="357" t="s">
        <v>869</v>
      </c>
      <c r="G71" s="482">
        <v>14709.643945205482</v>
      </c>
      <c r="K71" s="483">
        <v>2.8668405926067869E-2</v>
      </c>
      <c r="L71" s="357">
        <f ca="1">+SUMIF($C$13:C44,E71,V$13:V$32)</f>
        <v>0</v>
      </c>
      <c r="M71" s="357"/>
      <c r="N71" s="484">
        <f t="shared" ca="1" si="8"/>
        <v>14709.643945205482</v>
      </c>
      <c r="O71" s="483">
        <f t="shared" ca="1" si="9"/>
        <v>1</v>
      </c>
    </row>
    <row r="72" spans="5:15" x14ac:dyDescent="0.25">
      <c r="G72">
        <v>513095.98389041098</v>
      </c>
      <c r="L72">
        <f ca="1">+SUM(L59:L71)</f>
        <v>463108.48432876717</v>
      </c>
    </row>
  </sheetData>
  <autoFilter ref="C12:W12" xr:uid="{D832BB43-6825-4DB9-BDA5-BAD8B9C7CF26}">
    <sortState xmlns:xlrd2="http://schemas.microsoft.com/office/spreadsheetml/2017/richdata2" ref="C13:W32">
      <sortCondition ref="F12"/>
    </sortState>
  </autoFilter>
  <mergeCells count="6">
    <mergeCell ref="D2:H2"/>
    <mergeCell ref="E3:F3"/>
    <mergeCell ref="G3:H3"/>
    <mergeCell ref="N11:U11"/>
    <mergeCell ref="J37:K37"/>
    <mergeCell ref="G37:H37"/>
  </mergeCells>
  <conditionalFormatting sqref="F13:F32">
    <cfRule type="containsBlanks" dxfId="104" priority="18">
      <formula>LEN(TRIM(F13))=0</formula>
    </cfRule>
  </conditionalFormatting>
  <conditionalFormatting sqref="H13:I24">
    <cfRule type="containsText" dxfId="103" priority="15" operator="containsText" text="Oil and Gas">
      <formula>NOT(ISERROR(SEARCH("Oil and Gas",H13)))</formula>
    </cfRule>
    <cfRule type="containsText" dxfId="102" priority="16" operator="containsText" text="Gas">
      <formula>NOT(ISERROR(SEARCH("Gas",H13)))</formula>
    </cfRule>
    <cfRule type="containsText" dxfId="101" priority="17" operator="containsText" text="Oil">
      <formula>NOT(ISERROR(SEARCH("Oil",H13)))</formula>
    </cfRule>
  </conditionalFormatting>
  <conditionalFormatting sqref="H25:I32">
    <cfRule type="containsText" dxfId="100" priority="8" operator="containsText" text="Oil and Gas">
      <formula>NOT(ISERROR(SEARCH("Oil and Gas",H25)))</formula>
    </cfRule>
    <cfRule type="containsText" dxfId="99" priority="9" operator="containsText" text="Gas">
      <formula>NOT(ISERROR(SEARCH("Gas",H25)))</formula>
    </cfRule>
    <cfRule type="containsText" dxfId="98" priority="10" operator="containsText" text="Oil">
      <formula>NOT(ISERROR(SEARCH("Oil",H25)))</formula>
    </cfRule>
  </conditionalFormatting>
  <conditionalFormatting sqref="N13:V32">
    <cfRule type="cellIs" dxfId="97" priority="7" operator="equal">
      <formula>0</formula>
    </cfRule>
  </conditionalFormatting>
  <conditionalFormatting sqref="F38">
    <cfRule type="containsBlanks" dxfId="96" priority="6">
      <formula>LEN(TRIM(F38))=0</formula>
    </cfRule>
  </conditionalFormatting>
  <conditionalFormatting sqref="F39">
    <cfRule type="containsBlanks" dxfId="95" priority="5">
      <formula>LEN(TRIM(F39))=0</formula>
    </cfRule>
  </conditionalFormatting>
  <conditionalFormatting sqref="F40">
    <cfRule type="containsBlanks" dxfId="94" priority="4">
      <formula>LEN(TRIM(F40))=0</formula>
    </cfRule>
  </conditionalFormatting>
  <conditionalFormatting sqref="F41">
    <cfRule type="containsBlanks" dxfId="93" priority="3">
      <formula>LEN(TRIM(F41))=0</formula>
    </cfRule>
  </conditionalFormatting>
  <conditionalFormatting sqref="F42">
    <cfRule type="containsBlanks" dxfId="92" priority="2">
      <formula>LEN(TRIM(F42))=0</formula>
    </cfRule>
  </conditionalFormatting>
  <conditionalFormatting sqref="F43">
    <cfRule type="containsBlanks" dxfId="91" priority="1">
      <formula>LEN(TRIM(F43))=0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1" operator="containsText" id="{FA181B8E-3081-4759-8680-0978FCDBD20D}">
            <xm:f>NOT(ISERROR(SEARCH($D$8,D5)))</xm:f>
            <xm:f>$D$8</xm:f>
            <x14:dxf>
              <fill>
                <patternFill>
                  <bgColor theme="7" tint="0.79998168889431442"/>
                </patternFill>
              </fill>
            </x14:dxf>
          </x14:cfRule>
          <x14:cfRule type="containsText" priority="12" operator="containsText" id="{01478A4B-6470-4D8B-9904-7F30BA2485FF}">
            <xm:f>NOT(ISERROR(SEARCH($D$7,D5)))</xm:f>
            <xm:f>$D$7</xm:f>
            <x14:dxf>
              <fill>
                <patternFill>
                  <bgColor theme="5" tint="0.79998168889431442"/>
                </patternFill>
              </fill>
            </x14:dxf>
          </x14:cfRule>
          <x14:cfRule type="containsText" priority="13" operator="containsText" id="{BF02526D-F1BE-4EF8-A335-AE750799D103}">
            <xm:f>NOT(ISERROR(SEARCH($D$6,D5)))</xm:f>
            <xm:f>$D$6</xm:f>
            <x14:dxf>
              <fill>
                <patternFill>
                  <bgColor theme="0" tint="-0.24994659260841701"/>
                </patternFill>
              </fill>
            </x14:dxf>
          </x14:cfRule>
          <x14:cfRule type="containsText" priority="14" operator="containsText" id="{4219A890-B344-44A7-B2B2-C120FC3A2548}">
            <xm:f>NOT(ISERROR(SEARCH($D$5,D5)))</xm:f>
            <xm:f>$D$5</xm:f>
            <x14:dxf>
              <fill>
                <patternFill>
                  <bgColor theme="0" tint="-0.34998626667073579"/>
                </patternFill>
              </fill>
            </x14:dxf>
          </x14:cfRule>
          <xm:sqref>D5:D10 J13:J32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G169"/>
  <sheetViews>
    <sheetView showGridLines="0" topLeftCell="A101" zoomScaleNormal="100" workbookViewId="0">
      <selection activeCell="K138" sqref="K138"/>
    </sheetView>
  </sheetViews>
  <sheetFormatPr baseColWidth="10" defaultColWidth="9.140625" defaultRowHeight="15" x14ac:dyDescent="0.25"/>
  <cols>
    <col min="3" max="3" width="18.5703125" customWidth="1"/>
    <col min="4" max="4" width="20.28515625" hidden="1" customWidth="1"/>
    <col min="5" max="5" width="9.140625" hidden="1" customWidth="1"/>
    <col min="6" max="6" width="33.7109375" hidden="1" customWidth="1"/>
    <col min="7" max="7" width="27.140625" hidden="1" customWidth="1"/>
    <col min="8" max="8" width="17" hidden="1" customWidth="1"/>
    <col min="9" max="9" width="24.5703125" hidden="1" customWidth="1"/>
    <col min="10" max="10" width="27.28515625" style="292" customWidth="1"/>
    <col min="11" max="11" width="12.5703125" style="292" customWidth="1"/>
    <col min="12" max="12" width="30.5703125" customWidth="1"/>
    <col min="13" max="13" width="11.85546875" customWidth="1"/>
    <col min="14" max="14" width="11" customWidth="1"/>
    <col min="15" max="15" width="13.85546875" bestFit="1" customWidth="1"/>
    <col min="16" max="16" width="10.85546875" bestFit="1" customWidth="1"/>
    <col min="17" max="17" width="10.5703125" bestFit="1" customWidth="1"/>
    <col min="18" max="18" width="10.85546875" bestFit="1" customWidth="1"/>
    <col min="19" max="19" width="9.5703125" bestFit="1" customWidth="1"/>
    <col min="20" max="20" width="10.5703125" bestFit="1" customWidth="1"/>
    <col min="21" max="21" width="9.5703125" bestFit="1" customWidth="1"/>
    <col min="22" max="22" width="9.85546875" bestFit="1" customWidth="1"/>
    <col min="23" max="23" width="9.5703125" bestFit="1" customWidth="1"/>
    <col min="24" max="24" width="10.5703125" bestFit="1" customWidth="1"/>
    <col min="26" max="26" width="14.140625" customWidth="1"/>
    <col min="28" max="28" width="13.5703125" customWidth="1"/>
    <col min="38" max="38" width="11" customWidth="1"/>
    <col min="44" max="44" width="22.140625" customWidth="1"/>
    <col min="47" max="47" width="22" customWidth="1"/>
    <col min="59" max="59" width="11" bestFit="1" customWidth="1"/>
  </cols>
  <sheetData>
    <row r="1" spans="6:59" x14ac:dyDescent="0.25">
      <c r="O1" s="122">
        <f>+'4.1 Ref_Cart'!E8</f>
        <v>6.0871741676095334</v>
      </c>
      <c r="P1" t="s">
        <v>914</v>
      </c>
      <c r="R1">
        <v>5.7</v>
      </c>
      <c r="S1" t="s">
        <v>916</v>
      </c>
    </row>
    <row r="2" spans="6:59" x14ac:dyDescent="0.25">
      <c r="O2">
        <f>+O1/1000</f>
        <v>6.0871741676095338E-3</v>
      </c>
      <c r="P2" t="s">
        <v>915</v>
      </c>
      <c r="R2">
        <f>+R1/1000</f>
        <v>5.7000000000000002E-3</v>
      </c>
      <c r="S2" t="s">
        <v>915</v>
      </c>
    </row>
    <row r="4" spans="6:59" ht="15.75" x14ac:dyDescent="0.25">
      <c r="M4" s="632" t="s">
        <v>912</v>
      </c>
      <c r="N4" s="632"/>
      <c r="O4" s="632"/>
      <c r="P4" s="632"/>
      <c r="Q4" s="632"/>
      <c r="R4" s="632"/>
      <c r="S4" s="632"/>
      <c r="T4" s="632"/>
      <c r="U4" s="632"/>
      <c r="V4" s="632"/>
      <c r="W4" s="51"/>
      <c r="X4" s="51"/>
      <c r="Y4" s="51"/>
      <c r="AA4" s="631" t="s">
        <v>917</v>
      </c>
      <c r="AB4" s="631"/>
      <c r="AC4" s="631"/>
      <c r="AD4" s="631"/>
      <c r="AE4" s="631"/>
      <c r="AF4" s="631"/>
      <c r="AG4" s="631"/>
      <c r="AH4" s="631"/>
      <c r="AI4" s="631"/>
      <c r="AJ4" s="631"/>
      <c r="AK4" s="24"/>
      <c r="AL4" s="24"/>
      <c r="AM4" s="630"/>
      <c r="AT4" s="522" t="s">
        <v>917</v>
      </c>
      <c r="AU4" s="522"/>
      <c r="AV4" s="522"/>
      <c r="AW4" s="522"/>
      <c r="AX4" s="522"/>
      <c r="AY4" s="522"/>
      <c r="AZ4" s="522"/>
      <c r="BA4" s="522"/>
      <c r="BB4" s="522"/>
      <c r="BC4" s="522"/>
      <c r="BD4" s="523"/>
      <c r="BE4" s="523"/>
      <c r="BF4" s="523"/>
    </row>
    <row r="5" spans="6:59" ht="18.75" x14ac:dyDescent="0.25">
      <c r="F5" s="520" t="s">
        <v>795</v>
      </c>
      <c r="G5" s="520" t="s">
        <v>796</v>
      </c>
      <c r="H5" s="468" t="s">
        <v>797</v>
      </c>
      <c r="I5" s="520" t="s">
        <v>798</v>
      </c>
      <c r="J5" s="520" t="s">
        <v>799</v>
      </c>
      <c r="L5">
        <v>2019</v>
      </c>
      <c r="M5" s="505">
        <v>2020</v>
      </c>
      <c r="N5" s="506">
        <v>2023</v>
      </c>
      <c r="O5" s="506">
        <v>2025</v>
      </c>
      <c r="P5" s="506">
        <v>2027</v>
      </c>
      <c r="Q5" s="506">
        <v>2030</v>
      </c>
      <c r="R5" s="506">
        <v>2033</v>
      </c>
      <c r="S5" s="506">
        <v>2035</v>
      </c>
      <c r="T5" s="506">
        <v>2037</v>
      </c>
      <c r="U5" s="506">
        <v>2040</v>
      </c>
      <c r="V5" s="506">
        <v>2043</v>
      </c>
      <c r="W5" s="501">
        <v>2045</v>
      </c>
      <c r="X5" s="501">
        <v>2047</v>
      </c>
      <c r="Y5" s="502">
        <v>2050</v>
      </c>
      <c r="Z5" s="51" t="s">
        <v>913</v>
      </c>
      <c r="AA5" s="625">
        <v>2020</v>
      </c>
      <c r="AB5" s="626">
        <v>2023</v>
      </c>
      <c r="AC5" s="626">
        <v>2025</v>
      </c>
      <c r="AD5" s="626">
        <v>2027</v>
      </c>
      <c r="AE5" s="626">
        <v>2030</v>
      </c>
      <c r="AF5" s="626">
        <v>2033</v>
      </c>
      <c r="AG5" s="626">
        <v>2035</v>
      </c>
      <c r="AH5" s="626">
        <v>2037</v>
      </c>
      <c r="AI5" s="626">
        <v>2040</v>
      </c>
      <c r="AJ5" s="626">
        <v>2043</v>
      </c>
      <c r="AK5" s="627">
        <v>2045</v>
      </c>
      <c r="AL5" s="627">
        <v>2047</v>
      </c>
      <c r="AM5" s="628">
        <v>2050</v>
      </c>
      <c r="AN5" s="521" t="s">
        <v>918</v>
      </c>
      <c r="AR5" s="486" t="s">
        <v>935</v>
      </c>
      <c r="AS5" t="s">
        <v>960</v>
      </c>
      <c r="AT5" s="494">
        <v>2020</v>
      </c>
      <c r="AU5" s="494">
        <v>2023</v>
      </c>
      <c r="AV5" s="494">
        <v>2025</v>
      </c>
      <c r="AW5" s="494">
        <v>2027</v>
      </c>
      <c r="AX5" s="494">
        <v>2030</v>
      </c>
      <c r="AY5" s="494">
        <v>2033</v>
      </c>
      <c r="AZ5" s="494">
        <v>2035</v>
      </c>
      <c r="BA5" s="494">
        <v>2037</v>
      </c>
      <c r="BB5" s="494">
        <v>2040</v>
      </c>
      <c r="BC5" s="494">
        <v>2043</v>
      </c>
      <c r="BD5" s="495">
        <v>2045</v>
      </c>
      <c r="BE5" s="495">
        <v>2047</v>
      </c>
      <c r="BF5" s="494">
        <v>2050</v>
      </c>
      <c r="BG5" s="521" t="s">
        <v>918</v>
      </c>
    </row>
    <row r="6" spans="6:59" ht="15.75" x14ac:dyDescent="0.25">
      <c r="F6" s="473" t="e" vm="1">
        <v>#VALUE!</v>
      </c>
      <c r="G6" s="474" t="s">
        <v>815</v>
      </c>
      <c r="H6" s="474" t="s">
        <v>836</v>
      </c>
      <c r="I6" s="474" t="s">
        <v>837</v>
      </c>
      <c r="J6" s="475" t="s">
        <v>838</v>
      </c>
      <c r="K6" s="507">
        <f>+D47</f>
        <v>28.68</v>
      </c>
      <c r="M6" s="507">
        <f>+AC47</f>
        <v>18483.601194567513</v>
      </c>
      <c r="N6" s="507">
        <f t="shared" ref="N6:Y6" si="0">+AD47</f>
        <v>14640.064399328548</v>
      </c>
      <c r="O6" s="507">
        <f t="shared" si="0"/>
        <v>12077.70653583575</v>
      </c>
      <c r="P6" s="507">
        <f t="shared" si="0"/>
        <v>0</v>
      </c>
      <c r="Q6" s="507">
        <f t="shared" si="0"/>
        <v>0</v>
      </c>
      <c r="R6" s="507">
        <f t="shared" si="0"/>
        <v>0</v>
      </c>
      <c r="S6" s="507">
        <f t="shared" si="0"/>
        <v>0</v>
      </c>
      <c r="T6" s="507">
        <f t="shared" si="0"/>
        <v>0</v>
      </c>
      <c r="U6" s="507">
        <f t="shared" si="0"/>
        <v>0</v>
      </c>
      <c r="V6" s="507">
        <f t="shared" si="0"/>
        <v>0</v>
      </c>
      <c r="W6" s="504">
        <f t="shared" si="0"/>
        <v>0</v>
      </c>
      <c r="X6" s="504">
        <f t="shared" si="0"/>
        <v>0</v>
      </c>
      <c r="Y6" s="504">
        <f t="shared" si="0"/>
        <v>0</v>
      </c>
      <c r="Z6" s="504">
        <f>+SLOPE(M6:Y6,M$5:Y$5)</f>
        <v>-510.41980077296512</v>
      </c>
      <c r="AA6" s="629">
        <f>+M6*$R$2*365/1000</f>
        <v>38.455132285297715</v>
      </c>
      <c r="AB6" s="629">
        <f t="shared" ref="AB6:AC6" si="1">+N6*$R$2*365/1000</f>
        <v>30.458653982803046</v>
      </c>
      <c r="AC6" s="629">
        <f t="shared" si="1"/>
        <v>25.127668447806283</v>
      </c>
      <c r="AD6" s="629"/>
      <c r="AE6" s="629"/>
      <c r="AF6" s="629"/>
      <c r="AG6" s="629"/>
      <c r="AH6" s="629"/>
      <c r="AI6" s="629"/>
      <c r="AJ6" s="629"/>
      <c r="AK6" s="629"/>
      <c r="AL6" s="629"/>
      <c r="AM6" s="629"/>
      <c r="AN6" s="509">
        <f>+SLOPE(AA6:AM6,AA$5:AM$5)</f>
        <v>-2.6654927674982813</v>
      </c>
      <c r="AO6" s="508" t="s">
        <v>838</v>
      </c>
      <c r="AQ6" s="75"/>
      <c r="AR6" s="533" t="s">
        <v>925</v>
      </c>
      <c r="AS6" s="524">
        <f>+K6+K7</f>
        <v>43.6</v>
      </c>
      <c r="AT6" s="524">
        <f t="shared" ref="AT6:BA6" si="2">+AA6+AA7</f>
        <v>45.816389720978073</v>
      </c>
      <c r="AU6" s="525">
        <f t="shared" si="2"/>
        <v>36.93438053993998</v>
      </c>
      <c r="AV6" s="525">
        <f t="shared" si="2"/>
        <v>31.01304108591415</v>
      </c>
      <c r="AW6" s="525">
        <f t="shared" si="2"/>
        <v>5.2950187190789215</v>
      </c>
      <c r="AX6" s="525">
        <f t="shared" si="2"/>
        <v>4.4094878405355011</v>
      </c>
      <c r="AY6" s="525">
        <f t="shared" si="2"/>
        <v>3.5239569619919613</v>
      </c>
      <c r="AZ6" s="525">
        <f t="shared" si="2"/>
        <v>2.9336030429630142</v>
      </c>
      <c r="BA6" s="525">
        <f t="shared" si="2"/>
        <v>2.3432491239340676</v>
      </c>
      <c r="BB6" s="525"/>
      <c r="BC6" s="525"/>
      <c r="BD6" s="525"/>
      <c r="BE6" s="525"/>
      <c r="BF6" s="526"/>
      <c r="BG6">
        <f t="shared" ref="BG6:BG11" si="3">+SLOPE(AT6:BF6,AT$5:BF$5)</f>
        <v>-2.6851115732294639</v>
      </c>
    </row>
    <row r="7" spans="6:59" ht="15.75" x14ac:dyDescent="0.25">
      <c r="F7" s="473" t="e" vm="1">
        <v>#VALUE!</v>
      </c>
      <c r="G7" s="474" t="s">
        <v>815</v>
      </c>
      <c r="H7" s="474" t="s">
        <v>836</v>
      </c>
      <c r="I7" s="474" t="s">
        <v>837</v>
      </c>
      <c r="J7" s="475" t="s">
        <v>839</v>
      </c>
      <c r="K7" s="507">
        <f>+D39</f>
        <v>14.92</v>
      </c>
      <c r="M7" s="507">
        <f>+AC39</f>
        <v>3538.2155422640499</v>
      </c>
      <c r="N7" s="507">
        <f t="shared" ref="N7:Y7" si="4">+AD39</f>
        <v>3112.5818587536342</v>
      </c>
      <c r="O7" s="507">
        <f t="shared" si="4"/>
        <v>2828.8260697466321</v>
      </c>
      <c r="P7" s="507">
        <f>+AF39</f>
        <v>2545.0702807396883</v>
      </c>
      <c r="Q7" s="507">
        <f t="shared" si="4"/>
        <v>2119.4365972292726</v>
      </c>
      <c r="R7" s="507">
        <f t="shared" si="4"/>
        <v>1693.8029137187987</v>
      </c>
      <c r="S7" s="507">
        <f t="shared" si="4"/>
        <v>1410.0471247118548</v>
      </c>
      <c r="T7" s="507">
        <f t="shared" si="4"/>
        <v>1126.291335704911</v>
      </c>
      <c r="U7" s="507">
        <f t="shared" si="4"/>
        <v>0</v>
      </c>
      <c r="V7" s="507">
        <f t="shared" si="4"/>
        <v>0</v>
      </c>
      <c r="W7" s="504">
        <f t="shared" si="4"/>
        <v>0</v>
      </c>
      <c r="X7" s="504">
        <f t="shared" si="4"/>
        <v>0</v>
      </c>
      <c r="Y7" s="504">
        <f t="shared" si="4"/>
        <v>0</v>
      </c>
      <c r="Z7" s="504">
        <f t="shared" ref="Z7:Z25" si="5">+SLOPE(M7:Y7,M$5:Y$5)</f>
        <v>-134.16836701473517</v>
      </c>
      <c r="AA7" s="629">
        <f t="shared" ref="AA7:AA25" si="6">+M7*$R$2*365/1000</f>
        <v>7.361257435680356</v>
      </c>
      <c r="AB7" s="629">
        <f t="shared" ref="AB7:AB25" si="7">+N7*$R$2*365/1000</f>
        <v>6.4757265571369373</v>
      </c>
      <c r="AC7" s="629">
        <f t="shared" ref="AC7:AC25" si="8">+O7*$R$2*365/1000</f>
        <v>5.8853726381078681</v>
      </c>
      <c r="AD7" s="629">
        <f t="shared" ref="AD7:AD25" si="9">+P7*$R$2*365/1000</f>
        <v>5.2950187190789215</v>
      </c>
      <c r="AE7" s="629">
        <f t="shared" ref="AE7:AE25" si="10">+Q7*$R$2*365/1000</f>
        <v>4.4094878405355011</v>
      </c>
      <c r="AF7" s="629">
        <f t="shared" ref="AF7:AF25" si="11">+R7*$R$2*365/1000</f>
        <v>3.5239569619919613</v>
      </c>
      <c r="AG7" s="629">
        <f t="shared" ref="AG7:AG25" si="12">+S7*$R$2*365/1000</f>
        <v>2.9336030429630142</v>
      </c>
      <c r="AH7" s="629">
        <f t="shared" ref="AH7:AH25" si="13">+T7*$R$2*365/1000</f>
        <v>2.3432491239340676</v>
      </c>
      <c r="AI7" s="629"/>
      <c r="AJ7" s="629"/>
      <c r="AK7" s="629"/>
      <c r="AL7" s="629"/>
      <c r="AM7" s="629"/>
      <c r="AN7" s="509">
        <f t="shared" ref="AN7:AN25" si="14">+SLOPE(AA7:AM7,AA$5:AM$5)</f>
        <v>-0.29517695951448913</v>
      </c>
      <c r="AO7" t="s">
        <v>839</v>
      </c>
      <c r="AR7" s="534" t="s">
        <v>924</v>
      </c>
      <c r="AS7" s="527">
        <f>+K8+K9+K10+K11+K12</f>
        <v>360.53999999999996</v>
      </c>
      <c r="AT7" s="527">
        <f t="shared" ref="AT7:BF7" si="15">+AA8+AA9+AA10+AA11+AA12</f>
        <v>301.36815227622213</v>
      </c>
      <c r="AU7" s="528">
        <f t="shared" si="15"/>
        <v>242.4264960500318</v>
      </c>
      <c r="AV7" s="528">
        <f t="shared" si="15"/>
        <v>171.85349200804063</v>
      </c>
      <c r="AW7" s="528">
        <f t="shared" si="15"/>
        <v>144.12763630355897</v>
      </c>
      <c r="AX7" s="528">
        <f t="shared" si="15"/>
        <v>105.8236587820916</v>
      </c>
      <c r="AY7" s="528">
        <f t="shared" si="15"/>
        <v>70.344739436893036</v>
      </c>
      <c r="AZ7" s="528">
        <f t="shared" si="15"/>
        <v>40.133944941341369</v>
      </c>
      <c r="BA7" s="528">
        <f t="shared" si="15"/>
        <v>26.750010300979817</v>
      </c>
      <c r="BB7" s="528">
        <f t="shared" si="15"/>
        <v>15.011164110721554</v>
      </c>
      <c r="BC7" s="528">
        <f t="shared" si="15"/>
        <v>11.223685114326383</v>
      </c>
      <c r="BD7" s="528">
        <f t="shared" si="15"/>
        <v>8.6986991167298644</v>
      </c>
      <c r="BE7" s="528">
        <f t="shared" si="15"/>
        <v>6.3213973707030426</v>
      </c>
      <c r="BF7" s="529">
        <f t="shared" si="15"/>
        <v>2.9625197140667652</v>
      </c>
      <c r="BG7">
        <f t="shared" si="3"/>
        <v>-9.382008134021282</v>
      </c>
    </row>
    <row r="8" spans="6:59" x14ac:dyDescent="0.25">
      <c r="F8" s="473" t="e" vm="2">
        <v>#VALUE!</v>
      </c>
      <c r="G8" s="474" t="s">
        <v>815</v>
      </c>
      <c r="H8" s="474" t="s">
        <v>849</v>
      </c>
      <c r="I8" s="474" t="s">
        <v>822</v>
      </c>
      <c r="J8" s="475" t="s">
        <v>850</v>
      </c>
      <c r="K8" s="507">
        <f>+D58</f>
        <v>3.84</v>
      </c>
      <c r="M8" s="507">
        <f>+AC58</f>
        <v>4827.9957140304614</v>
      </c>
      <c r="N8" s="507">
        <f t="shared" ref="N8:Y8" si="16">+AD58</f>
        <v>2686.6182510862127</v>
      </c>
      <c r="O8" s="507">
        <f t="shared" si="16"/>
        <v>1259.0332757900469</v>
      </c>
      <c r="P8" s="507">
        <f t="shared" si="16"/>
        <v>0</v>
      </c>
      <c r="Q8" s="507">
        <f t="shared" si="16"/>
        <v>0</v>
      </c>
      <c r="R8" s="507">
        <f t="shared" si="16"/>
        <v>0</v>
      </c>
      <c r="S8" s="507">
        <f t="shared" si="16"/>
        <v>0</v>
      </c>
      <c r="T8" s="507">
        <f t="shared" si="16"/>
        <v>0</v>
      </c>
      <c r="U8" s="507">
        <f t="shared" si="16"/>
        <v>0</v>
      </c>
      <c r="V8" s="507">
        <f t="shared" si="16"/>
        <v>0</v>
      </c>
      <c r="W8" s="504">
        <f t="shared" si="16"/>
        <v>0</v>
      </c>
      <c r="X8" s="504">
        <f t="shared" si="16"/>
        <v>0</v>
      </c>
      <c r="Y8" s="504">
        <f t="shared" si="16"/>
        <v>0</v>
      </c>
      <c r="Z8" s="504">
        <f t="shared" si="5"/>
        <v>-104.31466857775084</v>
      </c>
      <c r="AA8" s="629">
        <f t="shared" si="6"/>
        <v>10.044645083040376</v>
      </c>
      <c r="AB8" s="629">
        <f t="shared" si="7"/>
        <v>5.5895092713848653</v>
      </c>
      <c r="AC8" s="629">
        <f t="shared" si="8"/>
        <v>2.6194187302811924</v>
      </c>
      <c r="AD8" s="629"/>
      <c r="AE8" s="629"/>
      <c r="AF8" s="629"/>
      <c r="AG8" s="629"/>
      <c r="AH8" s="629"/>
      <c r="AI8" s="629"/>
      <c r="AJ8" s="629"/>
      <c r="AK8" s="629"/>
      <c r="AL8" s="629"/>
      <c r="AM8" s="629"/>
      <c r="AN8" s="509">
        <f t="shared" si="14"/>
        <v>-1.4850452705518367</v>
      </c>
      <c r="AO8" t="s">
        <v>850</v>
      </c>
      <c r="AR8" s="535" t="s">
        <v>926</v>
      </c>
      <c r="AS8" s="527">
        <f>+K13+K14+K15+K16+K17</f>
        <v>1300.8399999999997</v>
      </c>
      <c r="AT8" s="527">
        <f t="shared" ref="AT8:BF8" si="17">+AA13+AA14+AA15+AA16+AA17</f>
        <v>608.13099036155506</v>
      </c>
      <c r="AU8" s="528">
        <f t="shared" si="17"/>
        <v>522.49516194613284</v>
      </c>
      <c r="AV8" s="528">
        <f t="shared" si="17"/>
        <v>465.4046096691859</v>
      </c>
      <c r="AW8" s="528">
        <f t="shared" si="17"/>
        <v>408.31405739223914</v>
      </c>
      <c r="AX8" s="528">
        <f t="shared" si="17"/>
        <v>322.94891794545288</v>
      </c>
      <c r="AY8" s="528">
        <f t="shared" si="17"/>
        <v>238.8461909306553</v>
      </c>
      <c r="AZ8" s="528">
        <f t="shared" si="17"/>
        <v>182.7777062541233</v>
      </c>
      <c r="BA8" s="528">
        <f t="shared" si="17"/>
        <v>108.5477198417107</v>
      </c>
      <c r="BB8" s="528">
        <f t="shared" si="17"/>
        <v>81.980543736094816</v>
      </c>
      <c r="BC8" s="528">
        <f t="shared" si="17"/>
        <v>69.118940327005319</v>
      </c>
      <c r="BD8" s="528">
        <f t="shared" si="17"/>
        <v>57.053872779304349</v>
      </c>
      <c r="BE8" s="528">
        <f t="shared" si="17"/>
        <v>51.833914283484027</v>
      </c>
      <c r="BF8" s="529">
        <f t="shared" si="17"/>
        <v>40.640370330935419</v>
      </c>
      <c r="BG8">
        <f t="shared" si="3"/>
        <v>-19.949111557879402</v>
      </c>
    </row>
    <row r="9" spans="6:59" ht="30" x14ac:dyDescent="0.25">
      <c r="F9" s="473" t="e" vm="3">
        <v>#VALUE!</v>
      </c>
      <c r="G9" s="474" t="s">
        <v>815</v>
      </c>
      <c r="H9" s="474" t="s">
        <v>821</v>
      </c>
      <c r="I9" s="474" t="s">
        <v>822</v>
      </c>
      <c r="J9" s="475" t="s">
        <v>823</v>
      </c>
      <c r="K9" s="507">
        <f>+D48+D49+D50</f>
        <v>181.95999999999998</v>
      </c>
      <c r="M9" s="507">
        <f>+AC48+AC49+AC50</f>
        <v>57199.273556603264</v>
      </c>
      <c r="N9" s="507">
        <f t="shared" ref="N9:Y9" si="18">+AD48+AD49+AD50</f>
        <v>48216.942760049453</v>
      </c>
      <c r="O9" s="507">
        <f t="shared" si="18"/>
        <v>42228.72222901287</v>
      </c>
      <c r="P9" s="507">
        <f t="shared" si="18"/>
        <v>36240.501697976375</v>
      </c>
      <c r="Q9" s="507">
        <f t="shared" si="18"/>
        <v>27258.170901422563</v>
      </c>
      <c r="R9" s="507">
        <f t="shared" si="18"/>
        <v>18275.840104868665</v>
      </c>
      <c r="S9" s="507">
        <f t="shared" si="18"/>
        <v>9120.5378289312648</v>
      </c>
      <c r="T9" s="507">
        <f t="shared" si="18"/>
        <v>8053.1278169640864</v>
      </c>
      <c r="U9" s="507">
        <f t="shared" si="18"/>
        <v>6452.0127990135225</v>
      </c>
      <c r="V9" s="507">
        <f t="shared" si="18"/>
        <v>4850.897781062813</v>
      </c>
      <c r="W9" s="504">
        <f t="shared" si="18"/>
        <v>3783.4877690957801</v>
      </c>
      <c r="X9" s="504">
        <f t="shared" si="18"/>
        <v>2787.0627374554751</v>
      </c>
      <c r="Y9" s="504">
        <f t="shared" si="18"/>
        <v>1391.9565345775336</v>
      </c>
      <c r="Z9" s="504">
        <f t="shared" si="5"/>
        <v>-1905.9730485977291</v>
      </c>
      <c r="AA9" s="629">
        <f t="shared" si="6"/>
        <v>119.00308863451311</v>
      </c>
      <c r="AB9" s="629">
        <f t="shared" si="7"/>
        <v>100.31534941228288</v>
      </c>
      <c r="AC9" s="629">
        <f t="shared" si="8"/>
        <v>87.856856597461288</v>
      </c>
      <c r="AD9" s="629">
        <f t="shared" si="9"/>
        <v>75.398363782639848</v>
      </c>
      <c r="AE9" s="629">
        <f t="shared" si="10"/>
        <v>56.710624560409649</v>
      </c>
      <c r="AF9" s="629">
        <f t="shared" si="11"/>
        <v>38.022885338179258</v>
      </c>
      <c r="AG9" s="629">
        <f t="shared" si="12"/>
        <v>18.975278953091497</v>
      </c>
      <c r="AH9" s="629">
        <f t="shared" si="13"/>
        <v>16.754532423193783</v>
      </c>
      <c r="AI9" s="629">
        <f t="shared" ref="AI9:AI25" si="19">+U9*$R$2*365/1000</f>
        <v>13.423412628347632</v>
      </c>
      <c r="AJ9" s="629">
        <f t="shared" ref="AJ9:AJ25" si="20">+V9*$R$2*365/1000</f>
        <v>10.092292833501183</v>
      </c>
      <c r="AK9" s="629">
        <f t="shared" ref="AK9:AK25" si="21">+W9*$R$2*365/1000</f>
        <v>7.8715463036037701</v>
      </c>
      <c r="AL9" s="629">
        <f t="shared" ref="AL9:AL25" si="22">+X9*$R$2*365/1000</f>
        <v>5.7984840252761156</v>
      </c>
      <c r="AM9" s="629">
        <f t="shared" ref="AM9:AM25" si="23">+Y9*$R$2*365/1000</f>
        <v>2.8959655701885585</v>
      </c>
      <c r="AN9" s="509">
        <f t="shared" si="14"/>
        <v>-3.9653769276075757</v>
      </c>
      <c r="AO9" t="s">
        <v>823</v>
      </c>
      <c r="AR9" s="535" t="s">
        <v>927</v>
      </c>
      <c r="AS9" s="527">
        <f>+K18</f>
        <v>7.3</v>
      </c>
      <c r="AT9" s="527">
        <f t="shared" ref="AT9:BB9" si="24">+AA18</f>
        <v>3.8691863439810894</v>
      </c>
      <c r="AU9" s="528">
        <f t="shared" si="24"/>
        <v>3.4185516111034171</v>
      </c>
      <c r="AV9" s="528">
        <f t="shared" si="24"/>
        <v>3.1181284558516555</v>
      </c>
      <c r="AW9" s="528">
        <f t="shared" si="24"/>
        <v>2.8177053005998336</v>
      </c>
      <c r="AX9" s="528">
        <f t="shared" si="24"/>
        <v>2.3670705677222217</v>
      </c>
      <c r="AY9" s="528">
        <f t="shared" si="24"/>
        <v>1.9164358348445492</v>
      </c>
      <c r="AZ9" s="528">
        <f t="shared" si="24"/>
        <v>1.616012679592727</v>
      </c>
      <c r="BA9" s="528">
        <f t="shared" si="24"/>
        <v>1.3155895243409652</v>
      </c>
      <c r="BB9" s="528">
        <f t="shared" si="24"/>
        <v>0.86495479146329268</v>
      </c>
      <c r="BC9" s="528"/>
      <c r="BD9" s="528"/>
      <c r="BE9" s="528"/>
      <c r="BF9" s="529"/>
      <c r="BG9">
        <f t="shared" si="3"/>
        <v>-0.15021157762588969</v>
      </c>
    </row>
    <row r="10" spans="6:59" x14ac:dyDescent="0.25">
      <c r="F10" s="473" t="e" vm="3">
        <v>#VALUE!</v>
      </c>
      <c r="G10" s="474" t="s">
        <v>815</v>
      </c>
      <c r="H10" s="474" t="s">
        <v>824</v>
      </c>
      <c r="I10" s="474" t="s">
        <v>822</v>
      </c>
      <c r="J10" s="475" t="s">
        <v>825</v>
      </c>
      <c r="K10" s="507">
        <f>+D51+D52</f>
        <v>27.95</v>
      </c>
      <c r="M10" s="507">
        <f>+AC51+AC52</f>
        <v>28513.982927143341</v>
      </c>
      <c r="N10" s="507">
        <f t="shared" ref="N10:Y10" si="25">+AD51+AD52</f>
        <v>20426.088212779025</v>
      </c>
      <c r="O10" s="507">
        <f t="shared" si="25"/>
        <v>0</v>
      </c>
      <c r="P10" s="507">
        <f t="shared" si="25"/>
        <v>0</v>
      </c>
      <c r="Q10" s="507">
        <f t="shared" si="25"/>
        <v>0</v>
      </c>
      <c r="R10" s="507">
        <f t="shared" si="25"/>
        <v>0</v>
      </c>
      <c r="S10" s="507">
        <f t="shared" si="25"/>
        <v>0</v>
      </c>
      <c r="T10" s="507">
        <f t="shared" si="25"/>
        <v>0</v>
      </c>
      <c r="U10" s="507">
        <f t="shared" si="25"/>
        <v>0</v>
      </c>
      <c r="V10" s="507">
        <f t="shared" si="25"/>
        <v>0</v>
      </c>
      <c r="W10" s="504">
        <f t="shared" si="25"/>
        <v>0</v>
      </c>
      <c r="X10" s="504">
        <f t="shared" si="25"/>
        <v>0</v>
      </c>
      <c r="Y10" s="504">
        <f t="shared" si="25"/>
        <v>0</v>
      </c>
      <c r="Z10" s="504">
        <f t="shared" si="5"/>
        <v>-598.59679934208043</v>
      </c>
      <c r="AA10" s="629">
        <f t="shared" si="6"/>
        <v>59.323341479921723</v>
      </c>
      <c r="AB10" s="629">
        <f t="shared" si="7"/>
        <v>42.496476526686763</v>
      </c>
      <c r="AC10" s="629"/>
      <c r="AD10" s="629"/>
      <c r="AE10" s="629"/>
      <c r="AF10" s="629"/>
      <c r="AG10" s="629"/>
      <c r="AH10" s="629"/>
      <c r="AI10" s="629"/>
      <c r="AJ10" s="629"/>
      <c r="AK10" s="629"/>
      <c r="AL10" s="629"/>
      <c r="AM10" s="629"/>
      <c r="AN10" s="509">
        <f t="shared" si="14"/>
        <v>-5.6089549844116533</v>
      </c>
      <c r="AO10" t="s">
        <v>825</v>
      </c>
      <c r="AR10" s="535" t="s">
        <v>929</v>
      </c>
      <c r="AS10" s="527">
        <f>+K19+K21+K22</f>
        <v>179.83</v>
      </c>
      <c r="AT10" s="527">
        <f t="shared" ref="AT10:BE10" si="26">+AA19+AA21+AA22</f>
        <v>120.10488082771383</v>
      </c>
      <c r="AU10" s="528">
        <f t="shared" si="26"/>
        <v>102.2710976328155</v>
      </c>
      <c r="AV10" s="528">
        <f t="shared" si="26"/>
        <v>90.38190883621688</v>
      </c>
      <c r="AW10" s="528">
        <f t="shared" si="26"/>
        <v>78.492720039619002</v>
      </c>
      <c r="AX10" s="528">
        <f t="shared" si="26"/>
        <v>60.658936844720685</v>
      </c>
      <c r="AY10" s="528">
        <f t="shared" si="26"/>
        <v>42.82515364982315</v>
      </c>
      <c r="AZ10" s="528">
        <f t="shared" si="26"/>
        <v>29.271790257160674</v>
      </c>
      <c r="BA10" s="528">
        <f t="shared" si="26"/>
        <v>19.864940326937376</v>
      </c>
      <c r="BB10" s="528">
        <f t="shared" si="26"/>
        <v>13.68927126234288</v>
      </c>
      <c r="BC10" s="528">
        <f t="shared" si="26"/>
        <v>9.6070650611223698</v>
      </c>
      <c r="BD10" s="528">
        <f t="shared" si="26"/>
        <v>6.8855942603083893</v>
      </c>
      <c r="BE10" s="528">
        <f t="shared" si="26"/>
        <v>4.1641234594948973</v>
      </c>
      <c r="BF10" s="529"/>
      <c r="BG10">
        <f t="shared" si="3"/>
        <v>-4.4565773241322679</v>
      </c>
    </row>
    <row r="11" spans="6:59" ht="15.75" x14ac:dyDescent="0.25">
      <c r="F11" s="473" t="e" vm="3">
        <v>#VALUE!</v>
      </c>
      <c r="G11" s="474" t="s">
        <v>815</v>
      </c>
      <c r="H11" s="474" t="s">
        <v>826</v>
      </c>
      <c r="I11" s="474" t="s">
        <v>822</v>
      </c>
      <c r="J11" s="475" t="s">
        <v>827</v>
      </c>
      <c r="K11" s="507">
        <f>+D62+D63</f>
        <v>130.80000000000001</v>
      </c>
      <c r="M11" s="507">
        <f>+AC62+AC63</f>
        <v>48633.343378444086</v>
      </c>
      <c r="N11" s="507">
        <f t="shared" ref="N11:Y11" si="27">+AD62+AD63</f>
        <v>40676.95037223761</v>
      </c>
      <c r="O11" s="507">
        <f t="shared" si="27"/>
        <v>35372.688368100266</v>
      </c>
      <c r="P11" s="507">
        <f t="shared" si="27"/>
        <v>30068.426363962935</v>
      </c>
      <c r="Q11" s="507">
        <f t="shared" si="27"/>
        <v>22112.03335775646</v>
      </c>
      <c r="R11" s="507">
        <f t="shared" si="27"/>
        <v>14260.641422443092</v>
      </c>
      <c r="S11" s="507">
        <f t="shared" si="27"/>
        <v>9041.2476984513924</v>
      </c>
      <c r="T11" s="507">
        <f t="shared" si="27"/>
        <v>3821.8539744596928</v>
      </c>
      <c r="U11" s="507">
        <f t="shared" si="27"/>
        <v>0</v>
      </c>
      <c r="V11" s="507">
        <f t="shared" si="27"/>
        <v>0</v>
      </c>
      <c r="W11" s="504">
        <f t="shared" si="27"/>
        <v>0</v>
      </c>
      <c r="X11" s="504">
        <f t="shared" si="27"/>
        <v>0</v>
      </c>
      <c r="Y11" s="504">
        <f t="shared" si="27"/>
        <v>0</v>
      </c>
      <c r="Z11" s="504">
        <f t="shared" si="5"/>
        <v>-1728.9462557126046</v>
      </c>
      <c r="AA11" s="629">
        <f t="shared" si="6"/>
        <v>101.18167089885293</v>
      </c>
      <c r="AB11" s="629">
        <f t="shared" si="7"/>
        <v>84.628395249440345</v>
      </c>
      <c r="AC11" s="629">
        <f t="shared" si="8"/>
        <v>73.5928781498326</v>
      </c>
      <c r="AD11" s="629">
        <f t="shared" si="9"/>
        <v>62.557361050224884</v>
      </c>
      <c r="AE11" s="629">
        <f t="shared" si="10"/>
        <v>46.004085400812315</v>
      </c>
      <c r="AF11" s="629">
        <f t="shared" si="11"/>
        <v>29.669264479392854</v>
      </c>
      <c r="AG11" s="629">
        <f t="shared" si="12"/>
        <v>18.810315836628124</v>
      </c>
      <c r="AH11" s="629">
        <f t="shared" si="13"/>
        <v>7.9513671938633914</v>
      </c>
      <c r="AI11" s="629">
        <f t="shared" si="19"/>
        <v>0</v>
      </c>
      <c r="AJ11" s="629"/>
      <c r="AK11" s="629"/>
      <c r="AL11" s="629"/>
      <c r="AM11" s="629"/>
      <c r="AN11" s="509">
        <f t="shared" si="14"/>
        <v>-5.2489972859455927</v>
      </c>
      <c r="AO11" t="s">
        <v>827</v>
      </c>
      <c r="AR11" s="536" t="s">
        <v>928</v>
      </c>
      <c r="AS11" s="530">
        <f>+K23+K24+K25</f>
        <v>51.86</v>
      </c>
      <c r="AT11" s="530">
        <f t="shared" ref="AT11:BF11" si="28">+AA23+AA24+AA25</f>
        <v>22.745366925853645</v>
      </c>
      <c r="AU11" s="531">
        <f t="shared" si="28"/>
        <v>20.041242648559983</v>
      </c>
      <c r="AV11" s="531">
        <f t="shared" si="28"/>
        <v>18.238493130364368</v>
      </c>
      <c r="AW11" s="531">
        <f t="shared" si="28"/>
        <v>16.435743612168579</v>
      </c>
      <c r="AX11" s="531">
        <f t="shared" si="28"/>
        <v>13.731619334875035</v>
      </c>
      <c r="AY11" s="531">
        <f t="shared" si="28"/>
        <v>11.226900362824599</v>
      </c>
      <c r="AZ11" s="531">
        <f t="shared" si="28"/>
        <v>9.6970968264457511</v>
      </c>
      <c r="BA11" s="531">
        <f t="shared" si="28"/>
        <v>8.1672932900669633</v>
      </c>
      <c r="BB11" s="531">
        <f t="shared" si="28"/>
        <v>5.9100822889242215</v>
      </c>
      <c r="BC11" s="531">
        <f t="shared" si="28"/>
        <v>4.5094031449974228</v>
      </c>
      <c r="BD11" s="531">
        <f t="shared" si="28"/>
        <v>3.5362145742389126</v>
      </c>
      <c r="BE11" s="531">
        <f t="shared" si="28"/>
        <v>2.6600653984253664</v>
      </c>
      <c r="BF11" s="532">
        <f t="shared" si="28"/>
        <v>1.345841634704988</v>
      </c>
      <c r="BG11">
        <f t="shared" si="3"/>
        <v>-0.72707065395261417</v>
      </c>
    </row>
    <row r="12" spans="6:59" ht="15.75" x14ac:dyDescent="0.25">
      <c r="F12" s="473" t="e" vm="3">
        <v>#VALUE!</v>
      </c>
      <c r="G12" s="474" t="s">
        <v>815</v>
      </c>
      <c r="H12" s="474" t="s">
        <v>826</v>
      </c>
      <c r="I12" s="474" t="s">
        <v>822</v>
      </c>
      <c r="J12" s="475" t="s">
        <v>828</v>
      </c>
      <c r="K12" s="507">
        <f>+D56+D57</f>
        <v>15.989999999999998</v>
      </c>
      <c r="M12" s="507">
        <f>+AC56+AC57</f>
        <v>5679.11856760105</v>
      </c>
      <c r="N12" s="507">
        <f t="shared" ref="N12:Y12" si="29">+AD56+AD57</f>
        <v>4516.5900457759853</v>
      </c>
      <c r="O12" s="507">
        <f t="shared" si="29"/>
        <v>3741.5710312259325</v>
      </c>
      <c r="P12" s="507">
        <f t="shared" si="29"/>
        <v>2966.5520166759088</v>
      </c>
      <c r="Q12" s="507">
        <f t="shared" si="29"/>
        <v>1494.3277197162388</v>
      </c>
      <c r="R12" s="507">
        <f t="shared" si="29"/>
        <v>1274.9769859749649</v>
      </c>
      <c r="S12" s="507">
        <f t="shared" si="29"/>
        <v>1128.7431634807726</v>
      </c>
      <c r="T12" s="507">
        <f t="shared" si="29"/>
        <v>982.50934098660946</v>
      </c>
      <c r="U12" s="507">
        <f t="shared" si="29"/>
        <v>763.15860724533559</v>
      </c>
      <c r="V12" s="507">
        <f t="shared" si="29"/>
        <v>543.80787350406172</v>
      </c>
      <c r="W12" s="504">
        <f t="shared" si="29"/>
        <v>397.57405100989854</v>
      </c>
      <c r="X12" s="504">
        <f t="shared" si="29"/>
        <v>251.34022851570626</v>
      </c>
      <c r="Y12" s="504">
        <f t="shared" si="29"/>
        <v>31.989494774432387</v>
      </c>
      <c r="Z12" s="504">
        <f t="shared" si="5"/>
        <v>-171.66604777525708</v>
      </c>
      <c r="AA12" s="629">
        <f t="shared" si="6"/>
        <v>11.815406179893985</v>
      </c>
      <c r="AB12" s="629">
        <f t="shared" si="7"/>
        <v>9.3967655902369387</v>
      </c>
      <c r="AC12" s="629">
        <f t="shared" si="8"/>
        <v>7.7843385304655532</v>
      </c>
      <c r="AD12" s="629">
        <f t="shared" si="9"/>
        <v>6.1719114706942282</v>
      </c>
      <c r="AE12" s="629">
        <f t="shared" si="10"/>
        <v>3.1089488208696352</v>
      </c>
      <c r="AF12" s="629">
        <f t="shared" si="11"/>
        <v>2.6525896193209144</v>
      </c>
      <c r="AG12" s="629">
        <f t="shared" si="12"/>
        <v>2.3483501516217475</v>
      </c>
      <c r="AH12" s="629">
        <f t="shared" si="13"/>
        <v>2.0441106839226411</v>
      </c>
      <c r="AI12" s="629">
        <f t="shared" si="19"/>
        <v>1.5877514823739207</v>
      </c>
      <c r="AJ12" s="629">
        <f t="shared" si="20"/>
        <v>1.1313922808252004</v>
      </c>
      <c r="AK12" s="629">
        <f t="shared" si="21"/>
        <v>0.8271528131260939</v>
      </c>
      <c r="AL12" s="629">
        <f t="shared" si="22"/>
        <v>0.52291334542692691</v>
      </c>
      <c r="AM12" s="629">
        <f t="shared" si="23"/>
        <v>6.6554143878206573E-2</v>
      </c>
      <c r="AN12" s="509">
        <f t="shared" si="14"/>
        <v>-0.35715121239642228</v>
      </c>
      <c r="AO12" t="s">
        <v>828</v>
      </c>
      <c r="AR12" s="514"/>
    </row>
    <row r="13" spans="6:59" x14ac:dyDescent="0.25">
      <c r="F13" s="473" t="e" vm="4">
        <v>#VALUE!</v>
      </c>
      <c r="G13" s="474" t="s">
        <v>815</v>
      </c>
      <c r="H13" s="474" t="s">
        <v>840</v>
      </c>
      <c r="I13" s="474" t="s">
        <v>822</v>
      </c>
      <c r="J13" s="475" t="s">
        <v>841</v>
      </c>
      <c r="K13" s="507">
        <f>+D64</f>
        <v>272.89999999999998</v>
      </c>
      <c r="M13" s="507">
        <f>+AC64</f>
        <v>101621.62162162177</v>
      </c>
      <c r="N13" s="507">
        <f t="shared" ref="N13:Y13" si="30">+AD64</f>
        <v>84756.756756756455</v>
      </c>
      <c r="O13" s="507">
        <f t="shared" si="30"/>
        <v>73513.513513512909</v>
      </c>
      <c r="P13" s="507">
        <f t="shared" si="30"/>
        <v>62270.270270269364</v>
      </c>
      <c r="Q13" s="507">
        <f t="shared" si="30"/>
        <v>45405.405405405909</v>
      </c>
      <c r="R13" s="507">
        <f t="shared" si="30"/>
        <v>28540.540540540591</v>
      </c>
      <c r="S13" s="507">
        <f t="shared" si="30"/>
        <v>17297.297297297046</v>
      </c>
      <c r="T13" s="507">
        <f t="shared" si="30"/>
        <v>0</v>
      </c>
      <c r="U13" s="507">
        <f t="shared" si="30"/>
        <v>0</v>
      </c>
      <c r="V13" s="507">
        <f t="shared" si="30"/>
        <v>0</v>
      </c>
      <c r="W13" s="504">
        <f t="shared" si="30"/>
        <v>0</v>
      </c>
      <c r="X13" s="504">
        <f t="shared" si="30"/>
        <v>0</v>
      </c>
      <c r="Y13" s="504">
        <f t="shared" si="30"/>
        <v>0</v>
      </c>
      <c r="Z13" s="504">
        <f t="shared" si="5"/>
        <v>-3611.0416466288243</v>
      </c>
      <c r="AA13" s="629">
        <f t="shared" si="6"/>
        <v>211.4237837837841</v>
      </c>
      <c r="AB13" s="629">
        <f t="shared" si="7"/>
        <v>176.33643243243182</v>
      </c>
      <c r="AC13" s="629">
        <f t="shared" si="8"/>
        <v>152.94486486486363</v>
      </c>
      <c r="AD13" s="629">
        <f t="shared" si="9"/>
        <v>129.55329729729542</v>
      </c>
      <c r="AE13" s="629">
        <f t="shared" si="10"/>
        <v>94.465945945946999</v>
      </c>
      <c r="AF13" s="629">
        <f t="shared" si="11"/>
        <v>59.378594594594702</v>
      </c>
      <c r="AG13" s="629">
        <f t="shared" si="12"/>
        <v>35.9870270270265</v>
      </c>
      <c r="AH13" s="629"/>
      <c r="AI13" s="629"/>
      <c r="AJ13" s="629"/>
      <c r="AK13" s="629"/>
      <c r="AL13" s="629"/>
      <c r="AM13" s="629"/>
      <c r="AN13" s="509">
        <f t="shared" si="14"/>
        <v>-11.695783783783762</v>
      </c>
      <c r="AO13" t="s">
        <v>841</v>
      </c>
      <c r="AT13" s="291">
        <f>+SUM(AT6:BF11)</f>
        <v>5175.1741990991441</v>
      </c>
    </row>
    <row r="14" spans="6:59" ht="25.5" x14ac:dyDescent="0.25">
      <c r="F14" s="473" t="e" vm="4">
        <v>#VALUE!</v>
      </c>
      <c r="G14" s="474" t="s">
        <v>815</v>
      </c>
      <c r="H14" s="474" t="s">
        <v>842</v>
      </c>
      <c r="I14" s="474" t="s">
        <v>822</v>
      </c>
      <c r="J14" s="475" t="s">
        <v>843</v>
      </c>
      <c r="K14" s="507">
        <f>+D43+D42+D44</f>
        <v>697.95999999999992</v>
      </c>
      <c r="M14" s="507">
        <f>+AC43+AC42+AC44</f>
        <v>104196.74339982207</v>
      </c>
      <c r="N14" s="507">
        <f t="shared" ref="N14:Y14" si="31">+AD43+AD42+AD44</f>
        <v>91549.650787922772</v>
      </c>
      <c r="O14" s="507">
        <f t="shared" si="31"/>
        <v>83118.25571332348</v>
      </c>
      <c r="P14" s="507">
        <f t="shared" si="31"/>
        <v>74686.860638724189</v>
      </c>
      <c r="Q14" s="507">
        <f t="shared" si="31"/>
        <v>62039.768026825594</v>
      </c>
      <c r="R14" s="507">
        <f t="shared" si="31"/>
        <v>49392.675414926314</v>
      </c>
      <c r="S14" s="507">
        <f t="shared" si="31"/>
        <v>40961.280340327015</v>
      </c>
      <c r="T14" s="507">
        <f t="shared" si="31"/>
        <v>29854.546512339461</v>
      </c>
      <c r="U14" s="507">
        <f t="shared" si="31"/>
        <v>27470.868534586669</v>
      </c>
      <c r="V14" s="507">
        <f t="shared" si="31"/>
        <v>25050.419885017211</v>
      </c>
      <c r="W14" s="504">
        <f t="shared" si="31"/>
        <v>23474.28389575053</v>
      </c>
      <c r="X14" s="504">
        <f t="shared" si="31"/>
        <v>21898.14790648385</v>
      </c>
      <c r="Y14" s="504">
        <f t="shared" si="31"/>
        <v>19533.943922583712</v>
      </c>
      <c r="Z14" s="504">
        <f t="shared" si="5"/>
        <v>-2945.9181727825594</v>
      </c>
      <c r="AA14" s="629">
        <f t="shared" si="6"/>
        <v>216.78132464332984</v>
      </c>
      <c r="AB14" s="629">
        <f t="shared" si="7"/>
        <v>190.46904846427333</v>
      </c>
      <c r="AC14" s="629">
        <f t="shared" si="8"/>
        <v>172.92753101156953</v>
      </c>
      <c r="AD14" s="629">
        <f t="shared" si="9"/>
        <v>155.38601355886567</v>
      </c>
      <c r="AE14" s="629">
        <f t="shared" si="10"/>
        <v>129.07373737981067</v>
      </c>
      <c r="AF14" s="629">
        <f t="shared" si="11"/>
        <v>102.7614612007542</v>
      </c>
      <c r="AG14" s="629">
        <f t="shared" si="12"/>
        <v>85.219943748050355</v>
      </c>
      <c r="AH14" s="629">
        <f t="shared" si="13"/>
        <v>62.112384018922256</v>
      </c>
      <c r="AI14" s="629">
        <f t="shared" si="19"/>
        <v>57.153141986207565</v>
      </c>
      <c r="AJ14" s="629">
        <f t="shared" si="20"/>
        <v>52.117398570778313</v>
      </c>
      <c r="AK14" s="629">
        <f t="shared" si="21"/>
        <v>48.838247645108986</v>
      </c>
      <c r="AL14" s="629">
        <f t="shared" si="22"/>
        <v>45.559096719439651</v>
      </c>
      <c r="AM14" s="629">
        <f t="shared" si="23"/>
        <v>40.640370330935419</v>
      </c>
      <c r="AN14" s="509">
        <f t="shared" si="14"/>
        <v>-6.1289827584741143</v>
      </c>
      <c r="AO14" t="s">
        <v>843</v>
      </c>
    </row>
    <row r="15" spans="6:59" x14ac:dyDescent="0.25">
      <c r="F15" s="473" t="e" vm="4">
        <v>#VALUE!</v>
      </c>
      <c r="G15" s="474" t="s">
        <v>815</v>
      </c>
      <c r="H15" s="474" t="s">
        <v>844</v>
      </c>
      <c r="I15" s="474" t="s">
        <v>822</v>
      </c>
      <c r="J15" s="475" t="s">
        <v>845</v>
      </c>
      <c r="K15" s="507">
        <f>+D45+D46</f>
        <v>236.24</v>
      </c>
      <c r="M15" s="507">
        <f>+AC45+AC46</f>
        <v>68166.815655914135</v>
      </c>
      <c r="N15" s="507">
        <f t="shared" ref="N15:Y15" si="32">+AD45+AD46</f>
        <v>58703.848843057407</v>
      </c>
      <c r="O15" s="507">
        <f t="shared" si="32"/>
        <v>52395.20430115331</v>
      </c>
      <c r="P15" s="507">
        <f t="shared" si="32"/>
        <v>46086.559759249212</v>
      </c>
      <c r="Q15" s="507">
        <f t="shared" si="32"/>
        <v>36623.592946392484</v>
      </c>
      <c r="R15" s="507">
        <f t="shared" si="32"/>
        <v>27160.626133535523</v>
      </c>
      <c r="S15" s="507">
        <f t="shared" si="32"/>
        <v>20851.981591630494</v>
      </c>
      <c r="T15" s="507">
        <f t="shared" si="32"/>
        <v>14543.337049726397</v>
      </c>
      <c r="U15" s="507">
        <f t="shared" si="32"/>
        <v>5606.7655319848564</v>
      </c>
      <c r="V15" s="507">
        <f t="shared" si="32"/>
        <v>3290.1269175105263</v>
      </c>
      <c r="W15" s="504">
        <f t="shared" si="32"/>
        <v>0</v>
      </c>
      <c r="X15" s="504">
        <f t="shared" si="32"/>
        <v>0</v>
      </c>
      <c r="Y15" s="504">
        <f t="shared" si="32"/>
        <v>0</v>
      </c>
      <c r="Z15" s="504">
        <f t="shared" si="5"/>
        <v>-2467.6073326872774</v>
      </c>
      <c r="AA15" s="629">
        <f t="shared" si="6"/>
        <v>141.82105997212938</v>
      </c>
      <c r="AB15" s="629">
        <f t="shared" si="7"/>
        <v>122.13335751798094</v>
      </c>
      <c r="AC15" s="629">
        <f t="shared" si="8"/>
        <v>109.00822254854945</v>
      </c>
      <c r="AD15" s="629">
        <f t="shared" si="9"/>
        <v>95.883087579117998</v>
      </c>
      <c r="AE15" s="629">
        <f t="shared" si="10"/>
        <v>76.195385124969576</v>
      </c>
      <c r="AF15" s="629">
        <f t="shared" si="11"/>
        <v>56.507682670820657</v>
      </c>
      <c r="AG15" s="629">
        <f t="shared" si="12"/>
        <v>43.382547701387246</v>
      </c>
      <c r="AH15" s="629">
        <f t="shared" si="13"/>
        <v>30.257412731955768</v>
      </c>
      <c r="AI15" s="629">
        <f t="shared" si="19"/>
        <v>11.664875689294496</v>
      </c>
      <c r="AJ15" s="629">
        <f t="shared" si="20"/>
        <v>6.8451090518806508</v>
      </c>
      <c r="AK15" s="629"/>
      <c r="AL15" s="629"/>
      <c r="AM15" s="629"/>
      <c r="AN15" s="509">
        <f t="shared" si="14"/>
        <v>-6.183690388691935</v>
      </c>
      <c r="AO15" t="s">
        <v>845</v>
      </c>
      <c r="BG15">
        <f>15*BG11</f>
        <v>-10.906059809289212</v>
      </c>
    </row>
    <row r="16" spans="6:59" x14ac:dyDescent="0.25">
      <c r="F16" s="473" t="e" vm="4">
        <v>#VALUE!</v>
      </c>
      <c r="G16" s="474" t="s">
        <v>815</v>
      </c>
      <c r="H16" s="474" t="s">
        <v>844</v>
      </c>
      <c r="I16" s="474" t="s">
        <v>822</v>
      </c>
      <c r="J16" s="475" t="s">
        <v>846</v>
      </c>
      <c r="K16" s="507">
        <f>+D36</f>
        <v>89.87</v>
      </c>
      <c r="M16" s="507">
        <f>+AC36</f>
        <v>15609.574506649165</v>
      </c>
      <c r="N16" s="507">
        <f t="shared" ref="N16:Y16" si="33">+AD36</f>
        <v>14210.290029251133</v>
      </c>
      <c r="O16" s="507">
        <f t="shared" si="33"/>
        <v>13277.433710985701</v>
      </c>
      <c r="P16" s="507">
        <f t="shared" si="33"/>
        <v>12344.577392720385</v>
      </c>
      <c r="Q16" s="507">
        <f t="shared" si="33"/>
        <v>10945.292915322352</v>
      </c>
      <c r="R16" s="507">
        <f t="shared" si="33"/>
        <v>9546.0084379243199</v>
      </c>
      <c r="S16" s="507">
        <f t="shared" si="33"/>
        <v>8613.1521196590038</v>
      </c>
      <c r="T16" s="507">
        <f t="shared" si="33"/>
        <v>7680.2958013936877</v>
      </c>
      <c r="U16" s="507">
        <f t="shared" si="33"/>
        <v>6281.0113239956554</v>
      </c>
      <c r="V16" s="507">
        <f t="shared" si="33"/>
        <v>4881.7268465976231</v>
      </c>
      <c r="W16" s="504">
        <f t="shared" si="33"/>
        <v>3948.870528332307</v>
      </c>
      <c r="X16" s="504">
        <f t="shared" si="33"/>
        <v>3016.0142100669909</v>
      </c>
      <c r="Y16" s="504">
        <f t="shared" si="33"/>
        <v>0</v>
      </c>
      <c r="Z16" s="504">
        <f t="shared" si="5"/>
        <v>-488.0037338569021</v>
      </c>
      <c r="AA16" s="629">
        <f t="shared" si="6"/>
        <v>32.475719761083589</v>
      </c>
      <c r="AB16" s="629">
        <f t="shared" si="7"/>
        <v>29.56450840585698</v>
      </c>
      <c r="AC16" s="629">
        <f t="shared" si="8"/>
        <v>27.623700835705748</v>
      </c>
      <c r="AD16" s="629">
        <f t="shared" si="9"/>
        <v>25.68289326555476</v>
      </c>
      <c r="AE16" s="629">
        <f t="shared" si="10"/>
        <v>22.771681910328155</v>
      </c>
      <c r="AF16" s="629">
        <f t="shared" si="11"/>
        <v>19.860470555101546</v>
      </c>
      <c r="AG16" s="629">
        <f t="shared" si="12"/>
        <v>17.919662984950559</v>
      </c>
      <c r="AH16" s="629">
        <f t="shared" si="13"/>
        <v>15.97885541479957</v>
      </c>
      <c r="AI16" s="629">
        <f t="shared" si="19"/>
        <v>13.067644059572961</v>
      </c>
      <c r="AJ16" s="629">
        <f t="shared" si="20"/>
        <v>10.156432704346354</v>
      </c>
      <c r="AK16" s="629">
        <f t="shared" si="21"/>
        <v>8.2156251341953652</v>
      </c>
      <c r="AL16" s="629">
        <f t="shared" si="22"/>
        <v>6.2748175640443753</v>
      </c>
      <c r="AM16" s="629"/>
      <c r="AN16" s="509">
        <f t="shared" si="14"/>
        <v>-0.97040378507552527</v>
      </c>
      <c r="AO16" t="s">
        <v>846</v>
      </c>
      <c r="BG16" s="291">
        <f>+AT11+BG15</f>
        <v>11.839307116564433</v>
      </c>
    </row>
    <row r="17" spans="6:59" x14ac:dyDescent="0.25">
      <c r="F17" s="473" t="e" vm="4">
        <v>#VALUE!</v>
      </c>
      <c r="G17" s="474" t="s">
        <v>815</v>
      </c>
      <c r="H17" s="474" t="s">
        <v>847</v>
      </c>
      <c r="I17" s="474" t="s">
        <v>822</v>
      </c>
      <c r="J17" s="475" t="s">
        <v>848</v>
      </c>
      <c r="K17" s="507">
        <f>+D37+D38</f>
        <v>3.87</v>
      </c>
      <c r="M17" s="507">
        <f>+AC37+AC38</f>
        <v>2705.6487388743917</v>
      </c>
      <c r="N17" s="507">
        <f t="shared" ref="N17:Y17" si="34">+AD37+AD38</f>
        <v>1918.6806659888607</v>
      </c>
      <c r="O17" s="507">
        <f t="shared" si="34"/>
        <v>1394.035284065154</v>
      </c>
      <c r="P17" s="507">
        <f t="shared" si="34"/>
        <v>869.38990214144724</v>
      </c>
      <c r="Q17" s="507">
        <f t="shared" si="34"/>
        <v>212.52948060442577</v>
      </c>
      <c r="R17" s="507">
        <f t="shared" si="34"/>
        <v>162.45225156654487</v>
      </c>
      <c r="S17" s="507">
        <f t="shared" si="34"/>
        <v>129.06743220795761</v>
      </c>
      <c r="T17" s="507">
        <f t="shared" si="34"/>
        <v>95.682612849370344</v>
      </c>
      <c r="U17" s="507">
        <f t="shared" si="34"/>
        <v>45.605383811489446</v>
      </c>
      <c r="V17" s="507">
        <f t="shared" si="34"/>
        <v>0</v>
      </c>
      <c r="W17" s="504">
        <f t="shared" si="34"/>
        <v>0</v>
      </c>
      <c r="X17" s="504">
        <f t="shared" si="34"/>
        <v>0</v>
      </c>
      <c r="Y17" s="504">
        <f t="shared" si="34"/>
        <v>0</v>
      </c>
      <c r="Z17" s="504">
        <f t="shared" si="5"/>
        <v>-76.043176952103508</v>
      </c>
      <c r="AA17" s="629">
        <f t="shared" si="6"/>
        <v>5.6291022012281715</v>
      </c>
      <c r="AB17" s="629">
        <f t="shared" si="7"/>
        <v>3.9918151255898247</v>
      </c>
      <c r="AC17" s="629">
        <f t="shared" si="8"/>
        <v>2.9002904084975532</v>
      </c>
      <c r="AD17" s="629">
        <f t="shared" si="9"/>
        <v>1.8087656914052812</v>
      </c>
      <c r="AE17" s="629">
        <f t="shared" si="10"/>
        <v>0.44216758439750781</v>
      </c>
      <c r="AF17" s="629">
        <f t="shared" si="11"/>
        <v>0.33798190938419664</v>
      </c>
      <c r="AG17" s="629">
        <f t="shared" si="12"/>
        <v>0.26852479270865581</v>
      </c>
      <c r="AH17" s="629">
        <f t="shared" si="13"/>
        <v>0.19906767603311501</v>
      </c>
      <c r="AI17" s="629">
        <f t="shared" si="19"/>
        <v>9.4882001019803791E-2</v>
      </c>
      <c r="AJ17" s="629"/>
      <c r="AK17" s="629"/>
      <c r="AL17" s="629"/>
      <c r="AM17" s="629"/>
      <c r="AN17" s="509">
        <f t="shared" si="14"/>
        <v>-0.27175577479231794</v>
      </c>
      <c r="AO17" t="s">
        <v>848</v>
      </c>
      <c r="BF17" s="291"/>
    </row>
    <row r="18" spans="6:59" x14ac:dyDescent="0.25">
      <c r="F18" s="473" t="e" vm="5">
        <v>#VALUE!</v>
      </c>
      <c r="G18" s="474" t="s">
        <v>815</v>
      </c>
      <c r="H18" s="474" t="s">
        <v>851</v>
      </c>
      <c r="I18" s="474" t="s">
        <v>852</v>
      </c>
      <c r="J18" s="475" t="s">
        <v>851</v>
      </c>
      <c r="K18" s="507">
        <f>+D61</f>
        <v>7.3</v>
      </c>
      <c r="M18" s="507">
        <f>+AC61</f>
        <v>1859.7386897289543</v>
      </c>
      <c r="N18" s="507">
        <f t="shared" ref="N18:Y18" si="35">+AD61</f>
        <v>1643.1394429720822</v>
      </c>
      <c r="O18" s="507">
        <f t="shared" si="35"/>
        <v>1498.7399451341771</v>
      </c>
      <c r="P18" s="507">
        <f t="shared" si="35"/>
        <v>1354.3404472962429</v>
      </c>
      <c r="Q18" s="507">
        <f t="shared" si="35"/>
        <v>1137.7412005393999</v>
      </c>
      <c r="R18" s="507">
        <f t="shared" si="35"/>
        <v>921.14195378252771</v>
      </c>
      <c r="S18" s="507">
        <f t="shared" si="35"/>
        <v>776.74245594459353</v>
      </c>
      <c r="T18" s="507">
        <f t="shared" si="35"/>
        <v>632.34295810668846</v>
      </c>
      <c r="U18" s="507">
        <f t="shared" si="35"/>
        <v>415.74371134981629</v>
      </c>
      <c r="V18" s="507">
        <f t="shared" si="35"/>
        <v>199.14446459294413</v>
      </c>
      <c r="W18" s="504">
        <f t="shared" si="35"/>
        <v>0</v>
      </c>
      <c r="X18" s="504">
        <f t="shared" si="35"/>
        <v>0</v>
      </c>
      <c r="Y18" s="504">
        <f t="shared" si="35"/>
        <v>0</v>
      </c>
      <c r="Z18" s="504">
        <f t="shared" si="5"/>
        <v>-67.642621362871054</v>
      </c>
      <c r="AA18" s="629">
        <f t="shared" si="6"/>
        <v>3.8691863439810894</v>
      </c>
      <c r="AB18" s="629">
        <f t="shared" si="7"/>
        <v>3.4185516111034171</v>
      </c>
      <c r="AC18" s="629">
        <f t="shared" si="8"/>
        <v>3.1181284558516555</v>
      </c>
      <c r="AD18" s="629">
        <f t="shared" si="9"/>
        <v>2.8177053005998336</v>
      </c>
      <c r="AE18" s="629">
        <f t="shared" si="10"/>
        <v>2.3670705677222217</v>
      </c>
      <c r="AF18" s="629">
        <f t="shared" si="11"/>
        <v>1.9164358348445492</v>
      </c>
      <c r="AG18" s="629">
        <f t="shared" si="12"/>
        <v>1.616012679592727</v>
      </c>
      <c r="AH18" s="629">
        <f t="shared" si="13"/>
        <v>1.3155895243409652</v>
      </c>
      <c r="AI18" s="629">
        <f t="shared" si="19"/>
        <v>0.86495479146329268</v>
      </c>
      <c r="AJ18" s="629">
        <f t="shared" si="20"/>
        <v>0.41432005858562032</v>
      </c>
      <c r="AK18" s="629"/>
      <c r="AL18" s="629"/>
      <c r="AM18" s="629"/>
      <c r="AN18" s="509">
        <f t="shared" si="14"/>
        <v>-0.15021157762588988</v>
      </c>
      <c r="AO18" t="s">
        <v>851</v>
      </c>
      <c r="BG18" s="518"/>
    </row>
    <row r="19" spans="6:59" x14ac:dyDescent="0.25">
      <c r="F19" s="473" t="e" vm="6">
        <v>#VALUE!</v>
      </c>
      <c r="G19" s="474" t="s">
        <v>815</v>
      </c>
      <c r="H19" s="474" t="s">
        <v>816</v>
      </c>
      <c r="I19" s="474" t="s">
        <v>817</v>
      </c>
      <c r="J19" s="475" t="s">
        <v>818</v>
      </c>
      <c r="K19" s="507">
        <f>+D41+D40</f>
        <v>30.759999999999998</v>
      </c>
      <c r="M19" s="507">
        <f>+AC41+AC40</f>
        <v>11630.082572906918</v>
      </c>
      <c r="N19" s="507">
        <f t="shared" ref="N19:X19" si="36">+AD41+AD40</f>
        <v>9640.5228169767361</v>
      </c>
      <c r="O19" s="507">
        <f t="shared" si="36"/>
        <v>8314.1496463567019</v>
      </c>
      <c r="P19" s="507">
        <f t="shared" si="36"/>
        <v>6987.7764757366676</v>
      </c>
      <c r="Q19" s="507">
        <f t="shared" si="36"/>
        <v>4998.2167198064853</v>
      </c>
      <c r="R19" s="507">
        <f t="shared" si="36"/>
        <v>3008.6569638763322</v>
      </c>
      <c r="S19" s="507">
        <f t="shared" si="36"/>
        <v>882.392134489608</v>
      </c>
      <c r="T19" s="507">
        <f t="shared" si="36"/>
        <v>749.16429738342413</v>
      </c>
      <c r="U19" s="507">
        <f t="shared" si="36"/>
        <v>549.32254172416287</v>
      </c>
      <c r="V19" s="507">
        <f t="shared" si="36"/>
        <v>349.48078606487252</v>
      </c>
      <c r="W19" s="504">
        <f t="shared" si="36"/>
        <v>216.25294895868865</v>
      </c>
      <c r="X19" s="504">
        <f t="shared" si="36"/>
        <v>83.025111852504779</v>
      </c>
      <c r="Y19" s="504">
        <f>+AO41+AO40</f>
        <v>0</v>
      </c>
      <c r="Z19" s="504">
        <f t="shared" si="5"/>
        <v>-400.346974884205</v>
      </c>
      <c r="AA19" s="629">
        <f t="shared" si="6"/>
        <v>24.196386792932845</v>
      </c>
      <c r="AB19" s="629">
        <f t="shared" si="7"/>
        <v>20.057107720720101</v>
      </c>
      <c r="AC19" s="629">
        <f t="shared" si="8"/>
        <v>17.297588339245117</v>
      </c>
      <c r="AD19" s="629">
        <f t="shared" si="9"/>
        <v>14.538068957770138</v>
      </c>
      <c r="AE19" s="629">
        <f t="shared" si="10"/>
        <v>10.398789885557393</v>
      </c>
      <c r="AF19" s="629">
        <f t="shared" si="11"/>
        <v>6.2595108133447104</v>
      </c>
      <c r="AG19" s="629">
        <f t="shared" si="12"/>
        <v>1.8358168358056295</v>
      </c>
      <c r="AH19" s="629">
        <f t="shared" si="13"/>
        <v>1.5586363207062142</v>
      </c>
      <c r="AI19" s="629">
        <f t="shared" si="19"/>
        <v>1.1428655480571208</v>
      </c>
      <c r="AJ19" s="629">
        <f t="shared" si="20"/>
        <v>0.7270947754079673</v>
      </c>
      <c r="AK19" s="629">
        <f t="shared" si="21"/>
        <v>0.44991426030855169</v>
      </c>
      <c r="AL19" s="629">
        <f t="shared" si="22"/>
        <v>0.1727337452091362</v>
      </c>
      <c r="AM19" s="629"/>
      <c r="AN19" s="509">
        <f t="shared" si="14"/>
        <v>-0.92350020111029185</v>
      </c>
      <c r="AO19" t="s">
        <v>818</v>
      </c>
    </row>
    <row r="20" spans="6:59" x14ac:dyDescent="0.25">
      <c r="F20" s="473" t="e" vm="6">
        <v>#VALUE!</v>
      </c>
      <c r="G20" s="474" t="s">
        <v>815</v>
      </c>
      <c r="H20" s="474" t="s">
        <v>819</v>
      </c>
      <c r="I20" s="474" t="s">
        <v>817</v>
      </c>
      <c r="J20" s="475" t="s">
        <v>820</v>
      </c>
      <c r="K20" s="507">
        <f>+D66</f>
        <v>5.59</v>
      </c>
      <c r="M20" s="507">
        <f>+AC66</f>
        <v>1493.6552899376111</v>
      </c>
      <c r="N20" s="507">
        <f t="shared" ref="N20:Y20" si="37">+AD66</f>
        <v>1319.8699844136281</v>
      </c>
      <c r="O20" s="507">
        <f t="shared" si="37"/>
        <v>1204.0131140643207</v>
      </c>
      <c r="P20" s="507">
        <f t="shared" si="37"/>
        <v>1088.1562437149987</v>
      </c>
      <c r="Q20" s="507">
        <f t="shared" si="37"/>
        <v>914.37093819101574</v>
      </c>
      <c r="R20" s="507">
        <f t="shared" si="37"/>
        <v>740.58563266703277</v>
      </c>
      <c r="S20" s="507">
        <f t="shared" si="37"/>
        <v>624.72876231772534</v>
      </c>
      <c r="T20" s="507">
        <f t="shared" si="37"/>
        <v>508.87189196840336</v>
      </c>
      <c r="U20" s="507">
        <f t="shared" si="37"/>
        <v>335.08658644442039</v>
      </c>
      <c r="V20" s="507">
        <f t="shared" si="37"/>
        <v>161.30128092043742</v>
      </c>
      <c r="W20" s="504">
        <f t="shared" si="37"/>
        <v>45.444410571129993</v>
      </c>
      <c r="X20" s="504">
        <f t="shared" si="37"/>
        <v>0</v>
      </c>
      <c r="Y20" s="504">
        <f t="shared" si="37"/>
        <v>0</v>
      </c>
      <c r="Z20" s="504">
        <f t="shared" si="5"/>
        <v>-53.917833753955819</v>
      </c>
      <c r="AA20" s="629">
        <f t="shared" si="6"/>
        <v>3.1075498307151999</v>
      </c>
      <c r="AB20" s="629">
        <f t="shared" si="7"/>
        <v>2.7459895025725531</v>
      </c>
      <c r="AC20" s="629">
        <f t="shared" si="8"/>
        <v>2.5049492838108196</v>
      </c>
      <c r="AD20" s="629">
        <f t="shared" si="9"/>
        <v>2.263909065049055</v>
      </c>
      <c r="AE20" s="629">
        <f t="shared" si="10"/>
        <v>1.9023487369064083</v>
      </c>
      <c r="AF20" s="629">
        <f t="shared" si="11"/>
        <v>1.5407884087637616</v>
      </c>
      <c r="AG20" s="629">
        <f t="shared" si="12"/>
        <v>1.2997481900020276</v>
      </c>
      <c r="AH20" s="629">
        <f t="shared" si="13"/>
        <v>1.0587079712402634</v>
      </c>
      <c r="AI20" s="629">
        <f t="shared" si="19"/>
        <v>0.69714764309761668</v>
      </c>
      <c r="AJ20" s="629">
        <f t="shared" si="20"/>
        <v>0.33558731495497007</v>
      </c>
      <c r="AK20" s="629">
        <f t="shared" si="21"/>
        <v>9.4547096193235938E-2</v>
      </c>
      <c r="AL20" s="629"/>
      <c r="AM20" s="629"/>
      <c r="AN20" s="509">
        <f t="shared" si="14"/>
        <v>-0.12052010938087906</v>
      </c>
      <c r="AO20" t="s">
        <v>820</v>
      </c>
    </row>
    <row r="21" spans="6:59" x14ac:dyDescent="0.25">
      <c r="F21" s="473" t="e" vm="7">
        <v>#VALUE!</v>
      </c>
      <c r="G21" s="474" t="s">
        <v>815</v>
      </c>
      <c r="H21" s="474" t="s">
        <v>853</v>
      </c>
      <c r="I21" s="474" t="s">
        <v>817</v>
      </c>
      <c r="J21" s="475" t="s">
        <v>854</v>
      </c>
      <c r="K21" s="507">
        <f>+D68</f>
        <v>90.73</v>
      </c>
      <c r="M21" s="507">
        <f>+AC68</f>
        <v>17779.047619047575</v>
      </c>
      <c r="N21" s="507">
        <f t="shared" ref="N21:Y21" si="38">+AD68</f>
        <v>16016.761904761894</v>
      </c>
      <c r="O21" s="507">
        <f t="shared" si="38"/>
        <v>14841.904761904618</v>
      </c>
      <c r="P21" s="507">
        <f t="shared" si="38"/>
        <v>13667.047619047575</v>
      </c>
      <c r="Q21" s="507">
        <f t="shared" si="38"/>
        <v>11904.761904761894</v>
      </c>
      <c r="R21" s="507">
        <f t="shared" si="38"/>
        <v>10142.476190476213</v>
      </c>
      <c r="S21" s="507">
        <f t="shared" si="38"/>
        <v>8967.6190476189367</v>
      </c>
      <c r="T21" s="507">
        <f t="shared" si="38"/>
        <v>7792.7619047618937</v>
      </c>
      <c r="U21" s="507">
        <f t="shared" si="38"/>
        <v>6030.4761904762127</v>
      </c>
      <c r="V21" s="507">
        <f t="shared" si="38"/>
        <v>4268.1904761905316</v>
      </c>
      <c r="W21" s="504">
        <f t="shared" si="38"/>
        <v>3093.3333333332557</v>
      </c>
      <c r="X21" s="504">
        <f t="shared" si="38"/>
        <v>1918.4761904762127</v>
      </c>
      <c r="Y21" s="504">
        <f t="shared" si="38"/>
        <v>156.19047619053163</v>
      </c>
      <c r="Z21" s="504">
        <f t="shared" si="5"/>
        <v>-587.42857142856838</v>
      </c>
      <c r="AA21" s="629">
        <f t="shared" si="6"/>
        <v>36.989308571428481</v>
      </c>
      <c r="AB21" s="629">
        <f t="shared" si="7"/>
        <v>33.322873142857119</v>
      </c>
      <c r="AC21" s="629">
        <f t="shared" si="8"/>
        <v>30.878582857142554</v>
      </c>
      <c r="AD21" s="629">
        <f t="shared" si="9"/>
        <v>28.434292571428479</v>
      </c>
      <c r="AE21" s="629">
        <f t="shared" si="10"/>
        <v>24.767857142857121</v>
      </c>
      <c r="AF21" s="629">
        <f t="shared" si="11"/>
        <v>21.10142171428576</v>
      </c>
      <c r="AG21" s="629">
        <f t="shared" si="12"/>
        <v>18.657131428571201</v>
      </c>
      <c r="AH21" s="629">
        <f t="shared" si="13"/>
        <v>16.212841142857119</v>
      </c>
      <c r="AI21" s="629">
        <f t="shared" si="19"/>
        <v>12.546405714285759</v>
      </c>
      <c r="AJ21" s="629">
        <f t="shared" si="20"/>
        <v>8.8799702857144016</v>
      </c>
      <c r="AK21" s="629">
        <f t="shared" si="21"/>
        <v>6.435679999999838</v>
      </c>
      <c r="AL21" s="629">
        <f t="shared" si="22"/>
        <v>3.9913897142857606</v>
      </c>
      <c r="AM21" s="629">
        <f t="shared" si="23"/>
        <v>0.32495428571440105</v>
      </c>
      <c r="AN21" s="509">
        <f t="shared" si="14"/>
        <v>-1.2221451428571364</v>
      </c>
      <c r="AO21" t="s">
        <v>854</v>
      </c>
    </row>
    <row r="22" spans="6:59" x14ac:dyDescent="0.25">
      <c r="F22" s="473" t="e" vm="7">
        <v>#VALUE!</v>
      </c>
      <c r="G22" s="474" t="s">
        <v>815</v>
      </c>
      <c r="H22" s="474" t="s">
        <v>855</v>
      </c>
      <c r="I22" s="474" t="s">
        <v>817</v>
      </c>
      <c r="J22" s="475" t="s">
        <v>856</v>
      </c>
      <c r="K22" s="507">
        <f>+D60+D59</f>
        <v>58.34</v>
      </c>
      <c r="M22" s="507">
        <f>+AC60+AC59</f>
        <v>28319.723846840905</v>
      </c>
      <c r="N22" s="507">
        <f t="shared" ref="N22:Y22" si="39">+AD60+AD59</f>
        <v>23499.695635298383</v>
      </c>
      <c r="O22" s="507">
        <f t="shared" si="39"/>
        <v>20286.34349427023</v>
      </c>
      <c r="P22" s="507">
        <f t="shared" si="39"/>
        <v>17072.991353242192</v>
      </c>
      <c r="Q22" s="507">
        <f t="shared" si="39"/>
        <v>12252.963141699671</v>
      </c>
      <c r="R22" s="507">
        <f t="shared" si="39"/>
        <v>7432.9349301574985</v>
      </c>
      <c r="S22" s="507">
        <f t="shared" si="39"/>
        <v>4219.5827891294612</v>
      </c>
      <c r="T22" s="507">
        <f t="shared" si="39"/>
        <v>1006.2306481009582</v>
      </c>
      <c r="U22" s="507">
        <f t="shared" si="39"/>
        <v>0</v>
      </c>
      <c r="V22" s="507">
        <f t="shared" si="39"/>
        <v>0</v>
      </c>
      <c r="W22" s="504">
        <f t="shared" si="39"/>
        <v>0</v>
      </c>
      <c r="X22" s="504">
        <f t="shared" si="39"/>
        <v>0</v>
      </c>
      <c r="Y22" s="504">
        <f t="shared" si="39"/>
        <v>0</v>
      </c>
      <c r="Z22" s="504">
        <f t="shared" si="5"/>
        <v>-996.7596044194355</v>
      </c>
      <c r="AA22" s="629">
        <f t="shared" si="6"/>
        <v>58.919185463352498</v>
      </c>
      <c r="AB22" s="629">
        <f t="shared" si="7"/>
        <v>48.891116769238288</v>
      </c>
      <c r="AC22" s="629">
        <f t="shared" si="8"/>
        <v>42.205737639829209</v>
      </c>
      <c r="AD22" s="629">
        <f t="shared" si="9"/>
        <v>35.520358510420387</v>
      </c>
      <c r="AE22" s="629">
        <f t="shared" si="10"/>
        <v>25.492289816306165</v>
      </c>
      <c r="AF22" s="629">
        <f t="shared" si="11"/>
        <v>15.464221122192678</v>
      </c>
      <c r="AG22" s="629">
        <f t="shared" si="12"/>
        <v>8.7788419927838444</v>
      </c>
      <c r="AH22" s="629">
        <f t="shared" si="13"/>
        <v>2.0934628633740435</v>
      </c>
      <c r="AI22" s="629"/>
      <c r="AJ22" s="629"/>
      <c r="AK22" s="629"/>
      <c r="AL22" s="629"/>
      <c r="AM22" s="629"/>
      <c r="AN22" s="509">
        <f t="shared" si="14"/>
        <v>-3.3426895647045884</v>
      </c>
      <c r="AO22" t="s">
        <v>856</v>
      </c>
    </row>
    <row r="23" spans="6:59" x14ac:dyDescent="0.25">
      <c r="F23" s="473" t="e" vm="8">
        <v>#VALUE!</v>
      </c>
      <c r="G23" s="474" t="s">
        <v>815</v>
      </c>
      <c r="H23" s="474" t="s">
        <v>829</v>
      </c>
      <c r="I23" s="474" t="s">
        <v>830</v>
      </c>
      <c r="J23" s="475" t="s">
        <v>831</v>
      </c>
      <c r="K23" s="507">
        <f>+D53+D54+D55</f>
        <v>11.25</v>
      </c>
      <c r="M23" s="507">
        <f>+AC53+AC54+AC55</f>
        <v>3968.89577214374</v>
      </c>
      <c r="N23" s="507">
        <f t="shared" ref="N23:Y23" si="40">+AD53+AD54+AD55</f>
        <v>3300.834962928031</v>
      </c>
      <c r="O23" s="507">
        <f t="shared" si="40"/>
        <v>2855.4610901176165</v>
      </c>
      <c r="P23" s="507">
        <f t="shared" si="40"/>
        <v>2410.0872173071148</v>
      </c>
      <c r="Q23" s="507">
        <f t="shared" si="40"/>
        <v>1742.026408091464</v>
      </c>
      <c r="R23" s="507">
        <f t="shared" si="40"/>
        <v>1169.8104944504848</v>
      </c>
      <c r="S23" s="507">
        <f t="shared" si="40"/>
        <v>855.62911470271138</v>
      </c>
      <c r="T23" s="507">
        <f t="shared" si="40"/>
        <v>541.44773495493791</v>
      </c>
      <c r="U23" s="507">
        <f t="shared" si="40"/>
        <v>88.197440591869963</v>
      </c>
      <c r="V23" s="507">
        <f t="shared" si="40"/>
        <v>46.642343160281598</v>
      </c>
      <c r="W23" s="504">
        <f t="shared" si="40"/>
        <v>18.938944872556021</v>
      </c>
      <c r="X23" s="504">
        <f t="shared" si="40"/>
        <v>0</v>
      </c>
      <c r="Y23" s="504">
        <f t="shared" si="40"/>
        <v>0</v>
      </c>
      <c r="Z23" s="504">
        <f t="shared" si="5"/>
        <v>-138.73852930552206</v>
      </c>
      <c r="AA23" s="629">
        <f t="shared" si="6"/>
        <v>8.2572876539450526</v>
      </c>
      <c r="AB23" s="629">
        <f t="shared" si="7"/>
        <v>6.8673871403717692</v>
      </c>
      <c r="AC23" s="629">
        <f t="shared" si="8"/>
        <v>5.9407867979897011</v>
      </c>
      <c r="AD23" s="629">
        <f t="shared" si="9"/>
        <v>5.0141864556074527</v>
      </c>
      <c r="AE23" s="629">
        <f t="shared" si="10"/>
        <v>3.6242859420342906</v>
      </c>
      <c r="AF23" s="629">
        <f t="shared" si="11"/>
        <v>2.4337907337042339</v>
      </c>
      <c r="AG23" s="629">
        <f t="shared" si="12"/>
        <v>1.780136373138991</v>
      </c>
      <c r="AH23" s="629">
        <f t="shared" si="13"/>
        <v>1.1264820125737482</v>
      </c>
      <c r="AI23" s="629">
        <f t="shared" si="19"/>
        <v>0.18349477515138546</v>
      </c>
      <c r="AJ23" s="629">
        <f t="shared" si="20"/>
        <v>9.7039394944965857E-2</v>
      </c>
      <c r="AK23" s="629"/>
      <c r="AL23" s="629"/>
      <c r="AM23" s="629"/>
      <c r="AN23" s="509">
        <f t="shared" si="14"/>
        <v>-0.37469510191372613</v>
      </c>
      <c r="AO23" t="s">
        <v>831</v>
      </c>
    </row>
    <row r="24" spans="6:59" x14ac:dyDescent="0.25">
      <c r="F24" s="473" t="e" vm="8">
        <v>#VALUE!</v>
      </c>
      <c r="G24" s="474" t="s">
        <v>815</v>
      </c>
      <c r="H24" s="474" t="s">
        <v>832</v>
      </c>
      <c r="I24" s="474" t="s">
        <v>830</v>
      </c>
      <c r="J24" s="475" t="s">
        <v>833</v>
      </c>
      <c r="K24" s="507">
        <f>+D65</f>
        <v>24.09</v>
      </c>
      <c r="M24" s="507">
        <f>+AC65</f>
        <v>3699.072721168428</v>
      </c>
      <c r="N24" s="507">
        <f t="shared" ref="N24:Y24" si="41">+AD65</f>
        <v>3390.493496084353</v>
      </c>
      <c r="O24" s="507">
        <f t="shared" si="41"/>
        <v>3184.7740126949793</v>
      </c>
      <c r="P24" s="507">
        <f t="shared" si="41"/>
        <v>2979.0545293056057</v>
      </c>
      <c r="Q24" s="507">
        <f t="shared" si="41"/>
        <v>2670.4753042215307</v>
      </c>
      <c r="R24" s="507">
        <f t="shared" si="41"/>
        <v>2361.8960791374557</v>
      </c>
      <c r="S24" s="507">
        <f t="shared" si="41"/>
        <v>2156.1765957480529</v>
      </c>
      <c r="T24" s="507">
        <f t="shared" si="41"/>
        <v>1950.4571123586793</v>
      </c>
      <c r="U24" s="507">
        <f t="shared" si="41"/>
        <v>1641.8778872746043</v>
      </c>
      <c r="V24" s="507">
        <f t="shared" si="41"/>
        <v>1333.2986621905293</v>
      </c>
      <c r="W24" s="504">
        <f t="shared" si="41"/>
        <v>1127.5791788011556</v>
      </c>
      <c r="X24" s="504">
        <f t="shared" si="41"/>
        <v>921.85969541178201</v>
      </c>
      <c r="Y24" s="504">
        <f t="shared" si="41"/>
        <v>613.28047032770701</v>
      </c>
      <c r="Z24" s="504">
        <f t="shared" si="5"/>
        <v>-102.85974169469101</v>
      </c>
      <c r="AA24" s="629">
        <f t="shared" si="6"/>
        <v>7.6959207963909142</v>
      </c>
      <c r="AB24" s="629">
        <f t="shared" si="7"/>
        <v>7.0539217186034957</v>
      </c>
      <c r="AC24" s="629">
        <f t="shared" si="8"/>
        <v>6.6259223334119044</v>
      </c>
      <c r="AD24" s="629">
        <f t="shared" si="9"/>
        <v>6.1979229482203131</v>
      </c>
      <c r="AE24" s="629">
        <f t="shared" si="10"/>
        <v>5.5559238704328946</v>
      </c>
      <c r="AF24" s="629">
        <f t="shared" si="11"/>
        <v>4.9139247926454761</v>
      </c>
      <c r="AG24" s="629">
        <f t="shared" si="12"/>
        <v>4.4859254074538235</v>
      </c>
      <c r="AH24" s="629">
        <f t="shared" si="13"/>
        <v>4.0579260222622322</v>
      </c>
      <c r="AI24" s="629">
        <f t="shared" si="19"/>
        <v>3.4159269444748142</v>
      </c>
      <c r="AJ24" s="629">
        <f t="shared" si="20"/>
        <v>2.7739278666873961</v>
      </c>
      <c r="AK24" s="629">
        <f t="shared" si="21"/>
        <v>2.3459284814958048</v>
      </c>
      <c r="AL24" s="629">
        <f t="shared" si="22"/>
        <v>1.9179290963042124</v>
      </c>
      <c r="AM24" s="629">
        <f t="shared" si="23"/>
        <v>1.2759300185167946</v>
      </c>
      <c r="AN24" s="509">
        <f t="shared" si="14"/>
        <v>-0.21399969259580465</v>
      </c>
      <c r="AO24" t="s">
        <v>833</v>
      </c>
    </row>
    <row r="25" spans="6:59" x14ac:dyDescent="0.25">
      <c r="F25" s="473" t="e" vm="8">
        <v>#VALUE!</v>
      </c>
      <c r="G25" s="474" t="s">
        <v>815</v>
      </c>
      <c r="H25" s="474" t="s">
        <v>834</v>
      </c>
      <c r="I25" s="474" t="s">
        <v>830</v>
      </c>
      <c r="J25" s="480" t="s">
        <v>835</v>
      </c>
      <c r="K25" s="507">
        <f>+D67</f>
        <v>16.52</v>
      </c>
      <c r="M25" s="507">
        <f>+AC67</f>
        <v>3264.6760276460845</v>
      </c>
      <c r="N25" s="507">
        <f t="shared" ref="N25:Y25" si="42">+AD67</f>
        <v>2941.5687525040703</v>
      </c>
      <c r="O25" s="507">
        <f t="shared" si="42"/>
        <v>2726.1639024094038</v>
      </c>
      <c r="P25" s="507">
        <f t="shared" si="42"/>
        <v>2510.7590523147373</v>
      </c>
      <c r="Q25" s="507">
        <f t="shared" si="42"/>
        <v>2187.6517771727231</v>
      </c>
      <c r="R25" s="507">
        <f t="shared" si="42"/>
        <v>1864.5445020307088</v>
      </c>
      <c r="S25" s="507">
        <f t="shared" si="42"/>
        <v>1649.1396519360424</v>
      </c>
      <c r="T25" s="507">
        <f t="shared" si="42"/>
        <v>1433.7348018413759</v>
      </c>
      <c r="U25" s="507">
        <f t="shared" si="42"/>
        <v>1110.6275266993616</v>
      </c>
      <c r="V25" s="507">
        <f t="shared" si="42"/>
        <v>787.52025155734736</v>
      </c>
      <c r="W25" s="504">
        <f t="shared" si="42"/>
        <v>572.11540146268089</v>
      </c>
      <c r="X25" s="504">
        <f t="shared" si="42"/>
        <v>356.71055136801442</v>
      </c>
      <c r="Y25" s="504">
        <f t="shared" si="42"/>
        <v>33.603276226000162</v>
      </c>
      <c r="Z25" s="504">
        <f t="shared" si="5"/>
        <v>-107.70242504733608</v>
      </c>
      <c r="AA25" s="629">
        <f t="shared" si="6"/>
        <v>6.7921584755176792</v>
      </c>
      <c r="AB25" s="629">
        <f t="shared" si="7"/>
        <v>6.1199337895847181</v>
      </c>
      <c r="AC25" s="629">
        <f t="shared" si="8"/>
        <v>5.6717839989627645</v>
      </c>
      <c r="AD25" s="629">
        <f t="shared" si="9"/>
        <v>5.2236342083408118</v>
      </c>
      <c r="AE25" s="629">
        <f t="shared" si="10"/>
        <v>4.5514095224078499</v>
      </c>
      <c r="AF25" s="629">
        <f t="shared" si="11"/>
        <v>3.8791848364748893</v>
      </c>
      <c r="AG25" s="629">
        <f t="shared" si="12"/>
        <v>3.4310350458529362</v>
      </c>
      <c r="AH25" s="629">
        <f t="shared" si="13"/>
        <v>2.9828852552309821</v>
      </c>
      <c r="AI25" s="629">
        <f t="shared" si="19"/>
        <v>2.310660569298022</v>
      </c>
      <c r="AJ25" s="629">
        <f t="shared" si="20"/>
        <v>1.638435883365061</v>
      </c>
      <c r="AK25" s="629">
        <f t="shared" si="21"/>
        <v>1.1902860927431076</v>
      </c>
      <c r="AL25" s="629">
        <f t="shared" si="22"/>
        <v>0.742136302121154</v>
      </c>
      <c r="AM25" s="629">
        <f t="shared" si="23"/>
        <v>6.9911616188193332E-2</v>
      </c>
      <c r="AN25" s="509">
        <f t="shared" si="14"/>
        <v>-0.22407489531098276</v>
      </c>
      <c r="AO25" t="s">
        <v>835</v>
      </c>
    </row>
    <row r="27" spans="6:59" ht="18" customHeight="1" x14ac:dyDescent="0.25">
      <c r="M27" s="57"/>
      <c r="AM27" s="75">
        <f>+SUM(AA6:AM25)-SUM(AA20:AM20)</f>
        <v>5175.9134734434429</v>
      </c>
    </row>
    <row r="28" spans="6:59" x14ac:dyDescent="0.25">
      <c r="M28" s="57"/>
    </row>
    <row r="30" spans="6:59" x14ac:dyDescent="0.25">
      <c r="G30">
        <v>5800</v>
      </c>
      <c r="H30" t="s">
        <v>432</v>
      </c>
    </row>
    <row r="31" spans="6:59" x14ac:dyDescent="0.25">
      <c r="G31" s="485">
        <v>5800000</v>
      </c>
      <c r="H31" t="s">
        <v>452</v>
      </c>
    </row>
    <row r="32" spans="6:59" x14ac:dyDescent="0.25">
      <c r="G32">
        <v>5.7</v>
      </c>
      <c r="H32" t="s">
        <v>870</v>
      </c>
    </row>
    <row r="33" spans="1:41" x14ac:dyDescent="0.25">
      <c r="G33">
        <v>1</v>
      </c>
      <c r="H33" t="s">
        <v>871</v>
      </c>
    </row>
    <row r="34" spans="1:41" ht="15.75" x14ac:dyDescent="0.25">
      <c r="K34" s="633"/>
      <c r="L34" s="741" t="s">
        <v>1056</v>
      </c>
      <c r="M34" s="741"/>
      <c r="N34" s="741"/>
      <c r="O34" s="741"/>
      <c r="P34" s="741"/>
      <c r="Q34" s="741"/>
      <c r="R34" s="741"/>
      <c r="S34" s="741"/>
      <c r="T34" s="741"/>
      <c r="U34" s="741"/>
      <c r="V34" s="633"/>
      <c r="W34" s="633"/>
      <c r="X34" s="633"/>
      <c r="AC34" s="742" t="s">
        <v>872</v>
      </c>
      <c r="AD34" s="742"/>
      <c r="AE34" s="742"/>
      <c r="AF34" s="742"/>
      <c r="AG34" s="742"/>
      <c r="AH34" s="742"/>
      <c r="AI34" s="742"/>
      <c r="AJ34" s="742"/>
      <c r="AK34" s="742"/>
      <c r="AL34" s="742"/>
      <c r="AM34" s="51"/>
      <c r="AN34" s="51"/>
      <c r="AO34" s="51"/>
    </row>
    <row r="35" spans="1:41" x14ac:dyDescent="0.25">
      <c r="D35" s="486" t="s">
        <v>873</v>
      </c>
      <c r="E35" s="486" t="s">
        <v>874</v>
      </c>
      <c r="F35" s="486" t="s">
        <v>875</v>
      </c>
      <c r="G35" s="486" t="s">
        <v>876</v>
      </c>
      <c r="H35" s="486" t="s">
        <v>877</v>
      </c>
      <c r="I35" s="486" t="s">
        <v>878</v>
      </c>
      <c r="J35" s="487" t="s">
        <v>879</v>
      </c>
      <c r="K35" s="634">
        <v>2019</v>
      </c>
      <c r="L35" s="635">
        <v>2020</v>
      </c>
      <c r="M35" s="636">
        <v>2023</v>
      </c>
      <c r="N35" s="636">
        <v>2025</v>
      </c>
      <c r="O35" s="636">
        <v>2027</v>
      </c>
      <c r="P35" s="636">
        <v>2030</v>
      </c>
      <c r="Q35" s="636">
        <v>2033</v>
      </c>
      <c r="R35" s="636">
        <v>2035</v>
      </c>
      <c r="S35" s="636">
        <v>2037</v>
      </c>
      <c r="T35" s="636">
        <v>2040</v>
      </c>
      <c r="U35" s="636">
        <v>2043</v>
      </c>
      <c r="V35" s="636">
        <v>2045</v>
      </c>
      <c r="W35" s="636">
        <v>2047</v>
      </c>
      <c r="X35" s="637">
        <v>2050</v>
      </c>
      <c r="Y35" s="494" t="s">
        <v>909</v>
      </c>
      <c r="Z35" s="494" t="s">
        <v>910</v>
      </c>
      <c r="AA35" s="498" t="s">
        <v>911</v>
      </c>
      <c r="AC35" s="500">
        <v>2020</v>
      </c>
      <c r="AD35" s="501">
        <v>2023</v>
      </c>
      <c r="AE35" s="501">
        <v>2025</v>
      </c>
      <c r="AF35" s="501">
        <v>2027</v>
      </c>
      <c r="AG35" s="501">
        <v>2030</v>
      </c>
      <c r="AH35" s="501">
        <v>2033</v>
      </c>
      <c r="AI35" s="501">
        <v>2035</v>
      </c>
      <c r="AJ35" s="501">
        <v>2037</v>
      </c>
      <c r="AK35" s="501">
        <v>2040</v>
      </c>
      <c r="AL35" s="501">
        <v>2043</v>
      </c>
      <c r="AM35" s="501">
        <v>2045</v>
      </c>
      <c r="AN35" s="501">
        <v>2047</v>
      </c>
      <c r="AO35" s="502">
        <v>2050</v>
      </c>
    </row>
    <row r="36" spans="1:41" x14ac:dyDescent="0.25">
      <c r="A36" s="57"/>
      <c r="B36" t="s">
        <v>880</v>
      </c>
      <c r="C36" t="s">
        <v>846</v>
      </c>
      <c r="D36" s="486">
        <v>89.87</v>
      </c>
      <c r="E36" s="488">
        <f t="shared" ref="E36:E68" si="43">+H36/D36</f>
        <v>1</v>
      </c>
      <c r="F36" s="488">
        <f t="shared" ref="F36:F68" si="44">100%-E36</f>
        <v>0</v>
      </c>
      <c r="G36" s="488" t="str">
        <f t="shared" ref="G36:G68" si="45">+IF(AND(E36&gt;0,F36&gt;0),"Oil and Gas",IF(E36&gt;0,"Oil","Gas"))</f>
        <v>Oil</v>
      </c>
      <c r="H36" s="489">
        <f>+D36</f>
        <v>89.87</v>
      </c>
      <c r="I36" s="121">
        <v>0</v>
      </c>
      <c r="J36" s="490">
        <f t="shared" ref="J36:J68" si="46">+F36*(H36*1000000*$G$30)/(1000000000)</f>
        <v>0</v>
      </c>
      <c r="K36" s="638">
        <v>19000</v>
      </c>
      <c r="L36" s="639">
        <v>9590.1639344262294</v>
      </c>
      <c r="M36" s="640">
        <v>19016.393442622953</v>
      </c>
      <c r="N36" s="640">
        <v>16065.573770491805</v>
      </c>
      <c r="O36" s="640"/>
      <c r="P36" s="640">
        <v>11065.573770491806</v>
      </c>
      <c r="Q36" s="640"/>
      <c r="R36" s="640">
        <v>7786.8852459016416</v>
      </c>
      <c r="S36" s="640"/>
      <c r="T36" s="640">
        <v>5409.8360655737706</v>
      </c>
      <c r="U36" s="640"/>
      <c r="V36" s="640">
        <v>3852.4590163934445</v>
      </c>
      <c r="W36" s="640">
        <v>3114.7540983606559</v>
      </c>
      <c r="X36" s="641"/>
      <c r="Y36" s="495">
        <f t="shared" ref="Y36:Y68" si="47">+SLOPE(L36:X36,$L$35:$X$35)</f>
        <v>-466.42815913267287</v>
      </c>
      <c r="Z36" s="495">
        <f>+INTERCEPT(L36:X36,$L$35:$X$35)</f>
        <v>957794.45595464832</v>
      </c>
      <c r="AA36" s="499">
        <v>2048</v>
      </c>
      <c r="AB36" s="121" t="s">
        <v>846</v>
      </c>
      <c r="AC36" s="503">
        <f>+IF(AC$35&lt;$AA36,$Y36*AC$35+$Z36,0)</f>
        <v>15609.574506649165</v>
      </c>
      <c r="AD36" s="503">
        <f t="shared" ref="AD36:AO51" si="48">+IF(AD$35&lt;$AA36,$Y36*AD$35+$Z36,0)</f>
        <v>14210.290029251133</v>
      </c>
      <c r="AE36" s="503">
        <f t="shared" si="48"/>
        <v>13277.433710985701</v>
      </c>
      <c r="AF36" s="503">
        <f t="shared" si="48"/>
        <v>12344.577392720385</v>
      </c>
      <c r="AG36" s="503">
        <f t="shared" si="48"/>
        <v>10945.292915322352</v>
      </c>
      <c r="AH36" s="503">
        <f t="shared" si="48"/>
        <v>9546.0084379243199</v>
      </c>
      <c r="AI36" s="503">
        <f t="shared" si="48"/>
        <v>8613.1521196590038</v>
      </c>
      <c r="AJ36" s="503">
        <f t="shared" si="48"/>
        <v>7680.2958013936877</v>
      </c>
      <c r="AK36" s="503">
        <f t="shared" si="48"/>
        <v>6281.0113239956554</v>
      </c>
      <c r="AL36" s="503">
        <f t="shared" si="48"/>
        <v>4881.7268465976231</v>
      </c>
      <c r="AM36" s="503">
        <f t="shared" si="48"/>
        <v>3948.870528332307</v>
      </c>
      <c r="AN36" s="503">
        <f t="shared" si="48"/>
        <v>3016.0142100669909</v>
      </c>
      <c r="AO36" s="503">
        <f t="shared" si="48"/>
        <v>0</v>
      </c>
    </row>
    <row r="37" spans="1:41" x14ac:dyDescent="0.25">
      <c r="B37" t="s">
        <v>880</v>
      </c>
      <c r="C37" t="s">
        <v>848</v>
      </c>
      <c r="D37" s="486">
        <v>2.5</v>
      </c>
      <c r="E37" s="488">
        <f t="shared" si="43"/>
        <v>0.99529999999999996</v>
      </c>
      <c r="F37" s="488">
        <f t="shared" si="44"/>
        <v>4.7000000000000375E-3</v>
      </c>
      <c r="G37" s="488" t="str">
        <f t="shared" si="45"/>
        <v>Oil and Gas</v>
      </c>
      <c r="H37" s="489">
        <f>+D37*99.53%</f>
        <v>2.4882499999999999</v>
      </c>
      <c r="I37" s="121">
        <v>7.0000000000000007E-2</v>
      </c>
      <c r="J37" s="490">
        <f t="shared" si="46"/>
        <v>6.7829695000000537E-2</v>
      </c>
      <c r="K37" s="638">
        <v>3900</v>
      </c>
      <c r="L37" s="642">
        <v>2895.7055214723941</v>
      </c>
      <c r="M37" s="643">
        <v>1104.2944785276086</v>
      </c>
      <c r="N37" s="643">
        <v>638.03680981595244</v>
      </c>
      <c r="O37" s="643"/>
      <c r="P37" s="643">
        <v>245.39877300613625</v>
      </c>
      <c r="Q37" s="643"/>
      <c r="R37" s="643"/>
      <c r="S37" s="643"/>
      <c r="T37" s="643"/>
      <c r="U37" s="643"/>
      <c r="V37" s="643"/>
      <c r="W37" s="643"/>
      <c r="X37" s="644"/>
      <c r="Y37" s="495">
        <f t="shared" si="47"/>
        <v>-245.6302812825559</v>
      </c>
      <c r="Z37" s="495">
        <f t="shared" ref="Z37:Z68" si="49">+INTERCEPT(L37:X37,$L$35:$X$35)</f>
        <v>498499.36335223995</v>
      </c>
      <c r="AA37" s="494">
        <v>2029</v>
      </c>
      <c r="AB37" s="121" t="s">
        <v>848</v>
      </c>
      <c r="AC37" s="503">
        <f t="shared" ref="AC37:AO52" si="50">+IF(AC$35&lt;$AA37,$Y37*AC$35+$Z37,0)</f>
        <v>2326.1951614770223</v>
      </c>
      <c r="AD37" s="503">
        <f t="shared" si="48"/>
        <v>1589.3043176293722</v>
      </c>
      <c r="AE37" s="503">
        <f t="shared" si="48"/>
        <v>1098.0437550642528</v>
      </c>
      <c r="AF37" s="503">
        <f t="shared" si="48"/>
        <v>606.78319249913329</v>
      </c>
      <c r="AG37" s="503">
        <f t="shared" si="48"/>
        <v>0</v>
      </c>
      <c r="AH37" s="503">
        <f t="shared" si="48"/>
        <v>0</v>
      </c>
      <c r="AI37" s="503">
        <f t="shared" si="48"/>
        <v>0</v>
      </c>
      <c r="AJ37" s="503">
        <f t="shared" si="48"/>
        <v>0</v>
      </c>
      <c r="AK37" s="503">
        <f t="shared" si="48"/>
        <v>0</v>
      </c>
      <c r="AL37" s="503">
        <f t="shared" si="48"/>
        <v>0</v>
      </c>
      <c r="AM37" s="503">
        <f t="shared" si="48"/>
        <v>0</v>
      </c>
      <c r="AN37" s="503">
        <f t="shared" si="48"/>
        <v>0</v>
      </c>
      <c r="AO37" s="503">
        <f t="shared" si="48"/>
        <v>0</v>
      </c>
    </row>
    <row r="38" spans="1:41" x14ac:dyDescent="0.25">
      <c r="B38" t="s">
        <v>880</v>
      </c>
      <c r="C38" t="s">
        <v>881</v>
      </c>
      <c r="D38" s="486">
        <v>1.37</v>
      </c>
      <c r="E38" s="488">
        <f t="shared" si="43"/>
        <v>0.98879999999999979</v>
      </c>
      <c r="F38" s="488">
        <f t="shared" si="44"/>
        <v>1.120000000000021E-2</v>
      </c>
      <c r="G38" s="488" t="str">
        <f t="shared" si="45"/>
        <v>Oil and Gas</v>
      </c>
      <c r="H38" s="491">
        <f>+D38*98.88%</f>
        <v>1.3546559999999999</v>
      </c>
      <c r="I38" s="121">
        <v>1.5344000000000003E-2</v>
      </c>
      <c r="J38" s="490">
        <f t="shared" si="46"/>
        <v>8.7998453760001649E-2</v>
      </c>
      <c r="K38" s="638">
        <v>310</v>
      </c>
      <c r="L38" s="642">
        <v>390.47502763283035</v>
      </c>
      <c r="M38" s="643">
        <v>344.4663650618204</v>
      </c>
      <c r="N38" s="643">
        <v>275.72230933347043</v>
      </c>
      <c r="O38" s="643"/>
      <c r="P38" s="643">
        <v>198.10040356784828</v>
      </c>
      <c r="Q38" s="643"/>
      <c r="R38" s="643">
        <v>123.34138755365916</v>
      </c>
      <c r="S38" s="643"/>
      <c r="T38" s="643">
        <v>59.918258232013045</v>
      </c>
      <c r="U38" s="643"/>
      <c r="V38" s="643"/>
      <c r="W38" s="643"/>
      <c r="X38" s="644"/>
      <c r="Y38" s="495">
        <f t="shared" si="47"/>
        <v>-16.69240967929418</v>
      </c>
      <c r="Z38" s="495">
        <f t="shared" si="49"/>
        <v>34098.121129571613</v>
      </c>
      <c r="AA38" s="494">
        <v>2041</v>
      </c>
      <c r="AB38" s="121" t="s">
        <v>881</v>
      </c>
      <c r="AC38" s="503">
        <f t="shared" si="50"/>
        <v>379.45357739736937</v>
      </c>
      <c r="AD38" s="503">
        <f t="shared" si="48"/>
        <v>329.37634835948847</v>
      </c>
      <c r="AE38" s="503">
        <f t="shared" si="48"/>
        <v>295.99152900090121</v>
      </c>
      <c r="AF38" s="503">
        <f t="shared" si="48"/>
        <v>262.60670964231394</v>
      </c>
      <c r="AG38" s="503">
        <f t="shared" si="48"/>
        <v>212.52948060442577</v>
      </c>
      <c r="AH38" s="503">
        <f t="shared" si="48"/>
        <v>162.45225156654487</v>
      </c>
      <c r="AI38" s="503">
        <f t="shared" si="48"/>
        <v>129.06743220795761</v>
      </c>
      <c r="AJ38" s="503">
        <f t="shared" si="48"/>
        <v>95.682612849370344</v>
      </c>
      <c r="AK38" s="503">
        <f t="shared" si="48"/>
        <v>45.605383811489446</v>
      </c>
      <c r="AL38" s="503">
        <f t="shared" si="48"/>
        <v>0</v>
      </c>
      <c r="AM38" s="503">
        <f t="shared" si="48"/>
        <v>0</v>
      </c>
      <c r="AN38" s="503">
        <f t="shared" si="48"/>
        <v>0</v>
      </c>
      <c r="AO38" s="503">
        <f t="shared" si="48"/>
        <v>0</v>
      </c>
    </row>
    <row r="39" spans="1:41" x14ac:dyDescent="0.25">
      <c r="B39" t="s">
        <v>880</v>
      </c>
      <c r="C39" t="s">
        <v>839</v>
      </c>
      <c r="D39" s="486">
        <v>14.92</v>
      </c>
      <c r="E39" s="488">
        <f t="shared" si="43"/>
        <v>0</v>
      </c>
      <c r="F39" s="488">
        <f t="shared" si="44"/>
        <v>1</v>
      </c>
      <c r="G39" s="488" t="str">
        <f t="shared" si="45"/>
        <v>Gas</v>
      </c>
      <c r="H39" s="489">
        <v>0</v>
      </c>
      <c r="I39" s="121">
        <v>89.54</v>
      </c>
      <c r="J39" s="490">
        <f t="shared" si="46"/>
        <v>0</v>
      </c>
      <c r="K39" s="638">
        <v>3750</v>
      </c>
      <c r="L39" s="642">
        <v>2688.1998197310859</v>
      </c>
      <c r="M39" s="643">
        <v>4033.9723277920784</v>
      </c>
      <c r="N39" s="643">
        <v>2897.3861007089963</v>
      </c>
      <c r="O39" s="643">
        <v>2545.9174665712671</v>
      </c>
      <c r="P39" s="643">
        <v>2313.091797764293</v>
      </c>
      <c r="Q39" s="643">
        <v>1610.2660360352002</v>
      </c>
      <c r="R39" s="643">
        <v>1259.1319215365602</v>
      </c>
      <c r="S39" s="643">
        <v>1026.306252729586</v>
      </c>
      <c r="T39" s="643"/>
      <c r="U39" s="643"/>
      <c r="V39" s="643"/>
      <c r="W39" s="643"/>
      <c r="X39" s="644"/>
      <c r="Y39" s="495">
        <f t="shared" si="47"/>
        <v>-141.87789450348069</v>
      </c>
      <c r="Z39" s="495">
        <f t="shared" si="49"/>
        <v>290131.56243929506</v>
      </c>
      <c r="AA39" s="494">
        <v>2039</v>
      </c>
      <c r="AB39" s="121" t="s">
        <v>839</v>
      </c>
      <c r="AC39" s="503">
        <f t="shared" si="50"/>
        <v>3538.2155422640499</v>
      </c>
      <c r="AD39" s="503">
        <f t="shared" si="48"/>
        <v>3112.5818587536342</v>
      </c>
      <c r="AE39" s="503">
        <f t="shared" si="48"/>
        <v>2828.8260697466321</v>
      </c>
      <c r="AF39" s="503">
        <f t="shared" si="48"/>
        <v>2545.0702807396883</v>
      </c>
      <c r="AG39" s="503">
        <f t="shared" si="48"/>
        <v>2119.4365972292726</v>
      </c>
      <c r="AH39" s="503">
        <f t="shared" si="48"/>
        <v>1693.8029137187987</v>
      </c>
      <c r="AI39" s="503">
        <f t="shared" si="48"/>
        <v>1410.0471247118548</v>
      </c>
      <c r="AJ39" s="503">
        <f t="shared" si="48"/>
        <v>1126.291335704911</v>
      </c>
      <c r="AK39" s="503">
        <f t="shared" si="48"/>
        <v>0</v>
      </c>
      <c r="AL39" s="503">
        <f t="shared" si="48"/>
        <v>0</v>
      </c>
      <c r="AM39" s="503">
        <f t="shared" si="48"/>
        <v>0</v>
      </c>
      <c r="AN39" s="503">
        <f t="shared" si="48"/>
        <v>0</v>
      </c>
      <c r="AO39" s="503">
        <f t="shared" si="48"/>
        <v>0</v>
      </c>
    </row>
    <row r="40" spans="1:41" x14ac:dyDescent="0.25">
      <c r="B40" t="s">
        <v>880</v>
      </c>
      <c r="C40" t="s">
        <v>818</v>
      </c>
      <c r="D40" s="486">
        <v>21.91</v>
      </c>
      <c r="E40" s="488">
        <f t="shared" si="43"/>
        <v>1</v>
      </c>
      <c r="F40" s="488">
        <f t="shared" si="44"/>
        <v>0</v>
      </c>
      <c r="G40" s="488" t="str">
        <f t="shared" si="45"/>
        <v>Oil</v>
      </c>
      <c r="H40" s="489">
        <f>+D40</f>
        <v>21.91</v>
      </c>
      <c r="I40" s="121">
        <v>0</v>
      </c>
      <c r="J40" s="490">
        <f t="shared" si="46"/>
        <v>0</v>
      </c>
      <c r="K40" s="638">
        <v>10000</v>
      </c>
      <c r="L40" s="642">
        <v>10465.971477086872</v>
      </c>
      <c r="M40" s="643"/>
      <c r="N40" s="643">
        <v>6174.2002020980708</v>
      </c>
      <c r="O40" s="643"/>
      <c r="P40" s="643">
        <v>2813.1217901305317</v>
      </c>
      <c r="Q40" s="643"/>
      <c r="R40" s="643">
        <v>1643.4531684602007</v>
      </c>
      <c r="S40" s="643"/>
      <c r="T40" s="643"/>
      <c r="U40" s="643"/>
      <c r="V40" s="643"/>
      <c r="W40" s="643"/>
      <c r="X40" s="644"/>
      <c r="Y40" s="495">
        <f t="shared" si="47"/>
        <v>-596.57266675695109</v>
      </c>
      <c r="Z40" s="495">
        <f t="shared" si="49"/>
        <v>1214825.2685091621</v>
      </c>
      <c r="AA40" s="494">
        <v>2035</v>
      </c>
      <c r="AB40" s="121" t="s">
        <v>818</v>
      </c>
      <c r="AC40" s="503">
        <f t="shared" si="50"/>
        <v>9748.4816601208877</v>
      </c>
      <c r="AD40" s="503">
        <f t="shared" si="48"/>
        <v>7958.7636598499957</v>
      </c>
      <c r="AE40" s="503">
        <f t="shared" si="48"/>
        <v>6765.6183263361454</v>
      </c>
      <c r="AF40" s="503">
        <f t="shared" si="48"/>
        <v>5572.4729928222951</v>
      </c>
      <c r="AG40" s="503">
        <f t="shared" si="48"/>
        <v>3782.7549925514031</v>
      </c>
      <c r="AH40" s="503">
        <f t="shared" si="48"/>
        <v>1993.0369922805112</v>
      </c>
      <c r="AI40" s="503">
        <f t="shared" si="48"/>
        <v>0</v>
      </c>
      <c r="AJ40" s="503">
        <f t="shared" si="48"/>
        <v>0</v>
      </c>
      <c r="AK40" s="503">
        <f t="shared" si="48"/>
        <v>0</v>
      </c>
      <c r="AL40" s="503">
        <f t="shared" si="48"/>
        <v>0</v>
      </c>
      <c r="AM40" s="503">
        <f t="shared" si="48"/>
        <v>0</v>
      </c>
      <c r="AN40" s="503">
        <f t="shared" si="48"/>
        <v>0</v>
      </c>
      <c r="AO40" s="503">
        <f t="shared" si="48"/>
        <v>0</v>
      </c>
    </row>
    <row r="41" spans="1:41" x14ac:dyDescent="0.25">
      <c r="B41" t="s">
        <v>880</v>
      </c>
      <c r="C41" t="s">
        <v>882</v>
      </c>
      <c r="D41" s="486">
        <v>8.85</v>
      </c>
      <c r="E41" s="488">
        <f t="shared" si="43"/>
        <v>1</v>
      </c>
      <c r="F41" s="488">
        <f t="shared" si="44"/>
        <v>0</v>
      </c>
      <c r="G41" s="488" t="str">
        <f t="shared" si="45"/>
        <v>Oil</v>
      </c>
      <c r="H41" s="489">
        <f>+D41</f>
        <v>8.85</v>
      </c>
      <c r="I41" s="121">
        <v>0</v>
      </c>
      <c r="J41" s="490">
        <f t="shared" si="46"/>
        <v>0</v>
      </c>
      <c r="K41" s="638">
        <v>1750</v>
      </c>
      <c r="L41" s="642">
        <v>1648.5786991601608</v>
      </c>
      <c r="M41" s="643">
        <v>2065.3937346384009</v>
      </c>
      <c r="N41" s="643">
        <v>1591.6354730287221</v>
      </c>
      <c r="O41" s="643"/>
      <c r="P41" s="643">
        <v>1118.8933568407438</v>
      </c>
      <c r="Q41" s="643"/>
      <c r="R41" s="643">
        <v>750.03256876351679</v>
      </c>
      <c r="S41" s="643"/>
      <c r="T41" s="643">
        <v>440.61628785575977</v>
      </c>
      <c r="U41" s="643"/>
      <c r="V41" s="643">
        <v>279.75265109735119</v>
      </c>
      <c r="W41" s="643">
        <v>163.4430828288796</v>
      </c>
      <c r="X41" s="644"/>
      <c r="Y41" s="495">
        <f t="shared" si="47"/>
        <v>-66.613918553093967</v>
      </c>
      <c r="Z41" s="495">
        <f t="shared" si="49"/>
        <v>136441.71639003584</v>
      </c>
      <c r="AA41" s="494">
        <v>2052</v>
      </c>
      <c r="AB41" s="121" t="s">
        <v>882</v>
      </c>
      <c r="AC41" s="503">
        <f t="shared" si="50"/>
        <v>1881.6009127860307</v>
      </c>
      <c r="AD41" s="503">
        <f t="shared" si="48"/>
        <v>1681.7591571267403</v>
      </c>
      <c r="AE41" s="503">
        <f t="shared" si="48"/>
        <v>1548.5313200205564</v>
      </c>
      <c r="AF41" s="503">
        <f t="shared" si="48"/>
        <v>1415.3034829143726</v>
      </c>
      <c r="AG41" s="503">
        <f t="shared" si="48"/>
        <v>1215.4617272550822</v>
      </c>
      <c r="AH41" s="503">
        <f t="shared" si="48"/>
        <v>1015.619971595821</v>
      </c>
      <c r="AI41" s="503">
        <f t="shared" si="48"/>
        <v>882.392134489608</v>
      </c>
      <c r="AJ41" s="503">
        <f t="shared" si="48"/>
        <v>749.16429738342413</v>
      </c>
      <c r="AK41" s="503">
        <f t="shared" si="48"/>
        <v>549.32254172416287</v>
      </c>
      <c r="AL41" s="503">
        <f t="shared" si="48"/>
        <v>349.48078606487252</v>
      </c>
      <c r="AM41" s="503">
        <f t="shared" si="48"/>
        <v>216.25294895868865</v>
      </c>
      <c r="AN41" s="503">
        <f t="shared" si="48"/>
        <v>83.025111852504779</v>
      </c>
      <c r="AO41" s="503">
        <v>0</v>
      </c>
    </row>
    <row r="42" spans="1:41" x14ac:dyDescent="0.25">
      <c r="B42" t="s">
        <v>880</v>
      </c>
      <c r="C42" t="s">
        <v>883</v>
      </c>
      <c r="D42" s="486">
        <v>153.29</v>
      </c>
      <c r="E42" s="488">
        <f t="shared" si="43"/>
        <v>1</v>
      </c>
      <c r="F42" s="488">
        <f t="shared" si="44"/>
        <v>0</v>
      </c>
      <c r="G42" s="488" t="str">
        <f t="shared" si="45"/>
        <v>Oil</v>
      </c>
      <c r="H42" s="489">
        <v>153.29</v>
      </c>
      <c r="I42" s="121">
        <v>0</v>
      </c>
      <c r="J42" s="490">
        <f t="shared" si="46"/>
        <v>0</v>
      </c>
      <c r="K42" s="638">
        <v>70000</v>
      </c>
      <c r="L42" s="642">
        <v>66124.661246612479</v>
      </c>
      <c r="M42" s="643"/>
      <c r="N42" s="643">
        <v>37723.577235772369</v>
      </c>
      <c r="O42" s="643"/>
      <c r="P42" s="643">
        <v>22764.227642276433</v>
      </c>
      <c r="Q42" s="643"/>
      <c r="R42" s="643">
        <v>14092.140921409227</v>
      </c>
      <c r="S42" s="643"/>
      <c r="T42" s="643"/>
      <c r="U42" s="643"/>
      <c r="V42" s="643"/>
      <c r="W42" s="643"/>
      <c r="X42" s="644"/>
      <c r="Y42" s="495">
        <f t="shared" si="47"/>
        <v>-3421.1382113821137</v>
      </c>
      <c r="Z42" s="495">
        <f t="shared" si="49"/>
        <v>6971533.8753387537</v>
      </c>
      <c r="AA42" s="494">
        <v>2036</v>
      </c>
      <c r="AB42" s="121" t="s">
        <v>883</v>
      </c>
      <c r="AC42" s="503">
        <f t="shared" si="50"/>
        <v>60834.688346884213</v>
      </c>
      <c r="AD42" s="503">
        <f t="shared" si="48"/>
        <v>50571.273712737486</v>
      </c>
      <c r="AE42" s="503">
        <f t="shared" si="48"/>
        <v>43728.997289973311</v>
      </c>
      <c r="AF42" s="503">
        <f t="shared" si="48"/>
        <v>36886.720867209136</v>
      </c>
      <c r="AG42" s="503">
        <f t="shared" si="48"/>
        <v>26623.30623306334</v>
      </c>
      <c r="AH42" s="503">
        <f t="shared" si="48"/>
        <v>16359.891598916613</v>
      </c>
      <c r="AI42" s="503">
        <f t="shared" si="48"/>
        <v>9517.6151761524379</v>
      </c>
      <c r="AJ42" s="503">
        <f t="shared" si="48"/>
        <v>0</v>
      </c>
      <c r="AK42" s="503">
        <f t="shared" si="48"/>
        <v>0</v>
      </c>
      <c r="AL42" s="503">
        <f t="shared" si="48"/>
        <v>0</v>
      </c>
      <c r="AM42" s="503">
        <f t="shared" si="48"/>
        <v>0</v>
      </c>
      <c r="AN42" s="503">
        <f t="shared" si="48"/>
        <v>0</v>
      </c>
      <c r="AO42" s="503">
        <f t="shared" si="48"/>
        <v>0</v>
      </c>
    </row>
    <row r="43" spans="1:41" x14ac:dyDescent="0.25">
      <c r="B43" t="s">
        <v>473</v>
      </c>
      <c r="C43" t="s">
        <v>884</v>
      </c>
      <c r="D43" s="486">
        <v>0.88</v>
      </c>
      <c r="E43" s="488">
        <f t="shared" si="43"/>
        <v>1</v>
      </c>
      <c r="F43" s="488">
        <f t="shared" si="44"/>
        <v>0</v>
      </c>
      <c r="G43" s="488" t="str">
        <f t="shared" si="45"/>
        <v>Oil</v>
      </c>
      <c r="H43" s="489">
        <v>0.88</v>
      </c>
      <c r="I43" s="121">
        <v>0</v>
      </c>
      <c r="J43" s="490">
        <f t="shared" si="46"/>
        <v>0</v>
      </c>
      <c r="K43" s="638">
        <v>200</v>
      </c>
      <c r="L43" s="642">
        <v>139.28969359331495</v>
      </c>
      <c r="M43" s="643">
        <v>224.70055710306417</v>
      </c>
      <c r="N43" s="643">
        <v>158.94150417827314</v>
      </c>
      <c r="O43" s="643"/>
      <c r="P43" s="643">
        <v>115.27855153203359</v>
      </c>
      <c r="Q43" s="643"/>
      <c r="R43" s="643">
        <v>78.133704735376114</v>
      </c>
      <c r="S43" s="643">
        <v>68.920612813370553</v>
      </c>
      <c r="T43" s="643">
        <v>62.841225626741107</v>
      </c>
      <c r="U43" s="643"/>
      <c r="V43" s="643"/>
      <c r="W43" s="643"/>
      <c r="X43" s="644"/>
      <c r="Y43" s="495">
        <f t="shared" si="47"/>
        <v>-6.4913312842186155</v>
      </c>
      <c r="Z43" s="495">
        <f t="shared" si="49"/>
        <v>13298.560485475529</v>
      </c>
      <c r="AA43" s="494">
        <v>2042</v>
      </c>
      <c r="AB43" s="121" t="s">
        <v>884</v>
      </c>
      <c r="AC43" s="503">
        <f t="shared" si="50"/>
        <v>186.07129135392643</v>
      </c>
      <c r="AD43" s="503">
        <f t="shared" si="48"/>
        <v>166.59729750127008</v>
      </c>
      <c r="AE43" s="503">
        <f t="shared" si="48"/>
        <v>153.61463493283372</v>
      </c>
      <c r="AF43" s="503">
        <f t="shared" si="48"/>
        <v>140.63197236439555</v>
      </c>
      <c r="AG43" s="503">
        <f t="shared" si="48"/>
        <v>121.1579785117392</v>
      </c>
      <c r="AH43" s="503">
        <f t="shared" si="48"/>
        <v>101.68398465908467</v>
      </c>
      <c r="AI43" s="503">
        <f t="shared" si="48"/>
        <v>88.701322090646499</v>
      </c>
      <c r="AJ43" s="503">
        <f t="shared" si="48"/>
        <v>75.718659522210146</v>
      </c>
      <c r="AK43" s="503">
        <f t="shared" si="48"/>
        <v>56.244665669553797</v>
      </c>
      <c r="AL43" s="503">
        <f t="shared" si="48"/>
        <v>0</v>
      </c>
      <c r="AM43" s="503">
        <f t="shared" si="48"/>
        <v>0</v>
      </c>
      <c r="AN43" s="503">
        <f t="shared" si="48"/>
        <v>0</v>
      </c>
      <c r="AO43" s="503">
        <f t="shared" si="48"/>
        <v>0</v>
      </c>
    </row>
    <row r="44" spans="1:41" x14ac:dyDescent="0.25">
      <c r="B44" t="s">
        <v>473</v>
      </c>
      <c r="C44" t="s">
        <v>885</v>
      </c>
      <c r="D44" s="486">
        <v>543.79</v>
      </c>
      <c r="E44" s="488">
        <f t="shared" si="43"/>
        <v>1</v>
      </c>
      <c r="F44" s="488">
        <f t="shared" si="44"/>
        <v>0</v>
      </c>
      <c r="G44" s="488" t="str">
        <f t="shared" si="45"/>
        <v>Oil</v>
      </c>
      <c r="H44" s="489">
        <f>+D44</f>
        <v>543.79</v>
      </c>
      <c r="I44" s="121">
        <v>0</v>
      </c>
      <c r="J44" s="490">
        <f t="shared" si="46"/>
        <v>0</v>
      </c>
      <c r="K44" s="638">
        <v>42000</v>
      </c>
      <c r="L44" s="642">
        <v>46080.722145667336</v>
      </c>
      <c r="M44" s="643">
        <v>39727.331429446349</v>
      </c>
      <c r="N44" s="643"/>
      <c r="O44" s="643"/>
      <c r="P44" s="643">
        <v>32953.221629753898</v>
      </c>
      <c r="Q44" s="643"/>
      <c r="R44" s="643"/>
      <c r="S44" s="643"/>
      <c r="T44" s="643">
        <v>26312.58362790327</v>
      </c>
      <c r="U44" s="643"/>
      <c r="V44" s="643"/>
      <c r="W44" s="643"/>
      <c r="X44" s="644">
        <v>21157.776313249327</v>
      </c>
      <c r="Y44" s="495">
        <f t="shared" si="47"/>
        <v>-788.06799463334039</v>
      </c>
      <c r="Z44" s="495">
        <f t="shared" si="49"/>
        <v>1635073.3329209315</v>
      </c>
      <c r="AA44" s="494">
        <v>2099</v>
      </c>
      <c r="AB44" s="121" t="s">
        <v>885</v>
      </c>
      <c r="AC44" s="503">
        <f t="shared" si="50"/>
        <v>43175.983761583921</v>
      </c>
      <c r="AD44" s="503">
        <f t="shared" si="48"/>
        <v>40811.779777684016</v>
      </c>
      <c r="AE44" s="503">
        <f t="shared" si="48"/>
        <v>39235.643788417336</v>
      </c>
      <c r="AF44" s="503">
        <f t="shared" si="48"/>
        <v>37659.507799150655</v>
      </c>
      <c r="AG44" s="503">
        <f t="shared" si="48"/>
        <v>35295.303815250518</v>
      </c>
      <c r="AH44" s="503">
        <f t="shared" si="48"/>
        <v>32931.099831350613</v>
      </c>
      <c r="AI44" s="503">
        <f t="shared" si="48"/>
        <v>31354.963842083933</v>
      </c>
      <c r="AJ44" s="503">
        <f t="shared" si="48"/>
        <v>29778.827852817252</v>
      </c>
      <c r="AK44" s="503">
        <f t="shared" si="48"/>
        <v>27414.623868917115</v>
      </c>
      <c r="AL44" s="503">
        <f t="shared" si="48"/>
        <v>25050.419885017211</v>
      </c>
      <c r="AM44" s="503">
        <f t="shared" si="48"/>
        <v>23474.28389575053</v>
      </c>
      <c r="AN44" s="503">
        <f t="shared" si="48"/>
        <v>21898.14790648385</v>
      </c>
      <c r="AO44" s="503">
        <f t="shared" si="48"/>
        <v>19533.943922583712</v>
      </c>
    </row>
    <row r="45" spans="1:41" x14ac:dyDescent="0.25">
      <c r="B45" t="s">
        <v>473</v>
      </c>
      <c r="C45" t="s">
        <v>845</v>
      </c>
      <c r="D45" s="486">
        <v>146.25</v>
      </c>
      <c r="E45" s="488">
        <f t="shared" si="43"/>
        <v>1</v>
      </c>
      <c r="F45" s="488">
        <f t="shared" si="44"/>
        <v>0</v>
      </c>
      <c r="G45" s="488" t="str">
        <f t="shared" si="45"/>
        <v>Oil</v>
      </c>
      <c r="H45" s="489">
        <v>146.25</v>
      </c>
      <c r="I45" s="121">
        <v>0</v>
      </c>
      <c r="J45" s="490">
        <f t="shared" si="46"/>
        <v>0</v>
      </c>
      <c r="K45" s="638">
        <v>49000</v>
      </c>
      <c r="L45" s="642">
        <v>49014.692742976287</v>
      </c>
      <c r="M45" s="643"/>
      <c r="N45" s="643">
        <v>34761.491114861514</v>
      </c>
      <c r="O45" s="643"/>
      <c r="P45" s="643">
        <v>19155.415467090243</v>
      </c>
      <c r="Q45" s="643">
        <v>16260.547999602895</v>
      </c>
      <c r="R45" s="643">
        <v>12169.165094807897</v>
      </c>
      <c r="S45" s="643">
        <v>8406.8797776233405</v>
      </c>
      <c r="T45" s="643"/>
      <c r="U45" s="643"/>
      <c r="V45" s="643"/>
      <c r="W45" s="643"/>
      <c r="X45" s="644"/>
      <c r="Y45" s="495">
        <f t="shared" si="47"/>
        <v>-2382.1093994608605</v>
      </c>
      <c r="Z45" s="495">
        <f t="shared" si="49"/>
        <v>4858976.7796050403</v>
      </c>
      <c r="AA45" s="494">
        <v>2039</v>
      </c>
      <c r="AB45" s="121" t="s">
        <v>845</v>
      </c>
      <c r="AC45" s="503">
        <f t="shared" si="50"/>
        <v>47115.792694102041</v>
      </c>
      <c r="AD45" s="503">
        <f t="shared" si="48"/>
        <v>39969.46449571941</v>
      </c>
      <c r="AE45" s="503">
        <f t="shared" si="48"/>
        <v>35205.245696797967</v>
      </c>
      <c r="AF45" s="503">
        <f t="shared" si="48"/>
        <v>30441.026897876523</v>
      </c>
      <c r="AG45" s="503">
        <f t="shared" si="48"/>
        <v>23294.698699493892</v>
      </c>
      <c r="AH45" s="503">
        <f t="shared" si="48"/>
        <v>16148.370501111262</v>
      </c>
      <c r="AI45" s="503">
        <f t="shared" si="48"/>
        <v>11384.151702188887</v>
      </c>
      <c r="AJ45" s="503">
        <f t="shared" si="48"/>
        <v>6619.9329032674432</v>
      </c>
      <c r="AK45" s="503">
        <f t="shared" si="48"/>
        <v>0</v>
      </c>
      <c r="AL45" s="503">
        <f t="shared" si="48"/>
        <v>0</v>
      </c>
      <c r="AM45" s="503">
        <f t="shared" si="48"/>
        <v>0</v>
      </c>
      <c r="AN45" s="503">
        <f t="shared" si="48"/>
        <v>0</v>
      </c>
      <c r="AO45" s="503">
        <f t="shared" si="48"/>
        <v>0</v>
      </c>
    </row>
    <row r="46" spans="1:41" x14ac:dyDescent="0.25">
      <c r="B46" t="s">
        <v>473</v>
      </c>
      <c r="C46" t="s">
        <v>886</v>
      </c>
      <c r="D46" s="486">
        <v>89.99</v>
      </c>
      <c r="E46" s="488">
        <f t="shared" si="43"/>
        <v>1</v>
      </c>
      <c r="F46" s="488">
        <f t="shared" si="44"/>
        <v>0</v>
      </c>
      <c r="G46" s="488" t="str">
        <f t="shared" si="45"/>
        <v>Oil</v>
      </c>
      <c r="H46" s="489">
        <f>+D46</f>
        <v>89.99</v>
      </c>
      <c r="I46" s="121">
        <v>0</v>
      </c>
      <c r="J46" s="490">
        <f t="shared" si="46"/>
        <v>0</v>
      </c>
      <c r="K46" s="638">
        <v>20000</v>
      </c>
      <c r="L46" s="642">
        <v>19904.801688505846</v>
      </c>
      <c r="M46" s="643">
        <v>21393.017324773544</v>
      </c>
      <c r="N46" s="643">
        <v>17374.901064110454</v>
      </c>
      <c r="O46" s="643"/>
      <c r="P46" s="643">
        <v>11787.002022689294</v>
      </c>
      <c r="Q46" s="643"/>
      <c r="R46" s="643">
        <v>8168.8066133145694</v>
      </c>
      <c r="S46" s="643"/>
      <c r="T46" s="643">
        <v>5706.1823938088055</v>
      </c>
      <c r="U46" s="643">
        <v>4334.2713921378891</v>
      </c>
      <c r="V46" s="643"/>
      <c r="W46" s="643"/>
      <c r="X46" s="644"/>
      <c r="Y46" s="495">
        <f t="shared" si="47"/>
        <v>-772.21287149137254</v>
      </c>
      <c r="Z46" s="495">
        <f t="shared" si="49"/>
        <v>1580921.0233743847</v>
      </c>
      <c r="AA46" s="494">
        <v>2044</v>
      </c>
      <c r="AB46" s="121" t="s">
        <v>886</v>
      </c>
      <c r="AC46" s="503">
        <f t="shared" si="50"/>
        <v>21051.022961812094</v>
      </c>
      <c r="AD46" s="503">
        <f t="shared" si="48"/>
        <v>18734.384347337997</v>
      </c>
      <c r="AE46" s="503">
        <f t="shared" si="48"/>
        <v>17189.958604355343</v>
      </c>
      <c r="AF46" s="503">
        <f t="shared" si="48"/>
        <v>15645.532861372689</v>
      </c>
      <c r="AG46" s="503">
        <f t="shared" si="48"/>
        <v>13328.894246898592</v>
      </c>
      <c r="AH46" s="503">
        <f t="shared" si="48"/>
        <v>11012.255632424261</v>
      </c>
      <c r="AI46" s="503">
        <f t="shared" si="48"/>
        <v>9467.8298894416075</v>
      </c>
      <c r="AJ46" s="503">
        <f t="shared" si="48"/>
        <v>7923.4041464589536</v>
      </c>
      <c r="AK46" s="503">
        <f t="shared" si="48"/>
        <v>5606.7655319848564</v>
      </c>
      <c r="AL46" s="503">
        <f t="shared" si="48"/>
        <v>3290.1269175105263</v>
      </c>
      <c r="AM46" s="503">
        <f t="shared" si="48"/>
        <v>0</v>
      </c>
      <c r="AN46" s="503">
        <f t="shared" si="48"/>
        <v>0</v>
      </c>
      <c r="AO46" s="503">
        <f t="shared" si="48"/>
        <v>0</v>
      </c>
    </row>
    <row r="47" spans="1:41" x14ac:dyDescent="0.25">
      <c r="B47" t="s">
        <v>473</v>
      </c>
      <c r="C47" t="s">
        <v>838</v>
      </c>
      <c r="D47" s="492">
        <v>28.68</v>
      </c>
      <c r="E47" s="488">
        <f t="shared" si="43"/>
        <v>0</v>
      </c>
      <c r="F47" s="488">
        <f t="shared" si="44"/>
        <v>1</v>
      </c>
      <c r="G47" s="488" t="str">
        <f t="shared" si="45"/>
        <v>Gas</v>
      </c>
      <c r="H47" s="489">
        <v>0</v>
      </c>
      <c r="I47" s="121">
        <v>172.07</v>
      </c>
      <c r="J47" s="490">
        <f t="shared" si="46"/>
        <v>0</v>
      </c>
      <c r="K47" s="638">
        <v>22500</v>
      </c>
      <c r="L47" s="642">
        <v>18473.762408216862</v>
      </c>
      <c r="M47" s="643"/>
      <c r="N47" s="643">
        <v>12112.142288064424</v>
      </c>
      <c r="O47" s="643">
        <v>9490.7517064662534</v>
      </c>
      <c r="P47" s="643"/>
      <c r="Q47" s="643"/>
      <c r="R47" s="643"/>
      <c r="S47" s="643"/>
      <c r="T47" s="643"/>
      <c r="U47" s="643"/>
      <c r="V47" s="643"/>
      <c r="W47" s="643"/>
      <c r="X47" s="644"/>
      <c r="Y47" s="495">
        <f t="shared" si="47"/>
        <v>-1281.1789317463179</v>
      </c>
      <c r="Z47" s="495">
        <f t="shared" si="49"/>
        <v>2606465.0433221296</v>
      </c>
      <c r="AA47" s="496">
        <v>2027</v>
      </c>
      <c r="AB47" s="121" t="s">
        <v>838</v>
      </c>
      <c r="AC47" s="503">
        <f t="shared" si="50"/>
        <v>18483.601194567513</v>
      </c>
      <c r="AD47" s="503">
        <f t="shared" si="48"/>
        <v>14640.064399328548</v>
      </c>
      <c r="AE47" s="503">
        <f t="shared" si="48"/>
        <v>12077.70653583575</v>
      </c>
      <c r="AF47" s="503">
        <f t="shared" si="48"/>
        <v>0</v>
      </c>
      <c r="AG47" s="503">
        <f t="shared" si="48"/>
        <v>0</v>
      </c>
      <c r="AH47" s="503">
        <f t="shared" si="48"/>
        <v>0</v>
      </c>
      <c r="AI47" s="503">
        <f t="shared" si="48"/>
        <v>0</v>
      </c>
      <c r="AJ47" s="503">
        <f t="shared" si="48"/>
        <v>0</v>
      </c>
      <c r="AK47" s="503">
        <f t="shared" si="48"/>
        <v>0</v>
      </c>
      <c r="AL47" s="503">
        <f t="shared" si="48"/>
        <v>0</v>
      </c>
      <c r="AM47" s="503">
        <f t="shared" si="48"/>
        <v>0</v>
      </c>
      <c r="AN47" s="503">
        <f t="shared" si="48"/>
        <v>0</v>
      </c>
      <c r="AO47" s="503">
        <f t="shared" si="48"/>
        <v>0</v>
      </c>
    </row>
    <row r="48" spans="1:41" x14ac:dyDescent="0.25">
      <c r="B48" t="s">
        <v>473</v>
      </c>
      <c r="C48" t="s">
        <v>887</v>
      </c>
      <c r="D48" s="486">
        <v>86.96</v>
      </c>
      <c r="E48" s="488">
        <f t="shared" si="43"/>
        <v>0.31430000000000002</v>
      </c>
      <c r="F48" s="488">
        <f t="shared" si="44"/>
        <v>0.68569999999999998</v>
      </c>
      <c r="G48" s="488" t="str">
        <f t="shared" si="45"/>
        <v>Oil and Gas</v>
      </c>
      <c r="H48" s="489">
        <f>+D48*(100%-68.57%)</f>
        <v>27.331527999999999</v>
      </c>
      <c r="I48" s="121">
        <v>357.74</v>
      </c>
      <c r="J48" s="490">
        <f t="shared" si="46"/>
        <v>108.69912674768</v>
      </c>
      <c r="K48" s="638">
        <v>42000</v>
      </c>
      <c r="L48" s="642">
        <v>44548.767539958091</v>
      </c>
      <c r="M48" s="643">
        <v>31427.013687623752</v>
      </c>
      <c r="N48" s="643">
        <v>23791.787425751099</v>
      </c>
      <c r="O48" s="643"/>
      <c r="P48" s="643">
        <v>13036.815977502934</v>
      </c>
      <c r="Q48" s="643"/>
      <c r="R48" s="643">
        <v>6368.0449941174884</v>
      </c>
      <c r="S48" s="643"/>
      <c r="T48" s="643"/>
      <c r="U48" s="643"/>
      <c r="V48" s="643"/>
      <c r="W48" s="643"/>
      <c r="X48" s="644"/>
      <c r="Y48" s="495">
        <f t="shared" si="47"/>
        <v>-2460.405259534517</v>
      </c>
      <c r="Z48" s="495">
        <f t="shared" si="49"/>
        <v>5010091.7848976431</v>
      </c>
      <c r="AA48" s="494">
        <v>2035</v>
      </c>
      <c r="AB48" s="121" t="s">
        <v>887</v>
      </c>
      <c r="AC48" s="503">
        <f t="shared" si="50"/>
        <v>40073.16063791886</v>
      </c>
      <c r="AD48" s="503">
        <f t="shared" si="48"/>
        <v>32691.944859315641</v>
      </c>
      <c r="AE48" s="503">
        <f t="shared" si="48"/>
        <v>27771.134340246208</v>
      </c>
      <c r="AF48" s="503">
        <f t="shared" si="48"/>
        <v>22850.323821176775</v>
      </c>
      <c r="AG48" s="503">
        <f t="shared" si="48"/>
        <v>15469.108042573556</v>
      </c>
      <c r="AH48" s="503">
        <f t="shared" si="48"/>
        <v>8087.8922639703378</v>
      </c>
      <c r="AI48" s="503">
        <f t="shared" si="48"/>
        <v>0</v>
      </c>
      <c r="AJ48" s="503">
        <f t="shared" si="48"/>
        <v>0</v>
      </c>
      <c r="AK48" s="503">
        <f t="shared" si="48"/>
        <v>0</v>
      </c>
      <c r="AL48" s="503">
        <f t="shared" si="48"/>
        <v>0</v>
      </c>
      <c r="AM48" s="503">
        <f t="shared" si="48"/>
        <v>0</v>
      </c>
      <c r="AN48" s="503">
        <f t="shared" si="48"/>
        <v>0</v>
      </c>
      <c r="AO48" s="503">
        <f t="shared" si="48"/>
        <v>0</v>
      </c>
    </row>
    <row r="49" spans="2:41" x14ac:dyDescent="0.25">
      <c r="B49" t="s">
        <v>888</v>
      </c>
      <c r="C49" t="s">
        <v>889</v>
      </c>
      <c r="D49" s="486">
        <v>5.73</v>
      </c>
      <c r="E49" s="488">
        <f t="shared" si="43"/>
        <v>1</v>
      </c>
      <c r="F49" s="488">
        <f t="shared" si="44"/>
        <v>0</v>
      </c>
      <c r="G49" s="488" t="str">
        <f t="shared" si="45"/>
        <v>Oil</v>
      </c>
      <c r="H49" s="489">
        <f>+D49</f>
        <v>5.73</v>
      </c>
      <c r="I49" s="121">
        <v>0</v>
      </c>
      <c r="J49" s="490">
        <f t="shared" si="46"/>
        <v>0</v>
      </c>
      <c r="K49" s="638">
        <v>2900</v>
      </c>
      <c r="L49" s="642">
        <v>2264.0625</v>
      </c>
      <c r="M49" s="643">
        <v>1785.9375000000005</v>
      </c>
      <c r="N49" s="643">
        <v>1223.4375</v>
      </c>
      <c r="O49" s="643"/>
      <c r="P49" s="643">
        <v>689.0625</v>
      </c>
      <c r="Q49" s="643"/>
      <c r="R49" s="643">
        <v>407.8125</v>
      </c>
      <c r="S49" s="643"/>
      <c r="T49" s="643">
        <v>239.0625</v>
      </c>
      <c r="U49" s="643"/>
      <c r="V49" s="643">
        <v>140.625</v>
      </c>
      <c r="W49" s="643"/>
      <c r="X49" s="644">
        <v>98.4375</v>
      </c>
      <c r="Y49" s="495">
        <f t="shared" si="47"/>
        <v>-68.669605024213084</v>
      </c>
      <c r="Z49" s="495">
        <f t="shared" si="49"/>
        <v>140495.6965042373</v>
      </c>
      <c r="AA49" s="494">
        <v>2050</v>
      </c>
      <c r="AB49" s="121" t="s">
        <v>889</v>
      </c>
      <c r="AC49" s="503">
        <f t="shared" si="50"/>
        <v>1783.0943553268735</v>
      </c>
      <c r="AD49" s="503">
        <f t="shared" si="48"/>
        <v>1577.085540254222</v>
      </c>
      <c r="AE49" s="503">
        <f t="shared" si="48"/>
        <v>1439.7463302058168</v>
      </c>
      <c r="AF49" s="503">
        <f t="shared" si="48"/>
        <v>1302.4071201573825</v>
      </c>
      <c r="AG49" s="503">
        <f t="shared" si="48"/>
        <v>1096.398305084731</v>
      </c>
      <c r="AH49" s="503">
        <f t="shared" si="48"/>
        <v>890.38949001210858</v>
      </c>
      <c r="AI49" s="503">
        <f t="shared" si="48"/>
        <v>753.05027996367426</v>
      </c>
      <c r="AJ49" s="503">
        <f t="shared" si="48"/>
        <v>615.71106991523993</v>
      </c>
      <c r="AK49" s="503">
        <f t="shared" si="48"/>
        <v>409.70225484261755</v>
      </c>
      <c r="AL49" s="503">
        <f t="shared" si="48"/>
        <v>203.69343976996606</v>
      </c>
      <c r="AM49" s="503">
        <f t="shared" si="48"/>
        <v>66.354229721560841</v>
      </c>
      <c r="AN49" s="503">
        <v>0</v>
      </c>
      <c r="AO49" s="503">
        <f t="shared" si="48"/>
        <v>0</v>
      </c>
    </row>
    <row r="50" spans="2:41" x14ac:dyDescent="0.25">
      <c r="B50" t="s">
        <v>473</v>
      </c>
      <c r="C50" t="s">
        <v>890</v>
      </c>
      <c r="D50" s="486">
        <v>89.27</v>
      </c>
      <c r="E50" s="488">
        <f t="shared" si="43"/>
        <v>5.8400000000000001E-2</v>
      </c>
      <c r="F50" s="488">
        <f t="shared" si="44"/>
        <v>0.94159999999999999</v>
      </c>
      <c r="G50" s="488" t="str">
        <f t="shared" si="45"/>
        <v>Oil and Gas</v>
      </c>
      <c r="H50" s="489">
        <f>+D50*5.84%</f>
        <v>5.213368</v>
      </c>
      <c r="I50" s="121">
        <v>504.38</v>
      </c>
      <c r="J50" s="490">
        <f t="shared" si="46"/>
        <v>28.471662391040002</v>
      </c>
      <c r="K50" s="638">
        <v>5500</v>
      </c>
      <c r="L50" s="642">
        <v>10948.509485094852</v>
      </c>
      <c r="M50" s="643">
        <v>18536.585365853658</v>
      </c>
      <c r="N50" s="643">
        <v>15121.951219512197</v>
      </c>
      <c r="O50" s="643"/>
      <c r="P50" s="643">
        <v>10135.501355013552</v>
      </c>
      <c r="Q50" s="643"/>
      <c r="R50" s="643">
        <v>6991.8699186991871</v>
      </c>
      <c r="S50" s="643"/>
      <c r="T50" s="643">
        <v>4932.2493224932259</v>
      </c>
      <c r="U50" s="643"/>
      <c r="V50" s="643">
        <v>3360.4336043360454</v>
      </c>
      <c r="W50" s="643"/>
      <c r="X50" s="644">
        <v>2493.2249322493226</v>
      </c>
      <c r="Y50" s="495">
        <f t="shared" si="47"/>
        <v>-465.03540095933653</v>
      </c>
      <c r="Z50" s="495">
        <f t="shared" si="49"/>
        <v>954714.52850121737</v>
      </c>
      <c r="AA50" s="494">
        <v>2059</v>
      </c>
      <c r="AB50" s="121" t="s">
        <v>890</v>
      </c>
      <c r="AC50" s="503">
        <f t="shared" si="50"/>
        <v>15343.018563357531</v>
      </c>
      <c r="AD50" s="503">
        <f t="shared" si="48"/>
        <v>13947.91236047959</v>
      </c>
      <c r="AE50" s="503">
        <f t="shared" si="48"/>
        <v>13017.841558560845</v>
      </c>
      <c r="AF50" s="503">
        <f t="shared" si="48"/>
        <v>12087.770756642218</v>
      </c>
      <c r="AG50" s="503">
        <f t="shared" si="48"/>
        <v>10692.664553764276</v>
      </c>
      <c r="AH50" s="503">
        <f t="shared" si="48"/>
        <v>9297.5583508862182</v>
      </c>
      <c r="AI50" s="503">
        <f t="shared" si="48"/>
        <v>8367.4875489675906</v>
      </c>
      <c r="AJ50" s="503">
        <f t="shared" si="48"/>
        <v>7437.4167470488464</v>
      </c>
      <c r="AK50" s="503">
        <f t="shared" si="48"/>
        <v>6042.3105441709049</v>
      </c>
      <c r="AL50" s="503">
        <f t="shared" si="48"/>
        <v>4647.2043412928469</v>
      </c>
      <c r="AM50" s="503">
        <f t="shared" si="48"/>
        <v>3717.1335393742193</v>
      </c>
      <c r="AN50" s="503">
        <f t="shared" si="48"/>
        <v>2787.0627374554751</v>
      </c>
      <c r="AO50" s="503">
        <f t="shared" si="48"/>
        <v>1391.9565345775336</v>
      </c>
    </row>
    <row r="51" spans="2:41" x14ac:dyDescent="0.25">
      <c r="B51" t="s">
        <v>888</v>
      </c>
      <c r="C51" t="s">
        <v>891</v>
      </c>
      <c r="D51" s="486">
        <v>17.7</v>
      </c>
      <c r="E51" s="488">
        <f t="shared" si="43"/>
        <v>8.2299999999999998E-2</v>
      </c>
      <c r="F51" s="488">
        <f t="shared" si="44"/>
        <v>0.91769999999999996</v>
      </c>
      <c r="G51" s="488" t="str">
        <f t="shared" si="45"/>
        <v>Oil and Gas</v>
      </c>
      <c r="H51" s="489">
        <f>+D51*8.23%</f>
        <v>1.4567099999999999</v>
      </c>
      <c r="I51" s="121">
        <v>97.48</v>
      </c>
      <c r="J51" s="490">
        <f t="shared" si="46"/>
        <v>7.7535720485999997</v>
      </c>
      <c r="K51" s="638">
        <v>21000</v>
      </c>
      <c r="L51" s="642">
        <v>18542.472955633653</v>
      </c>
      <c r="M51" s="643"/>
      <c r="N51" s="643">
        <v>10048.403417448106</v>
      </c>
      <c r="O51" s="643"/>
      <c r="P51" s="643"/>
      <c r="Q51" s="643"/>
      <c r="R51" s="643"/>
      <c r="S51" s="643"/>
      <c r="T51" s="643"/>
      <c r="U51" s="643"/>
      <c r="V51" s="643"/>
      <c r="W51" s="643"/>
      <c r="X51" s="644"/>
      <c r="Y51" s="495">
        <f t="shared" si="47"/>
        <v>-1698.8139076371094</v>
      </c>
      <c r="Z51" s="495">
        <f t="shared" si="49"/>
        <v>3450146.5663825944</v>
      </c>
      <c r="AA51" s="494">
        <v>2025</v>
      </c>
      <c r="AB51" s="121" t="s">
        <v>891</v>
      </c>
      <c r="AC51" s="503">
        <f t="shared" si="50"/>
        <v>18542.47295563342</v>
      </c>
      <c r="AD51" s="503">
        <f t="shared" si="48"/>
        <v>13446.031232722104</v>
      </c>
      <c r="AE51" s="503">
        <f t="shared" si="48"/>
        <v>0</v>
      </c>
      <c r="AF51" s="503">
        <f t="shared" si="48"/>
        <v>0</v>
      </c>
      <c r="AG51" s="503">
        <f t="shared" si="48"/>
        <v>0</v>
      </c>
      <c r="AH51" s="503">
        <f t="shared" si="48"/>
        <v>0</v>
      </c>
      <c r="AI51" s="503">
        <f t="shared" si="48"/>
        <v>0</v>
      </c>
      <c r="AJ51" s="503">
        <f t="shared" si="48"/>
        <v>0</v>
      </c>
      <c r="AK51" s="503">
        <f t="shared" si="48"/>
        <v>0</v>
      </c>
      <c r="AL51" s="503">
        <f t="shared" si="48"/>
        <v>0</v>
      </c>
      <c r="AM51" s="503">
        <f t="shared" si="48"/>
        <v>0</v>
      </c>
      <c r="AN51" s="503">
        <f t="shared" si="48"/>
        <v>0</v>
      </c>
      <c r="AO51" s="503">
        <f t="shared" si="48"/>
        <v>0</v>
      </c>
    </row>
    <row r="52" spans="2:41" x14ac:dyDescent="0.25">
      <c r="B52" t="s">
        <v>473</v>
      </c>
      <c r="C52" t="s">
        <v>892</v>
      </c>
      <c r="D52" s="486">
        <v>10.25</v>
      </c>
      <c r="E52" s="488">
        <f t="shared" si="43"/>
        <v>0.02</v>
      </c>
      <c r="F52" s="488">
        <f t="shared" si="44"/>
        <v>0.98</v>
      </c>
      <c r="G52" s="488" t="str">
        <f t="shared" si="45"/>
        <v>Oil and Gas</v>
      </c>
      <c r="H52" s="489">
        <f>+D52*2%</f>
        <v>0.20500000000000002</v>
      </c>
      <c r="I52" s="121">
        <v>60.26</v>
      </c>
      <c r="J52" s="490">
        <f t="shared" si="46"/>
        <v>1.1652200000000001</v>
      </c>
      <c r="K52" s="638">
        <v>12000</v>
      </c>
      <c r="L52" s="642">
        <v>9971.5099715100077</v>
      </c>
      <c r="M52" s="643"/>
      <c r="N52" s="643">
        <v>4985.7549857549602</v>
      </c>
      <c r="O52" s="643"/>
      <c r="P52" s="643"/>
      <c r="Q52" s="643"/>
      <c r="R52" s="643"/>
      <c r="S52" s="643"/>
      <c r="T52" s="643"/>
      <c r="U52" s="643"/>
      <c r="V52" s="643"/>
      <c r="W52" s="643"/>
      <c r="X52" s="644"/>
      <c r="Y52" s="495">
        <f t="shared" si="47"/>
        <v>-997.15099715100951</v>
      </c>
      <c r="Z52" s="495">
        <f t="shared" si="49"/>
        <v>2024216.5242165492</v>
      </c>
      <c r="AA52" s="494">
        <v>2025</v>
      </c>
      <c r="AB52" s="121" t="s">
        <v>892</v>
      </c>
      <c r="AC52" s="503">
        <f t="shared" si="50"/>
        <v>9971.5099715099204</v>
      </c>
      <c r="AD52" s="503">
        <f t="shared" si="50"/>
        <v>6980.056980056921</v>
      </c>
      <c r="AE52" s="503">
        <f t="shared" si="50"/>
        <v>0</v>
      </c>
      <c r="AF52" s="503">
        <f t="shared" si="50"/>
        <v>0</v>
      </c>
      <c r="AG52" s="503">
        <f t="shared" si="50"/>
        <v>0</v>
      </c>
      <c r="AH52" s="503">
        <f t="shared" si="50"/>
        <v>0</v>
      </c>
      <c r="AI52" s="503">
        <f t="shared" si="50"/>
        <v>0</v>
      </c>
      <c r="AJ52" s="503">
        <f t="shared" si="50"/>
        <v>0</v>
      </c>
      <c r="AK52" s="503">
        <f t="shared" si="50"/>
        <v>0</v>
      </c>
      <c r="AL52" s="503">
        <f t="shared" si="50"/>
        <v>0</v>
      </c>
      <c r="AM52" s="503">
        <f t="shared" si="50"/>
        <v>0</v>
      </c>
      <c r="AN52" s="503">
        <f t="shared" si="50"/>
        <v>0</v>
      </c>
      <c r="AO52" s="503">
        <f t="shared" si="50"/>
        <v>0</v>
      </c>
    </row>
    <row r="53" spans="2:41" x14ac:dyDescent="0.25">
      <c r="B53" t="s">
        <v>888</v>
      </c>
      <c r="C53" t="s">
        <v>893</v>
      </c>
      <c r="D53" s="486">
        <v>1.1399999999999999</v>
      </c>
      <c r="E53" s="488">
        <f t="shared" si="43"/>
        <v>0.93119999999999992</v>
      </c>
      <c r="F53" s="488">
        <f t="shared" si="44"/>
        <v>6.8800000000000083E-2</v>
      </c>
      <c r="G53" s="488" t="str">
        <f t="shared" si="45"/>
        <v>Oil and Gas</v>
      </c>
      <c r="H53" s="489">
        <f>+D53*93.12%</f>
        <v>1.0615679999999998</v>
      </c>
      <c r="I53" s="121">
        <v>0.47</v>
      </c>
      <c r="J53" s="490">
        <f t="shared" si="46"/>
        <v>0.42360809472000044</v>
      </c>
      <c r="K53" s="638">
        <v>1200</v>
      </c>
      <c r="L53" s="642">
        <v>1011.5853658536586</v>
      </c>
      <c r="M53" s="643">
        <v>426.82926829268285</v>
      </c>
      <c r="N53" s="643">
        <v>273.17073170731692</v>
      </c>
      <c r="O53" s="643">
        <v>170.73170731707319</v>
      </c>
      <c r="P53" s="643">
        <v>110.97560975609758</v>
      </c>
      <c r="Q53" s="643">
        <v>55.487804878048792</v>
      </c>
      <c r="R53" s="643"/>
      <c r="S53" s="643"/>
      <c r="T53" s="643"/>
      <c r="U53" s="643"/>
      <c r="V53" s="643"/>
      <c r="W53" s="643"/>
      <c r="X53" s="644"/>
      <c r="Y53" s="495">
        <f t="shared" si="47"/>
        <v>-65.59624653132758</v>
      </c>
      <c r="Z53" s="495">
        <f t="shared" si="49"/>
        <v>133261.32430261426</v>
      </c>
      <c r="AA53" s="494">
        <v>2033</v>
      </c>
      <c r="AB53" s="121" t="s">
        <v>893</v>
      </c>
      <c r="AC53" s="503">
        <f t="shared" ref="AC53:AO53" si="51">+IF(AC$35&lt;$AA53,$Y53*AC$35+$Z53,0)</f>
        <v>756.90630933255306</v>
      </c>
      <c r="AD53" s="503">
        <f t="shared" si="51"/>
        <v>560.11756973856245</v>
      </c>
      <c r="AE53" s="503">
        <f t="shared" si="51"/>
        <v>428.92507667592145</v>
      </c>
      <c r="AF53" s="503">
        <f t="shared" si="51"/>
        <v>297.73258361325134</v>
      </c>
      <c r="AG53" s="503">
        <f t="shared" si="51"/>
        <v>100.94384401926072</v>
      </c>
      <c r="AH53" s="503">
        <f t="shared" si="51"/>
        <v>0</v>
      </c>
      <c r="AI53" s="503">
        <f t="shared" si="51"/>
        <v>0</v>
      </c>
      <c r="AJ53" s="503">
        <f t="shared" si="51"/>
        <v>0</v>
      </c>
      <c r="AK53" s="503">
        <f t="shared" si="51"/>
        <v>0</v>
      </c>
      <c r="AL53" s="503">
        <f t="shared" si="51"/>
        <v>0</v>
      </c>
      <c r="AM53" s="503">
        <f t="shared" si="51"/>
        <v>0</v>
      </c>
      <c r="AN53" s="503">
        <f t="shared" si="51"/>
        <v>0</v>
      </c>
      <c r="AO53" s="503">
        <f t="shared" si="51"/>
        <v>0</v>
      </c>
    </row>
    <row r="54" spans="2:41" x14ac:dyDescent="0.25">
      <c r="B54" t="s">
        <v>888</v>
      </c>
      <c r="C54" t="s">
        <v>894</v>
      </c>
      <c r="D54" s="486">
        <v>1.31</v>
      </c>
      <c r="E54" s="488">
        <f t="shared" si="43"/>
        <v>0.95340000000000003</v>
      </c>
      <c r="F54" s="488">
        <f t="shared" si="44"/>
        <v>4.6599999999999975E-2</v>
      </c>
      <c r="G54" s="488" t="str">
        <f t="shared" si="45"/>
        <v>Oil and Gas</v>
      </c>
      <c r="H54" s="489">
        <f>+D54*95.34%</f>
        <v>1.2489540000000001</v>
      </c>
      <c r="I54" s="121">
        <v>0.37</v>
      </c>
      <c r="J54" s="490">
        <f t="shared" si="46"/>
        <v>0.33756728711999989</v>
      </c>
      <c r="K54" s="638">
        <v>500</v>
      </c>
      <c r="L54" s="642">
        <v>478.4770733757025</v>
      </c>
      <c r="M54" s="643"/>
      <c r="N54" s="643">
        <v>279.42512737013499</v>
      </c>
      <c r="O54" s="643"/>
      <c r="P54" s="643">
        <v>141.14055360050423</v>
      </c>
      <c r="Q54" s="643"/>
      <c r="R54" s="643">
        <v>88.287199957980988</v>
      </c>
      <c r="S54" s="643"/>
      <c r="T54" s="643">
        <v>56.323861547350248</v>
      </c>
      <c r="U54" s="643"/>
      <c r="V54" s="643">
        <v>35.752928200010388</v>
      </c>
      <c r="W54" s="643"/>
      <c r="X54" s="644">
        <v>22.784810126582215</v>
      </c>
      <c r="Y54" s="495">
        <f t="shared" si="47"/>
        <v>-13.851699143862602</v>
      </c>
      <c r="Z54" s="495">
        <f t="shared" si="49"/>
        <v>28345.663694071576</v>
      </c>
      <c r="AA54" s="494">
        <v>2053</v>
      </c>
      <c r="AB54" s="121" t="s">
        <v>894</v>
      </c>
      <c r="AC54" s="503">
        <f t="shared" ref="AC54:AM57" si="52">+IF(AC$35&lt;$AA54,$Y54*AC$35+$Z54,0)</f>
        <v>365.23142346912209</v>
      </c>
      <c r="AD54" s="503">
        <f t="shared" si="52"/>
        <v>323.67632603753373</v>
      </c>
      <c r="AE54" s="503">
        <f t="shared" si="52"/>
        <v>295.97292774980815</v>
      </c>
      <c r="AF54" s="503">
        <f t="shared" si="52"/>
        <v>268.26952946208257</v>
      </c>
      <c r="AG54" s="503">
        <f t="shared" si="52"/>
        <v>226.71443203049421</v>
      </c>
      <c r="AH54" s="503">
        <f t="shared" si="52"/>
        <v>185.15933459890584</v>
      </c>
      <c r="AI54" s="503">
        <f t="shared" si="52"/>
        <v>157.45593631118027</v>
      </c>
      <c r="AJ54" s="503">
        <f t="shared" si="52"/>
        <v>129.75253802345469</v>
      </c>
      <c r="AK54" s="503">
        <f t="shared" si="52"/>
        <v>88.197440591869963</v>
      </c>
      <c r="AL54" s="503">
        <f t="shared" si="52"/>
        <v>46.642343160281598</v>
      </c>
      <c r="AM54" s="503">
        <f t="shared" si="52"/>
        <v>18.938944872556021</v>
      </c>
      <c r="AN54" s="503">
        <v>0</v>
      </c>
      <c r="AO54" s="503">
        <v>0</v>
      </c>
    </row>
    <row r="55" spans="2:41" x14ac:dyDescent="0.25">
      <c r="B55" t="s">
        <v>473</v>
      </c>
      <c r="C55" t="s">
        <v>895</v>
      </c>
      <c r="D55" s="486">
        <v>8.8000000000000007</v>
      </c>
      <c r="E55" s="488">
        <f t="shared" si="43"/>
        <v>0.9466</v>
      </c>
      <c r="F55" s="488">
        <f t="shared" si="44"/>
        <v>5.3400000000000003E-2</v>
      </c>
      <c r="G55" s="488" t="str">
        <f t="shared" si="45"/>
        <v>Oil and Gas</v>
      </c>
      <c r="H55" s="489">
        <f>+D55*94.66%</f>
        <v>8.3300800000000006</v>
      </c>
      <c r="I55" s="121">
        <v>2.82</v>
      </c>
      <c r="J55" s="490">
        <f t="shared" si="46"/>
        <v>2.5799923776000004</v>
      </c>
      <c r="K55" s="638">
        <v>3150</v>
      </c>
      <c r="L55" s="642">
        <v>3015.5763239875378</v>
      </c>
      <c r="M55" s="643"/>
      <c r="N55" s="643">
        <v>2068.5358255451711</v>
      </c>
      <c r="O55" s="643"/>
      <c r="P55" s="643">
        <v>1096.5732087227407</v>
      </c>
      <c r="Q55" s="643"/>
      <c r="R55" s="643">
        <v>747.66355140186806</v>
      </c>
      <c r="S55" s="643">
        <v>573.20872274143221</v>
      </c>
      <c r="T55" s="643"/>
      <c r="U55" s="643"/>
      <c r="V55" s="643"/>
      <c r="W55" s="643"/>
      <c r="X55" s="644"/>
      <c r="Y55" s="495">
        <f t="shared" si="47"/>
        <v>-143.23899073003355</v>
      </c>
      <c r="Z55" s="495">
        <f t="shared" si="49"/>
        <v>292189.51931400981</v>
      </c>
      <c r="AA55" s="494">
        <v>2039</v>
      </c>
      <c r="AB55" s="121" t="s">
        <v>895</v>
      </c>
      <c r="AC55" s="503">
        <f t="shared" si="52"/>
        <v>2846.7580393420649</v>
      </c>
      <c r="AD55" s="503">
        <f t="shared" si="52"/>
        <v>2417.0410671519348</v>
      </c>
      <c r="AE55" s="503">
        <f t="shared" si="52"/>
        <v>2130.563085691887</v>
      </c>
      <c r="AF55" s="503">
        <f t="shared" si="52"/>
        <v>1844.0851042317809</v>
      </c>
      <c r="AG55" s="503">
        <f t="shared" si="52"/>
        <v>1414.368132041709</v>
      </c>
      <c r="AH55" s="503">
        <f t="shared" si="52"/>
        <v>984.651159851579</v>
      </c>
      <c r="AI55" s="503">
        <f t="shared" si="52"/>
        <v>698.17317839153111</v>
      </c>
      <c r="AJ55" s="503">
        <f t="shared" si="52"/>
        <v>411.69519693148322</v>
      </c>
      <c r="AK55" s="503">
        <f t="shared" si="52"/>
        <v>0</v>
      </c>
      <c r="AL55" s="503">
        <f t="shared" si="52"/>
        <v>0</v>
      </c>
      <c r="AM55" s="503">
        <f t="shared" si="52"/>
        <v>0</v>
      </c>
      <c r="AN55" s="503">
        <f t="shared" ref="AN55:AO68" si="53">+IF(AN$35&lt;$AA55,$Y55*AN$35+$Z55,0)</f>
        <v>0</v>
      </c>
      <c r="AO55" s="503">
        <f t="shared" si="53"/>
        <v>0</v>
      </c>
    </row>
    <row r="56" spans="2:41" x14ac:dyDescent="0.25">
      <c r="B56" t="s">
        <v>888</v>
      </c>
      <c r="C56" t="s">
        <v>896</v>
      </c>
      <c r="D56" s="486">
        <v>4.72</v>
      </c>
      <c r="E56" s="488">
        <f t="shared" si="43"/>
        <v>0.73699999999999999</v>
      </c>
      <c r="F56" s="488">
        <f t="shared" si="44"/>
        <v>0.26300000000000001</v>
      </c>
      <c r="G56" s="488" t="str">
        <f t="shared" si="45"/>
        <v>Oil and Gas</v>
      </c>
      <c r="H56" s="489">
        <f>+D56*73.7%</f>
        <v>3.47864</v>
      </c>
      <c r="I56" s="121">
        <v>7.45</v>
      </c>
      <c r="J56" s="490">
        <f t="shared" si="46"/>
        <v>5.3063174560000004</v>
      </c>
      <c r="K56" s="638">
        <v>5000</v>
      </c>
      <c r="L56" s="642">
        <v>3418.0511603375526</v>
      </c>
      <c r="M56" s="643">
        <v>2772.6133966244743</v>
      </c>
      <c r="N56" s="643">
        <v>1873.6814345991588</v>
      </c>
      <c r="O56" s="643">
        <v>773.00896624472807</v>
      </c>
      <c r="P56" s="643">
        <v>570.93881856540247</v>
      </c>
      <c r="Q56" s="643"/>
      <c r="R56" s="643"/>
      <c r="S56" s="643"/>
      <c r="T56" s="643"/>
      <c r="U56" s="643"/>
      <c r="V56" s="643"/>
      <c r="W56" s="643"/>
      <c r="X56" s="644"/>
      <c r="Y56" s="495">
        <f t="shared" si="47"/>
        <v>-314.39259602793521</v>
      </c>
      <c r="Z56" s="495">
        <f t="shared" si="49"/>
        <v>638526.66571184306</v>
      </c>
      <c r="AA56" s="494">
        <v>2030</v>
      </c>
      <c r="AB56" s="121" t="s">
        <v>896</v>
      </c>
      <c r="AC56" s="503">
        <f t="shared" si="52"/>
        <v>3453.621735413908</v>
      </c>
      <c r="AD56" s="503">
        <f t="shared" si="52"/>
        <v>2510.4439473301172</v>
      </c>
      <c r="AE56" s="503">
        <f t="shared" si="52"/>
        <v>1881.6587552742567</v>
      </c>
      <c r="AF56" s="503">
        <f t="shared" si="52"/>
        <v>1252.8735632183962</v>
      </c>
      <c r="AG56" s="503">
        <f t="shared" si="52"/>
        <v>0</v>
      </c>
      <c r="AH56" s="503">
        <f t="shared" si="52"/>
        <v>0</v>
      </c>
      <c r="AI56" s="503">
        <f t="shared" si="52"/>
        <v>0</v>
      </c>
      <c r="AJ56" s="503">
        <f t="shared" si="52"/>
        <v>0</v>
      </c>
      <c r="AK56" s="503">
        <f t="shared" si="52"/>
        <v>0</v>
      </c>
      <c r="AL56" s="503">
        <f t="shared" si="52"/>
        <v>0</v>
      </c>
      <c r="AM56" s="503">
        <f t="shared" si="52"/>
        <v>0</v>
      </c>
      <c r="AN56" s="503">
        <f t="shared" si="53"/>
        <v>0</v>
      </c>
      <c r="AO56" s="503">
        <f t="shared" si="53"/>
        <v>0</v>
      </c>
    </row>
    <row r="57" spans="2:41" x14ac:dyDescent="0.25">
      <c r="B57" t="s">
        <v>473</v>
      </c>
      <c r="C57" t="s">
        <v>897</v>
      </c>
      <c r="D57" s="486">
        <v>11.27</v>
      </c>
      <c r="E57" s="488">
        <f t="shared" si="43"/>
        <v>1</v>
      </c>
      <c r="F57" s="488">
        <f t="shared" si="44"/>
        <v>0</v>
      </c>
      <c r="G57" s="488" t="str">
        <f t="shared" si="45"/>
        <v>Oil</v>
      </c>
      <c r="H57" s="489">
        <v>11.27</v>
      </c>
      <c r="I57" s="121">
        <v>0</v>
      </c>
      <c r="J57" s="490">
        <f t="shared" si="46"/>
        <v>0</v>
      </c>
      <c r="K57" s="638">
        <v>3450</v>
      </c>
      <c r="L57" s="642">
        <v>2515.9744408945689</v>
      </c>
      <c r="M57" s="643">
        <v>2180.5111821086266</v>
      </c>
      <c r="N57" s="643">
        <v>1744.408945686901</v>
      </c>
      <c r="O57" s="643"/>
      <c r="P57" s="643">
        <v>1230.031948881789</v>
      </c>
      <c r="Q57" s="643"/>
      <c r="R57" s="643">
        <v>861.02236421725229</v>
      </c>
      <c r="S57" s="643"/>
      <c r="T57" s="643">
        <v>615.01597444089475</v>
      </c>
      <c r="U57" s="643"/>
      <c r="V57" s="643">
        <v>447.28434504792313</v>
      </c>
      <c r="W57" s="643"/>
      <c r="X57" s="644">
        <v>313.09904153354637</v>
      </c>
      <c r="Y57" s="495">
        <f t="shared" si="47"/>
        <v>-73.116911247089405</v>
      </c>
      <c r="Z57" s="495">
        <f t="shared" si="49"/>
        <v>149921.65755130773</v>
      </c>
      <c r="AA57" s="494">
        <v>2067</v>
      </c>
      <c r="AB57" s="121" t="s">
        <v>897</v>
      </c>
      <c r="AC57" s="503">
        <f t="shared" si="52"/>
        <v>2225.496832187142</v>
      </c>
      <c r="AD57" s="503">
        <f t="shared" si="52"/>
        <v>2006.1460984458681</v>
      </c>
      <c r="AE57" s="503">
        <f t="shared" si="52"/>
        <v>1859.9122759516758</v>
      </c>
      <c r="AF57" s="503">
        <f t="shared" si="52"/>
        <v>1713.6784534575127</v>
      </c>
      <c r="AG57" s="503">
        <f t="shared" si="52"/>
        <v>1494.3277197162388</v>
      </c>
      <c r="AH57" s="503">
        <f t="shared" si="52"/>
        <v>1274.9769859749649</v>
      </c>
      <c r="AI57" s="503">
        <f t="shared" si="52"/>
        <v>1128.7431634807726</v>
      </c>
      <c r="AJ57" s="503">
        <f t="shared" si="52"/>
        <v>982.50934098660946</v>
      </c>
      <c r="AK57" s="503">
        <f t="shared" si="52"/>
        <v>763.15860724533559</v>
      </c>
      <c r="AL57" s="503">
        <f t="shared" si="52"/>
        <v>543.80787350406172</v>
      </c>
      <c r="AM57" s="503">
        <f t="shared" si="52"/>
        <v>397.57405100989854</v>
      </c>
      <c r="AN57" s="503">
        <f t="shared" si="53"/>
        <v>251.34022851570626</v>
      </c>
      <c r="AO57" s="503">
        <f t="shared" si="53"/>
        <v>31.989494774432387</v>
      </c>
    </row>
    <row r="58" spans="2:41" x14ac:dyDescent="0.25">
      <c r="B58" t="s">
        <v>473</v>
      </c>
      <c r="C58" t="s">
        <v>850</v>
      </c>
      <c r="D58" s="486">
        <v>3.84</v>
      </c>
      <c r="E58" s="488">
        <f t="shared" si="43"/>
        <v>0</v>
      </c>
      <c r="F58" s="488">
        <f t="shared" si="44"/>
        <v>1</v>
      </c>
      <c r="G58" s="488" t="str">
        <f t="shared" si="45"/>
        <v>Gas</v>
      </c>
      <c r="H58" s="489"/>
      <c r="I58" s="121">
        <v>23.03</v>
      </c>
      <c r="J58" s="490">
        <f t="shared" si="46"/>
        <v>0</v>
      </c>
      <c r="K58" s="638">
        <v>5700</v>
      </c>
      <c r="L58" s="642">
        <v>5461.7834394904457</v>
      </c>
      <c r="M58" s="643">
        <v>1738.8535031847141</v>
      </c>
      <c r="N58" s="643">
        <v>936.30573248407654</v>
      </c>
      <c r="O58" s="643">
        <v>468.15286624203873</v>
      </c>
      <c r="P58" s="643"/>
      <c r="Q58" s="643"/>
      <c r="R58" s="643"/>
      <c r="S58" s="643"/>
      <c r="T58" s="643"/>
      <c r="U58" s="643"/>
      <c r="V58" s="643"/>
      <c r="W58" s="643"/>
      <c r="X58" s="644"/>
      <c r="Y58" s="495">
        <f t="shared" si="47"/>
        <v>-713.79248764807414</v>
      </c>
      <c r="Z58" s="495">
        <f t="shared" si="49"/>
        <v>1446688.8207631402</v>
      </c>
      <c r="AA58" s="494">
        <v>2028</v>
      </c>
      <c r="AB58" s="121" t="s">
        <v>850</v>
      </c>
      <c r="AC58" s="503">
        <f t="shared" ref="AC58:AE68" si="54">+IF(AC$35&lt;$AA58,$Y58*AC$35+$Z58,0)</f>
        <v>4827.9957140304614</v>
      </c>
      <c r="AD58" s="503">
        <f t="shared" si="54"/>
        <v>2686.6182510862127</v>
      </c>
      <c r="AE58" s="503">
        <f t="shared" si="54"/>
        <v>1259.0332757900469</v>
      </c>
      <c r="AF58" s="503">
        <v>0</v>
      </c>
      <c r="AG58" s="503">
        <f t="shared" ref="AG58:AM58" si="55">+IF(AG$35&lt;$AA58,$Y58*AG$35+$Z58,0)</f>
        <v>0</v>
      </c>
      <c r="AH58" s="503">
        <f t="shared" si="55"/>
        <v>0</v>
      </c>
      <c r="AI58" s="503">
        <f t="shared" si="55"/>
        <v>0</v>
      </c>
      <c r="AJ58" s="503">
        <f t="shared" si="55"/>
        <v>0</v>
      </c>
      <c r="AK58" s="503">
        <f t="shared" si="55"/>
        <v>0</v>
      </c>
      <c r="AL58" s="503">
        <f t="shared" si="55"/>
        <v>0</v>
      </c>
      <c r="AM58" s="503">
        <f t="shared" si="55"/>
        <v>0</v>
      </c>
      <c r="AN58" s="503">
        <f t="shared" si="53"/>
        <v>0</v>
      </c>
      <c r="AO58" s="503">
        <f t="shared" si="53"/>
        <v>0</v>
      </c>
    </row>
    <row r="59" spans="2:41" x14ac:dyDescent="0.25">
      <c r="B59" t="s">
        <v>473</v>
      </c>
      <c r="C59" t="s">
        <v>898</v>
      </c>
      <c r="D59" s="486">
        <v>14.92</v>
      </c>
      <c r="E59" s="488">
        <f t="shared" si="43"/>
        <v>0.99739999999999995</v>
      </c>
      <c r="F59" s="488">
        <f t="shared" si="44"/>
        <v>2.6000000000000467E-3</v>
      </c>
      <c r="G59" s="488" t="str">
        <f t="shared" si="45"/>
        <v>Oil and Gas</v>
      </c>
      <c r="H59" s="489">
        <f>+D59*99.74%</f>
        <v>14.881207999999999</v>
      </c>
      <c r="I59" s="121">
        <v>0.24</v>
      </c>
      <c r="J59" s="490">
        <f t="shared" si="46"/>
        <v>0.22440861664000403</v>
      </c>
      <c r="K59" s="638">
        <v>12100</v>
      </c>
      <c r="L59" s="642">
        <v>10378.588980143002</v>
      </c>
      <c r="M59" s="643"/>
      <c r="N59" s="643">
        <v>4118.367166227612</v>
      </c>
      <c r="O59" s="643"/>
      <c r="P59" s="643">
        <v>1302.5922564363664</v>
      </c>
      <c r="Q59" s="643"/>
      <c r="R59" s="643">
        <v>695.4596772408313</v>
      </c>
      <c r="S59" s="643"/>
      <c r="T59" s="643">
        <v>529.80762845062418</v>
      </c>
      <c r="U59" s="643"/>
      <c r="V59" s="643"/>
      <c r="W59" s="643"/>
      <c r="X59" s="644"/>
      <c r="Y59" s="495">
        <f t="shared" si="47"/>
        <v>-462.40940384743078</v>
      </c>
      <c r="Z59" s="495">
        <f t="shared" si="49"/>
        <v>942096.05295198411</v>
      </c>
      <c r="AA59" s="494">
        <v>2043</v>
      </c>
      <c r="AB59" s="121" t="s">
        <v>898</v>
      </c>
      <c r="AC59" s="503">
        <f t="shared" si="54"/>
        <v>8029.0571801739279</v>
      </c>
      <c r="AD59" s="503">
        <f t="shared" si="54"/>
        <v>6641.8289686316857</v>
      </c>
      <c r="AE59" s="503">
        <f t="shared" si="54"/>
        <v>5717.0101609367412</v>
      </c>
      <c r="AF59" s="503">
        <f t="shared" ref="AF59:AJ68" si="56">+IF(AF$35&lt;$AA59,$Y59*AF$35+$Z59,0)</f>
        <v>4792.191353241913</v>
      </c>
      <c r="AG59" s="503">
        <f t="shared" si="56"/>
        <v>3404.9631416996708</v>
      </c>
      <c r="AH59" s="503">
        <f t="shared" si="56"/>
        <v>2017.7349301573122</v>
      </c>
      <c r="AI59" s="503">
        <f t="shared" si="56"/>
        <v>1092.9161224624841</v>
      </c>
      <c r="AJ59" s="503">
        <f t="shared" si="56"/>
        <v>168.09731476765592</v>
      </c>
      <c r="AK59" s="503">
        <v>0</v>
      </c>
      <c r="AL59" s="503">
        <f t="shared" ref="AL59:AM68" si="57">+IF(AL$35&lt;$AA59,$Y59*AL$35+$Z59,0)</f>
        <v>0</v>
      </c>
      <c r="AM59" s="503">
        <f t="shared" si="57"/>
        <v>0</v>
      </c>
      <c r="AN59" s="503">
        <f t="shared" si="53"/>
        <v>0</v>
      </c>
      <c r="AO59" s="503">
        <f t="shared" si="53"/>
        <v>0</v>
      </c>
    </row>
    <row r="60" spans="2:41" x14ac:dyDescent="0.25">
      <c r="B60" t="s">
        <v>473</v>
      </c>
      <c r="C60" t="s">
        <v>856</v>
      </c>
      <c r="D60" s="486">
        <v>43.42</v>
      </c>
      <c r="E60" s="488">
        <f t="shared" si="43"/>
        <v>0.93490000000000006</v>
      </c>
      <c r="F60" s="488">
        <f t="shared" si="44"/>
        <v>6.5099999999999936E-2</v>
      </c>
      <c r="G60" s="488" t="str">
        <f t="shared" si="45"/>
        <v>Oil and Gas</v>
      </c>
      <c r="H60" s="489">
        <f>+D60*93.49%</f>
        <v>40.593358000000002</v>
      </c>
      <c r="I60" s="121">
        <v>16.96</v>
      </c>
      <c r="J60" s="490">
        <f t="shared" si="46"/>
        <v>15.327240113639984</v>
      </c>
      <c r="K60" s="638">
        <v>30000</v>
      </c>
      <c r="L60" s="642">
        <v>25106.666666666664</v>
      </c>
      <c r="M60" s="643"/>
      <c r="N60" s="643">
        <v>11573.333333333336</v>
      </c>
      <c r="O60" s="643"/>
      <c r="P60" s="643">
        <v>4200</v>
      </c>
      <c r="Q60" s="643"/>
      <c r="R60" s="643">
        <v>2146.6666666666642</v>
      </c>
      <c r="S60" s="643"/>
      <c r="T60" s="643">
        <v>1213.3333333333358</v>
      </c>
      <c r="U60" s="643"/>
      <c r="V60" s="643"/>
      <c r="W60" s="643"/>
      <c r="X60" s="644"/>
      <c r="Y60" s="495">
        <f t="shared" si="47"/>
        <v>-1144.2666666666664</v>
      </c>
      <c r="Z60" s="495">
        <f t="shared" si="49"/>
        <v>2331709.333333333</v>
      </c>
      <c r="AA60" s="494">
        <v>2042</v>
      </c>
      <c r="AB60" s="121" t="s">
        <v>856</v>
      </c>
      <c r="AC60" s="503">
        <f t="shared" si="54"/>
        <v>20290.666666666977</v>
      </c>
      <c r="AD60" s="503">
        <f t="shared" si="54"/>
        <v>16857.866666666698</v>
      </c>
      <c r="AE60" s="503">
        <f t="shared" si="54"/>
        <v>14569.333333333489</v>
      </c>
      <c r="AF60" s="503">
        <f t="shared" si="56"/>
        <v>12280.800000000279</v>
      </c>
      <c r="AG60" s="503">
        <f t="shared" si="56"/>
        <v>8848</v>
      </c>
      <c r="AH60" s="503">
        <f t="shared" si="56"/>
        <v>5415.2000000001863</v>
      </c>
      <c r="AI60" s="503">
        <f t="shared" si="56"/>
        <v>3126.6666666669771</v>
      </c>
      <c r="AJ60" s="503">
        <f t="shared" si="56"/>
        <v>838.13333333330229</v>
      </c>
      <c r="AK60" s="503">
        <v>0</v>
      </c>
      <c r="AL60" s="503">
        <f t="shared" si="57"/>
        <v>0</v>
      </c>
      <c r="AM60" s="503">
        <f t="shared" si="57"/>
        <v>0</v>
      </c>
      <c r="AN60" s="503">
        <f t="shared" si="53"/>
        <v>0</v>
      </c>
      <c r="AO60" s="503">
        <f t="shared" si="53"/>
        <v>0</v>
      </c>
    </row>
    <row r="61" spans="2:41" x14ac:dyDescent="0.25">
      <c r="B61" t="s">
        <v>473</v>
      </c>
      <c r="C61" t="s">
        <v>851</v>
      </c>
      <c r="D61" s="486">
        <v>7.3</v>
      </c>
      <c r="E61" s="488">
        <f t="shared" si="43"/>
        <v>0.89639999999999997</v>
      </c>
      <c r="F61" s="488">
        <f t="shared" si="44"/>
        <v>0.10360000000000003</v>
      </c>
      <c r="G61" s="488" t="str">
        <f t="shared" si="45"/>
        <v>Oil and Gas</v>
      </c>
      <c r="H61" s="489">
        <f>+D61*89.64%</f>
        <v>6.5437199999999995</v>
      </c>
      <c r="I61" s="121">
        <v>4.54</v>
      </c>
      <c r="J61" s="490">
        <f t="shared" si="46"/>
        <v>3.9319904736000009</v>
      </c>
      <c r="K61" s="638">
        <v>2100</v>
      </c>
      <c r="L61" s="642">
        <v>1984.4236760124613</v>
      </c>
      <c r="M61" s="643"/>
      <c r="N61" s="643">
        <v>1548.2866043613712</v>
      </c>
      <c r="O61" s="643"/>
      <c r="P61" s="643">
        <v>937.6947040498444</v>
      </c>
      <c r="Q61" s="643"/>
      <c r="R61" s="643">
        <v>632.39875389408189</v>
      </c>
      <c r="S61" s="643"/>
      <c r="T61" s="643">
        <v>414.33021806853685</v>
      </c>
      <c r="U61" s="643">
        <v>370.71651090342766</v>
      </c>
      <c r="V61" s="643"/>
      <c r="W61" s="643"/>
      <c r="X61" s="644"/>
      <c r="Y61" s="495">
        <f t="shared" si="47"/>
        <v>-72.199748918956587</v>
      </c>
      <c r="Z61" s="495">
        <f t="shared" si="49"/>
        <v>147703.23150602126</v>
      </c>
      <c r="AA61" s="494">
        <v>2044</v>
      </c>
      <c r="AB61" s="121" t="s">
        <v>851</v>
      </c>
      <c r="AC61" s="503">
        <f t="shared" si="54"/>
        <v>1859.7386897289543</v>
      </c>
      <c r="AD61" s="503">
        <f t="shared" si="54"/>
        <v>1643.1394429720822</v>
      </c>
      <c r="AE61" s="503">
        <f t="shared" si="54"/>
        <v>1498.7399451341771</v>
      </c>
      <c r="AF61" s="503">
        <f t="shared" si="56"/>
        <v>1354.3404472962429</v>
      </c>
      <c r="AG61" s="503">
        <f t="shared" si="56"/>
        <v>1137.7412005393999</v>
      </c>
      <c r="AH61" s="503">
        <f t="shared" si="56"/>
        <v>921.14195378252771</v>
      </c>
      <c r="AI61" s="503">
        <f t="shared" si="56"/>
        <v>776.74245594459353</v>
      </c>
      <c r="AJ61" s="503">
        <f t="shared" si="56"/>
        <v>632.34295810668846</v>
      </c>
      <c r="AK61" s="503">
        <f>+IF(AK$35&lt;$AA61,$Y61*AK$35+$Z61,0)</f>
        <v>415.74371134981629</v>
      </c>
      <c r="AL61" s="503">
        <f t="shared" si="57"/>
        <v>199.14446459294413</v>
      </c>
      <c r="AM61" s="503">
        <f t="shared" si="57"/>
        <v>0</v>
      </c>
      <c r="AN61" s="503">
        <f t="shared" si="53"/>
        <v>0</v>
      </c>
      <c r="AO61" s="503">
        <f t="shared" si="53"/>
        <v>0</v>
      </c>
    </row>
    <row r="62" spans="2:41" x14ac:dyDescent="0.25">
      <c r="B62" t="s">
        <v>473</v>
      </c>
      <c r="C62" t="s">
        <v>899</v>
      </c>
      <c r="D62" s="486">
        <v>130.22</v>
      </c>
      <c r="E62" s="488">
        <f t="shared" si="43"/>
        <v>0.63649999999999995</v>
      </c>
      <c r="F62" s="488">
        <f t="shared" si="44"/>
        <v>0.36350000000000005</v>
      </c>
      <c r="G62" s="488" t="str">
        <f t="shared" si="45"/>
        <v>Oil and Gas</v>
      </c>
      <c r="H62" s="489">
        <f>+D62*63.65%</f>
        <v>82.88503</v>
      </c>
      <c r="I62" s="121">
        <v>284</v>
      </c>
      <c r="J62" s="490">
        <f t="shared" si="46"/>
        <v>174.74650874900004</v>
      </c>
      <c r="K62" s="638">
        <v>59000</v>
      </c>
      <c r="L62" s="642">
        <v>56720.867208672084</v>
      </c>
      <c r="M62" s="643">
        <v>45149.051490514903</v>
      </c>
      <c r="N62" s="643">
        <v>33197.83197831978</v>
      </c>
      <c r="O62" s="643">
        <v>20298.102981029806</v>
      </c>
      <c r="P62" s="643">
        <v>14986.449864498638</v>
      </c>
      <c r="Q62" s="643">
        <v>10433.604336043354</v>
      </c>
      <c r="R62" s="643">
        <v>7777.7777777777665</v>
      </c>
      <c r="S62" s="643">
        <v>5880.7588075880631</v>
      </c>
      <c r="T62" s="643">
        <v>4363.1436314363091</v>
      </c>
      <c r="U62" s="643"/>
      <c r="V62" s="643"/>
      <c r="W62" s="643"/>
      <c r="X62" s="644"/>
      <c r="Y62" s="495">
        <f t="shared" si="47"/>
        <v>-2609.6968619959425</v>
      </c>
      <c r="Z62" s="495">
        <f t="shared" si="49"/>
        <v>5319774.3618601942</v>
      </c>
      <c r="AA62" s="494">
        <v>2043</v>
      </c>
      <c r="AB62" s="121" t="s">
        <v>899</v>
      </c>
      <c r="AC62" s="503">
        <f t="shared" si="54"/>
        <v>48186.700628390536</v>
      </c>
      <c r="AD62" s="503">
        <f t="shared" si="54"/>
        <v>40357.610042402521</v>
      </c>
      <c r="AE62" s="503">
        <f t="shared" si="54"/>
        <v>35138.216318410821</v>
      </c>
      <c r="AF62" s="503">
        <f t="shared" si="56"/>
        <v>29918.822594419122</v>
      </c>
      <c r="AG62" s="503">
        <f t="shared" si="56"/>
        <v>22089.732008431107</v>
      </c>
      <c r="AH62" s="503">
        <f t="shared" si="56"/>
        <v>14260.641422443092</v>
      </c>
      <c r="AI62" s="503">
        <f t="shared" si="56"/>
        <v>9041.2476984513924</v>
      </c>
      <c r="AJ62" s="503">
        <f t="shared" si="56"/>
        <v>3821.8539744596928</v>
      </c>
      <c r="AK62" s="503">
        <v>0</v>
      </c>
      <c r="AL62" s="503">
        <f t="shared" si="57"/>
        <v>0</v>
      </c>
      <c r="AM62" s="503">
        <f t="shared" si="57"/>
        <v>0</v>
      </c>
      <c r="AN62" s="503">
        <f t="shared" si="53"/>
        <v>0</v>
      </c>
      <c r="AO62" s="503">
        <f t="shared" si="53"/>
        <v>0</v>
      </c>
    </row>
    <row r="63" spans="2:41" x14ac:dyDescent="0.25">
      <c r="B63" t="s">
        <v>473</v>
      </c>
      <c r="C63" t="s">
        <v>900</v>
      </c>
      <c r="D63" s="486">
        <v>0.57999999999999996</v>
      </c>
      <c r="E63" s="488">
        <f t="shared" si="43"/>
        <v>1</v>
      </c>
      <c r="F63" s="488">
        <f t="shared" si="44"/>
        <v>0</v>
      </c>
      <c r="G63" s="488" t="str">
        <f t="shared" si="45"/>
        <v>Oil</v>
      </c>
      <c r="H63" s="489">
        <f>+D63</f>
        <v>0.57999999999999996</v>
      </c>
      <c r="I63" s="121">
        <v>0</v>
      </c>
      <c r="J63" s="490">
        <f t="shared" si="46"/>
        <v>0</v>
      </c>
      <c r="K63" s="638">
        <v>550</v>
      </c>
      <c r="L63" s="642">
        <v>473.60248447204958</v>
      </c>
      <c r="M63" s="643">
        <v>349.37888198757764</v>
      </c>
      <c r="N63" s="643">
        <v>163.04347826086996</v>
      </c>
      <c r="O63" s="643">
        <v>108.695652173913</v>
      </c>
      <c r="P63" s="643">
        <v>77.639751552795133</v>
      </c>
      <c r="Q63" s="643"/>
      <c r="R63" s="643"/>
      <c r="S63" s="643"/>
      <c r="T63" s="643"/>
      <c r="U63" s="643"/>
      <c r="V63" s="643"/>
      <c r="W63" s="643"/>
      <c r="X63" s="644"/>
      <c r="Y63" s="495">
        <f t="shared" si="47"/>
        <v>-42.434140072820718</v>
      </c>
      <c r="Z63" s="495">
        <f t="shared" si="49"/>
        <v>86163.605697151404</v>
      </c>
      <c r="AA63" s="494">
        <v>2031</v>
      </c>
      <c r="AB63" s="121" t="s">
        <v>900</v>
      </c>
      <c r="AC63" s="503">
        <f t="shared" si="54"/>
        <v>446.64275005355012</v>
      </c>
      <c r="AD63" s="503">
        <f t="shared" si="54"/>
        <v>319.34032983508951</v>
      </c>
      <c r="AE63" s="503">
        <f t="shared" si="54"/>
        <v>234.47204968944425</v>
      </c>
      <c r="AF63" s="503">
        <f t="shared" si="56"/>
        <v>149.60376954381354</v>
      </c>
      <c r="AG63" s="503">
        <f t="shared" si="56"/>
        <v>22.30134932535293</v>
      </c>
      <c r="AH63" s="503">
        <f t="shared" si="56"/>
        <v>0</v>
      </c>
      <c r="AI63" s="503">
        <f t="shared" si="56"/>
        <v>0</v>
      </c>
      <c r="AJ63" s="503">
        <f t="shared" si="56"/>
        <v>0</v>
      </c>
      <c r="AK63" s="503">
        <f t="shared" ref="AK63:AK68" si="58">+IF(AK$35&lt;$AA63,$Y63*AK$35+$Z63,0)</f>
        <v>0</v>
      </c>
      <c r="AL63" s="503">
        <f t="shared" si="57"/>
        <v>0</v>
      </c>
      <c r="AM63" s="503">
        <f t="shared" si="57"/>
        <v>0</v>
      </c>
      <c r="AN63" s="503">
        <f t="shared" si="53"/>
        <v>0</v>
      </c>
      <c r="AO63" s="503">
        <f t="shared" si="53"/>
        <v>0</v>
      </c>
    </row>
    <row r="64" spans="2:41" x14ac:dyDescent="0.25">
      <c r="B64" t="s">
        <v>473</v>
      </c>
      <c r="C64" t="s">
        <v>841</v>
      </c>
      <c r="D64" s="486">
        <v>272.89999999999998</v>
      </c>
      <c r="E64" s="488">
        <f t="shared" si="43"/>
        <v>0.99776474899230505</v>
      </c>
      <c r="F64" s="488">
        <f t="shared" si="44"/>
        <v>2.2352510076949494E-3</v>
      </c>
      <c r="G64" s="488" t="str">
        <f t="shared" si="45"/>
        <v>Oil and Gas</v>
      </c>
      <c r="H64" s="489">
        <v>272.29000000000002</v>
      </c>
      <c r="I64" s="121">
        <v>0</v>
      </c>
      <c r="J64" s="490">
        <f t="shared" si="46"/>
        <v>3.5300916819344952</v>
      </c>
      <c r="K64" s="638">
        <v>112500</v>
      </c>
      <c r="L64" s="642">
        <v>106081.08108108109</v>
      </c>
      <c r="M64" s="643"/>
      <c r="N64" s="643">
        <v>70945.945945945947</v>
      </c>
      <c r="O64" s="643"/>
      <c r="P64" s="643">
        <v>37162.16216216216</v>
      </c>
      <c r="Q64" s="643"/>
      <c r="R64" s="643">
        <v>23648.648648648639</v>
      </c>
      <c r="S64" s="643"/>
      <c r="T64" s="643"/>
      <c r="U64" s="643"/>
      <c r="V64" s="643"/>
      <c r="W64" s="643"/>
      <c r="X64" s="644"/>
      <c r="Y64" s="495">
        <f t="shared" si="47"/>
        <v>-5621.6216216216235</v>
      </c>
      <c r="Z64" s="495">
        <f t="shared" si="49"/>
        <v>11457297.297297301</v>
      </c>
      <c r="AA64" s="494">
        <v>2036</v>
      </c>
      <c r="AB64" s="121" t="s">
        <v>841</v>
      </c>
      <c r="AC64" s="503">
        <f t="shared" si="54"/>
        <v>101621.62162162177</v>
      </c>
      <c r="AD64" s="503">
        <f t="shared" si="54"/>
        <v>84756.756756756455</v>
      </c>
      <c r="AE64" s="503">
        <f t="shared" si="54"/>
        <v>73513.513513512909</v>
      </c>
      <c r="AF64" s="503">
        <f t="shared" si="56"/>
        <v>62270.270270269364</v>
      </c>
      <c r="AG64" s="503">
        <f t="shared" si="56"/>
        <v>45405.405405405909</v>
      </c>
      <c r="AH64" s="503">
        <f t="shared" si="56"/>
        <v>28540.540540540591</v>
      </c>
      <c r="AI64" s="503">
        <f t="shared" si="56"/>
        <v>17297.297297297046</v>
      </c>
      <c r="AJ64" s="503">
        <f t="shared" si="56"/>
        <v>0</v>
      </c>
      <c r="AK64" s="503">
        <f t="shared" si="58"/>
        <v>0</v>
      </c>
      <c r="AL64" s="503">
        <f t="shared" si="57"/>
        <v>0</v>
      </c>
      <c r="AM64" s="503">
        <f t="shared" si="57"/>
        <v>0</v>
      </c>
      <c r="AN64" s="503">
        <f t="shared" si="53"/>
        <v>0</v>
      </c>
      <c r="AO64" s="503">
        <f t="shared" si="53"/>
        <v>0</v>
      </c>
    </row>
    <row r="65" spans="2:41" x14ac:dyDescent="0.25">
      <c r="B65" t="s">
        <v>473</v>
      </c>
      <c r="C65" t="s">
        <v>833</v>
      </c>
      <c r="D65" s="486">
        <v>24.09</v>
      </c>
      <c r="E65" s="488">
        <f t="shared" si="43"/>
        <v>1</v>
      </c>
      <c r="F65" s="488">
        <f t="shared" si="44"/>
        <v>0</v>
      </c>
      <c r="G65" s="488" t="str">
        <f t="shared" si="45"/>
        <v>Oil</v>
      </c>
      <c r="H65" s="489">
        <f>+D65</f>
        <v>24.09</v>
      </c>
      <c r="I65" s="121">
        <v>0</v>
      </c>
      <c r="J65" s="490">
        <f t="shared" si="46"/>
        <v>0</v>
      </c>
      <c r="K65" s="638">
        <v>4000</v>
      </c>
      <c r="L65" s="642">
        <v>3685.1509048868647</v>
      </c>
      <c r="M65" s="643">
        <v>3841.6159807970034</v>
      </c>
      <c r="N65" s="643">
        <v>3234.0636166995537</v>
      </c>
      <c r="O65" s="643"/>
      <c r="P65" s="643">
        <v>2400.88284952908</v>
      </c>
      <c r="Q65" s="643"/>
      <c r="R65" s="643">
        <v>1796.8903625650128</v>
      </c>
      <c r="S65" s="643"/>
      <c r="T65" s="643">
        <v>1422.2556737660816</v>
      </c>
      <c r="U65" s="643"/>
      <c r="V65" s="643">
        <v>1124.0735843555267</v>
      </c>
      <c r="W65" s="643"/>
      <c r="X65" s="644">
        <v>978.79669372173157</v>
      </c>
      <c r="Y65" s="495">
        <f t="shared" si="47"/>
        <v>-102.85974169469129</v>
      </c>
      <c r="Z65" s="495">
        <f t="shared" si="49"/>
        <v>211475.75094444485</v>
      </c>
      <c r="AA65" s="494">
        <v>2064</v>
      </c>
      <c r="AB65" s="121" t="s">
        <v>833</v>
      </c>
      <c r="AC65" s="503">
        <f t="shared" si="54"/>
        <v>3699.072721168428</v>
      </c>
      <c r="AD65" s="503">
        <f t="shared" si="54"/>
        <v>3390.493496084353</v>
      </c>
      <c r="AE65" s="503">
        <f t="shared" si="54"/>
        <v>3184.7740126949793</v>
      </c>
      <c r="AF65" s="503">
        <f t="shared" si="56"/>
        <v>2979.0545293056057</v>
      </c>
      <c r="AG65" s="503">
        <f t="shared" si="56"/>
        <v>2670.4753042215307</v>
      </c>
      <c r="AH65" s="503">
        <f t="shared" si="56"/>
        <v>2361.8960791374557</v>
      </c>
      <c r="AI65" s="503">
        <f t="shared" si="56"/>
        <v>2156.1765957480529</v>
      </c>
      <c r="AJ65" s="503">
        <f t="shared" si="56"/>
        <v>1950.4571123586793</v>
      </c>
      <c r="AK65" s="503">
        <f t="shared" si="58"/>
        <v>1641.8778872746043</v>
      </c>
      <c r="AL65" s="503">
        <f t="shared" si="57"/>
        <v>1333.2986621905293</v>
      </c>
      <c r="AM65" s="503">
        <f t="shared" si="57"/>
        <v>1127.5791788011556</v>
      </c>
      <c r="AN65" s="503">
        <f t="shared" si="53"/>
        <v>921.85969541178201</v>
      </c>
      <c r="AO65" s="503">
        <f t="shared" si="53"/>
        <v>613.28047032770701</v>
      </c>
    </row>
    <row r="66" spans="2:41" x14ac:dyDescent="0.25">
      <c r="B66" t="s">
        <v>473</v>
      </c>
      <c r="C66" t="s">
        <v>901</v>
      </c>
      <c r="D66" s="486">
        <v>5.59</v>
      </c>
      <c r="E66" s="488">
        <f t="shared" si="43"/>
        <v>1</v>
      </c>
      <c r="F66" s="488">
        <f t="shared" si="44"/>
        <v>0</v>
      </c>
      <c r="G66" s="488" t="str">
        <f t="shared" si="45"/>
        <v>Oil</v>
      </c>
      <c r="H66" s="489">
        <f>+D66</f>
        <v>5.59</v>
      </c>
      <c r="I66" s="121">
        <v>0</v>
      </c>
      <c r="J66" s="490">
        <f t="shared" si="46"/>
        <v>0</v>
      </c>
      <c r="K66" s="638">
        <v>1500</v>
      </c>
      <c r="L66" s="642">
        <v>1369.449727815309</v>
      </c>
      <c r="M66" s="643">
        <v>1555.5355151833155</v>
      </c>
      <c r="N66" s="643">
        <v>1215.2021709188698</v>
      </c>
      <c r="O66" s="643"/>
      <c r="P66" s="643"/>
      <c r="Q66" s="643">
        <v>733.31229094248101</v>
      </c>
      <c r="R66" s="643">
        <v>436.58588574801706</v>
      </c>
      <c r="S66" s="643"/>
      <c r="T66" s="643">
        <v>268.17160752935069</v>
      </c>
      <c r="U66" s="643"/>
      <c r="V66" s="643">
        <v>185.1265822784826</v>
      </c>
      <c r="W66" s="643"/>
      <c r="X66" s="644"/>
      <c r="Y66" s="495">
        <f t="shared" si="47"/>
        <v>-57.928435174659477</v>
      </c>
      <c r="Z66" s="495">
        <f t="shared" si="49"/>
        <v>118509.09434274976</v>
      </c>
      <c r="AA66" s="494">
        <v>2047</v>
      </c>
      <c r="AB66" s="121" t="s">
        <v>901</v>
      </c>
      <c r="AC66" s="503">
        <f t="shared" si="54"/>
        <v>1493.6552899376111</v>
      </c>
      <c r="AD66" s="503">
        <f t="shared" si="54"/>
        <v>1319.8699844136281</v>
      </c>
      <c r="AE66" s="503">
        <f t="shared" si="54"/>
        <v>1204.0131140643207</v>
      </c>
      <c r="AF66" s="503">
        <f t="shared" si="56"/>
        <v>1088.1562437149987</v>
      </c>
      <c r="AG66" s="503">
        <f t="shared" si="56"/>
        <v>914.37093819101574</v>
      </c>
      <c r="AH66" s="503">
        <f t="shared" si="56"/>
        <v>740.58563266703277</v>
      </c>
      <c r="AI66" s="503">
        <f t="shared" si="56"/>
        <v>624.72876231772534</v>
      </c>
      <c r="AJ66" s="503">
        <f t="shared" si="56"/>
        <v>508.87189196840336</v>
      </c>
      <c r="AK66" s="503">
        <f t="shared" si="58"/>
        <v>335.08658644442039</v>
      </c>
      <c r="AL66" s="503">
        <f t="shared" si="57"/>
        <v>161.30128092043742</v>
      </c>
      <c r="AM66" s="503">
        <f t="shared" si="57"/>
        <v>45.444410571129993</v>
      </c>
      <c r="AN66" s="503">
        <f t="shared" si="53"/>
        <v>0</v>
      </c>
      <c r="AO66" s="503">
        <f t="shared" si="53"/>
        <v>0</v>
      </c>
    </row>
    <row r="67" spans="2:41" x14ac:dyDescent="0.25">
      <c r="B67" t="s">
        <v>473</v>
      </c>
      <c r="C67" t="s">
        <v>835</v>
      </c>
      <c r="D67" s="486">
        <v>16.52</v>
      </c>
      <c r="E67" s="488">
        <f t="shared" si="43"/>
        <v>0.98069999999999991</v>
      </c>
      <c r="F67" s="488">
        <f t="shared" si="44"/>
        <v>1.9300000000000095E-2</v>
      </c>
      <c r="G67" s="488" t="str">
        <f t="shared" si="45"/>
        <v>Oil and Gas</v>
      </c>
      <c r="H67" s="493">
        <f>+D67*98.07%</f>
        <v>16.201163999999999</v>
      </c>
      <c r="I67" s="121">
        <v>1.91</v>
      </c>
      <c r="J67" s="490">
        <f t="shared" si="46"/>
        <v>1.8135582981600087</v>
      </c>
      <c r="K67" s="638">
        <v>4000</v>
      </c>
      <c r="L67" s="642">
        <v>3788.1619937694686</v>
      </c>
      <c r="M67" s="643"/>
      <c r="N67" s="643">
        <v>2847.1394346734687</v>
      </c>
      <c r="O67" s="643"/>
      <c r="P67" s="643">
        <v>1707.0015780737667</v>
      </c>
      <c r="Q67" s="643"/>
      <c r="R67" s="643">
        <v>1164.8637378271615</v>
      </c>
      <c r="S67" s="643"/>
      <c r="T67" s="643">
        <v>871.94708138118222</v>
      </c>
      <c r="U67" s="643"/>
      <c r="V67" s="643">
        <v>679.11137276064619</v>
      </c>
      <c r="W67" s="643"/>
      <c r="X67" s="644">
        <v>485.75236506651345</v>
      </c>
      <c r="Y67" s="495">
        <f t="shared" si="47"/>
        <v>-107.70242504733639</v>
      </c>
      <c r="Z67" s="495">
        <f t="shared" si="49"/>
        <v>220823.57462326559</v>
      </c>
      <c r="AA67" s="494">
        <v>2060</v>
      </c>
      <c r="AB67" s="121" t="s">
        <v>835</v>
      </c>
      <c r="AC67" s="503">
        <f t="shared" si="54"/>
        <v>3264.6760276460845</v>
      </c>
      <c r="AD67" s="503">
        <f t="shared" si="54"/>
        <v>2941.5687525040703</v>
      </c>
      <c r="AE67" s="503">
        <f t="shared" si="54"/>
        <v>2726.1639024094038</v>
      </c>
      <c r="AF67" s="503">
        <f t="shared" si="56"/>
        <v>2510.7590523147373</v>
      </c>
      <c r="AG67" s="503">
        <f t="shared" si="56"/>
        <v>2187.6517771727231</v>
      </c>
      <c r="AH67" s="503">
        <f t="shared" si="56"/>
        <v>1864.5445020307088</v>
      </c>
      <c r="AI67" s="503">
        <f t="shared" si="56"/>
        <v>1649.1396519360424</v>
      </c>
      <c r="AJ67" s="503">
        <f t="shared" si="56"/>
        <v>1433.7348018413759</v>
      </c>
      <c r="AK67" s="503">
        <f t="shared" si="58"/>
        <v>1110.6275266993616</v>
      </c>
      <c r="AL67" s="503">
        <f t="shared" si="57"/>
        <v>787.52025155734736</v>
      </c>
      <c r="AM67" s="503">
        <f t="shared" si="57"/>
        <v>572.11540146268089</v>
      </c>
      <c r="AN67" s="503">
        <f t="shared" si="53"/>
        <v>356.71055136801442</v>
      </c>
      <c r="AO67" s="503">
        <f t="shared" si="53"/>
        <v>33.603276226000162</v>
      </c>
    </row>
    <row r="68" spans="2:41" x14ac:dyDescent="0.25">
      <c r="B68" t="s">
        <v>473</v>
      </c>
      <c r="C68" t="s">
        <v>854</v>
      </c>
      <c r="D68" s="486">
        <v>90.73</v>
      </c>
      <c r="E68" s="488">
        <f t="shared" si="43"/>
        <v>0.98150000000000004</v>
      </c>
      <c r="F68" s="488">
        <f t="shared" si="44"/>
        <v>1.8499999999999961E-2</v>
      </c>
      <c r="G68" s="488" t="str">
        <f t="shared" si="45"/>
        <v>Oil and Gas</v>
      </c>
      <c r="H68" s="489">
        <f>+D68*98.15%</f>
        <v>89.051495000000003</v>
      </c>
      <c r="I68" s="121">
        <v>10.09</v>
      </c>
      <c r="J68" s="490">
        <f t="shared" si="46"/>
        <v>9.5552254134999792</v>
      </c>
      <c r="K68" s="645">
        <v>18000</v>
      </c>
      <c r="L68" s="646">
        <v>19200.000000000004</v>
      </c>
      <c r="M68" s="647"/>
      <c r="N68" s="647">
        <v>16106.66666666667</v>
      </c>
      <c r="O68" s="647"/>
      <c r="P68" s="647">
        <v>10560.000000000004</v>
      </c>
      <c r="Q68" s="647"/>
      <c r="R68" s="647">
        <v>6666.6666666666679</v>
      </c>
      <c r="S68" s="647"/>
      <c r="T68" s="647">
        <v>4640.0000000000036</v>
      </c>
      <c r="U68" s="647"/>
      <c r="V68" s="647">
        <v>3306.6666666666679</v>
      </c>
      <c r="W68" s="647"/>
      <c r="X68" s="648">
        <v>2293.3333333333358</v>
      </c>
      <c r="Y68" s="495">
        <f t="shared" si="47"/>
        <v>-587.42857142857144</v>
      </c>
      <c r="Z68" s="495">
        <f t="shared" si="49"/>
        <v>1204384.7619047619</v>
      </c>
      <c r="AA68" s="494">
        <v>2061</v>
      </c>
      <c r="AB68" s="121" t="s">
        <v>902</v>
      </c>
      <c r="AC68" s="503">
        <f t="shared" si="54"/>
        <v>17779.047619047575</v>
      </c>
      <c r="AD68" s="503">
        <f t="shared" si="54"/>
        <v>16016.761904761894</v>
      </c>
      <c r="AE68" s="503">
        <f t="shared" si="54"/>
        <v>14841.904761904618</v>
      </c>
      <c r="AF68" s="503">
        <f t="shared" si="56"/>
        <v>13667.047619047575</v>
      </c>
      <c r="AG68" s="503">
        <f t="shared" si="56"/>
        <v>11904.761904761894</v>
      </c>
      <c r="AH68" s="503">
        <f t="shared" si="56"/>
        <v>10142.476190476213</v>
      </c>
      <c r="AI68" s="503">
        <f t="shared" si="56"/>
        <v>8967.6190476189367</v>
      </c>
      <c r="AJ68" s="503">
        <f t="shared" si="56"/>
        <v>7792.7619047618937</v>
      </c>
      <c r="AK68" s="503">
        <f t="shared" si="58"/>
        <v>6030.4761904762127</v>
      </c>
      <c r="AL68" s="503">
        <f t="shared" si="57"/>
        <v>4268.1904761905316</v>
      </c>
      <c r="AM68" s="503">
        <f t="shared" si="57"/>
        <v>3093.3333333332557</v>
      </c>
      <c r="AN68" s="503">
        <f t="shared" si="53"/>
        <v>1918.4761904762127</v>
      </c>
      <c r="AO68" s="503">
        <f t="shared" si="53"/>
        <v>156.19047619053163</v>
      </c>
    </row>
    <row r="71" spans="2:41" x14ac:dyDescent="0.25">
      <c r="D71" t="s">
        <v>903</v>
      </c>
      <c r="E71">
        <f>+E62*L62*G30/1000000</f>
        <v>209.39642547425473</v>
      </c>
      <c r="F71" t="s">
        <v>435</v>
      </c>
      <c r="J71" s="292" t="s">
        <v>904</v>
      </c>
      <c r="L71" s="283">
        <f>+SUMPRODUCT(L36:L68,$E$36:$E$68)</f>
        <v>439792.99238419964</v>
      </c>
      <c r="M71" s="283"/>
      <c r="N71" s="283">
        <f t="shared" ref="N71:X71" si="59">+SUMPRODUCT(N36:N68,$E$36:$E$68)</f>
        <v>262319.60734102631</v>
      </c>
      <c r="O71" s="283">
        <f t="shared" si="59"/>
        <v>13757.131173575406</v>
      </c>
      <c r="P71" s="283">
        <f t="shared" si="59"/>
        <v>177719.56713711005</v>
      </c>
      <c r="Q71" s="283">
        <f t="shared" si="59"/>
        <v>23686.519694339411</v>
      </c>
      <c r="R71" s="283">
        <f t="shared" si="59"/>
        <v>91014.112604275302</v>
      </c>
      <c r="S71" s="283">
        <f t="shared" si="59"/>
        <v>12761.502748413553</v>
      </c>
      <c r="T71" s="283">
        <f t="shared" si="59"/>
        <v>51098.155553823701</v>
      </c>
      <c r="U71" s="283">
        <f t="shared" si="59"/>
        <v>4666.581672511722</v>
      </c>
      <c r="V71" s="283">
        <f t="shared" si="59"/>
        <v>10171.155200011544</v>
      </c>
      <c r="W71" s="283">
        <f t="shared" si="59"/>
        <v>3278.1971811895355</v>
      </c>
      <c r="X71" s="283">
        <f t="shared" si="59"/>
        <v>25442.72093361005</v>
      </c>
    </row>
    <row r="72" spans="2:41" x14ac:dyDescent="0.25">
      <c r="D72" t="s">
        <v>905</v>
      </c>
      <c r="E72">
        <f>+(F48*L48)*G30/1000000</f>
        <v>177.17312143246573</v>
      </c>
      <c r="F72" t="s">
        <v>435</v>
      </c>
      <c r="J72" s="292" t="s">
        <v>906</v>
      </c>
      <c r="L72" s="283">
        <f>+SUMPRODUCT(L36:L68,$F$36:$F$68)</f>
        <v>118588.79500053711</v>
      </c>
      <c r="M72" s="283"/>
      <c r="N72" s="283">
        <f t="shared" ref="N72:X72" si="60">+SUMPRODUCT(N36:N68,$F$36:$F$68)</f>
        <v>74750.74327270432</v>
      </c>
      <c r="O72" s="283">
        <f t="shared" si="60"/>
        <v>20098.230172469674</v>
      </c>
      <c r="P72" s="283">
        <f t="shared" si="60"/>
        <v>27155.221206378876</v>
      </c>
      <c r="Q72" s="283">
        <f t="shared" si="60"/>
        <v>5406.6987731625695</v>
      </c>
      <c r="R72" s="283">
        <f t="shared" si="60"/>
        <v>15487.636727635963</v>
      </c>
      <c r="S72" s="283">
        <f t="shared" si="60"/>
        <v>3194.5714250822398</v>
      </c>
      <c r="T72" s="283">
        <f t="shared" si="60"/>
        <v>6459.4631376235538</v>
      </c>
      <c r="U72" s="283">
        <f t="shared" si="60"/>
        <v>38.406230529595113</v>
      </c>
      <c r="V72" s="283">
        <f t="shared" si="60"/>
        <v>3240.1305511245546</v>
      </c>
      <c r="W72" s="283">
        <f t="shared" si="60"/>
        <v>0</v>
      </c>
      <c r="X72" s="283">
        <f t="shared" si="60"/>
        <v>2400.4840556703116</v>
      </c>
    </row>
    <row r="73" spans="2:41" x14ac:dyDescent="0.25">
      <c r="D73" t="s">
        <v>889</v>
      </c>
      <c r="E73">
        <f>+(F49*L49)*G30/1000000</f>
        <v>0</v>
      </c>
      <c r="F73" t="s">
        <v>435</v>
      </c>
      <c r="J73" s="292" t="s">
        <v>907</v>
      </c>
      <c r="L73" s="75">
        <f>+L72*$G$30/1000000</f>
        <v>687.81501100311516</v>
      </c>
      <c r="M73" s="75"/>
      <c r="N73" s="75">
        <f t="shared" ref="N73" si="61">+N72*$G$30/1000000</f>
        <v>433.55431098168503</v>
      </c>
    </row>
    <row r="74" spans="2:41" x14ac:dyDescent="0.25">
      <c r="D74" t="s">
        <v>890</v>
      </c>
      <c r="E74">
        <f>+(F50*L50)*G30/1000000</f>
        <v>59.792875880758814</v>
      </c>
      <c r="F74" t="s">
        <v>435</v>
      </c>
    </row>
    <row r="76" spans="2:41" x14ac:dyDescent="0.25">
      <c r="J76" s="292" t="s">
        <v>908</v>
      </c>
    </row>
    <row r="81" spans="3:24" x14ac:dyDescent="0.25">
      <c r="O81" s="57"/>
    </row>
    <row r="83" spans="3:24" ht="15.75" x14ac:dyDescent="0.25">
      <c r="K83" s="633"/>
      <c r="L83" s="741" t="s">
        <v>1056</v>
      </c>
      <c r="M83" s="741"/>
      <c r="N83" s="741"/>
      <c r="O83" s="741"/>
      <c r="P83" s="741"/>
      <c r="Q83" s="741"/>
      <c r="R83" s="741"/>
      <c r="S83" s="741"/>
      <c r="T83" s="741"/>
      <c r="U83" s="741"/>
      <c r="V83" s="633"/>
      <c r="W83" s="633"/>
      <c r="X83" s="633"/>
    </row>
    <row r="84" spans="3:24" ht="18.75" x14ac:dyDescent="0.25">
      <c r="F84" s="520" t="s">
        <v>795</v>
      </c>
      <c r="G84" s="520" t="s">
        <v>796</v>
      </c>
      <c r="H84" s="468" t="s">
        <v>797</v>
      </c>
      <c r="I84" s="520" t="s">
        <v>798</v>
      </c>
      <c r="J84" s="520" t="s">
        <v>799</v>
      </c>
      <c r="K84" s="649">
        <v>2019</v>
      </c>
      <c r="L84" s="650">
        <v>2020</v>
      </c>
      <c r="M84" s="650">
        <v>2023</v>
      </c>
      <c r="N84" s="650">
        <v>2025</v>
      </c>
      <c r="O84" s="650">
        <v>2027</v>
      </c>
      <c r="P84" s="650">
        <v>2030</v>
      </c>
      <c r="Q84" s="650">
        <v>2033</v>
      </c>
      <c r="R84" s="650">
        <v>2035</v>
      </c>
      <c r="S84" s="650">
        <v>2037</v>
      </c>
      <c r="T84" s="650">
        <v>2040</v>
      </c>
      <c r="U84" s="650">
        <v>2043</v>
      </c>
      <c r="V84" s="650">
        <v>2045</v>
      </c>
      <c r="W84" s="650">
        <v>2047</v>
      </c>
      <c r="X84" s="650">
        <v>2050</v>
      </c>
    </row>
    <row r="85" spans="3:24" x14ac:dyDescent="0.25">
      <c r="F85" s="473" t="e" vm="1">
        <v>#VALUE!</v>
      </c>
      <c r="G85" s="474" t="s">
        <v>815</v>
      </c>
      <c r="H85" s="474" t="s">
        <v>836</v>
      </c>
      <c r="I85" s="474" t="s">
        <v>837</v>
      </c>
      <c r="J85" s="568" t="s">
        <v>838</v>
      </c>
      <c r="K85" s="653">
        <v>26000</v>
      </c>
      <c r="L85" s="653">
        <f t="shared" ref="L85:X85" si="62">+IF(L47="","",L47)</f>
        <v>18473.762408216862</v>
      </c>
      <c r="M85" s="653" t="str">
        <f t="shared" si="62"/>
        <v/>
      </c>
      <c r="N85" s="653">
        <f t="shared" si="62"/>
        <v>12112.142288064424</v>
      </c>
      <c r="O85" s="653">
        <f t="shared" si="62"/>
        <v>9490.7517064662534</v>
      </c>
      <c r="P85" s="653" t="str">
        <f t="shared" si="62"/>
        <v/>
      </c>
      <c r="Q85" s="653" t="str">
        <f t="shared" si="62"/>
        <v/>
      </c>
      <c r="R85" s="653" t="str">
        <f t="shared" si="62"/>
        <v/>
      </c>
      <c r="S85" s="653" t="str">
        <f t="shared" si="62"/>
        <v/>
      </c>
      <c r="T85" s="653" t="str">
        <f t="shared" si="62"/>
        <v/>
      </c>
      <c r="U85" s="653" t="str">
        <f t="shared" si="62"/>
        <v/>
      </c>
      <c r="V85" s="653" t="str">
        <f t="shared" si="62"/>
        <v/>
      </c>
      <c r="W85" s="653" t="str">
        <f t="shared" si="62"/>
        <v/>
      </c>
      <c r="X85" s="653" t="str">
        <f t="shared" si="62"/>
        <v/>
      </c>
    </row>
    <row r="86" spans="3:24" x14ac:dyDescent="0.25">
      <c r="F86" s="473" t="e" vm="1">
        <v>#VALUE!</v>
      </c>
      <c r="G86" s="474" t="s">
        <v>815</v>
      </c>
      <c r="H86" s="474" t="s">
        <v>836</v>
      </c>
      <c r="I86" s="474" t="s">
        <v>837</v>
      </c>
      <c r="J86" s="568" t="s">
        <v>839</v>
      </c>
      <c r="K86" s="653">
        <f>+IF(K39="","",K39)</f>
        <v>3750</v>
      </c>
      <c r="L86" s="653">
        <f t="shared" ref="L86:X86" si="63">+IF(L39="","",L39)</f>
        <v>2688.1998197310859</v>
      </c>
      <c r="M86" s="653">
        <f t="shared" si="63"/>
        <v>4033.9723277920784</v>
      </c>
      <c r="N86" s="653">
        <f t="shared" si="63"/>
        <v>2897.3861007089963</v>
      </c>
      <c r="O86" s="653">
        <f t="shared" si="63"/>
        <v>2545.9174665712671</v>
      </c>
      <c r="P86" s="653">
        <f t="shared" si="63"/>
        <v>2313.091797764293</v>
      </c>
      <c r="Q86" s="653">
        <f t="shared" si="63"/>
        <v>1610.2660360352002</v>
      </c>
      <c r="R86" s="653">
        <f t="shared" si="63"/>
        <v>1259.1319215365602</v>
      </c>
      <c r="S86" s="653">
        <f t="shared" si="63"/>
        <v>1026.306252729586</v>
      </c>
      <c r="T86" s="653" t="str">
        <f t="shared" si="63"/>
        <v/>
      </c>
      <c r="U86" s="653" t="str">
        <f t="shared" si="63"/>
        <v/>
      </c>
      <c r="V86" s="653" t="str">
        <f t="shared" si="63"/>
        <v/>
      </c>
      <c r="W86" s="653" t="str">
        <f t="shared" si="63"/>
        <v/>
      </c>
      <c r="X86" s="653" t="str">
        <f t="shared" si="63"/>
        <v/>
      </c>
    </row>
    <row r="87" spans="3:24" x14ac:dyDescent="0.25">
      <c r="F87" s="473" t="e" vm="2">
        <v>#VALUE!</v>
      </c>
      <c r="G87" s="474" t="s">
        <v>815</v>
      </c>
      <c r="H87" s="474" t="s">
        <v>849</v>
      </c>
      <c r="I87" s="474" t="s">
        <v>822</v>
      </c>
      <c r="J87" s="568" t="s">
        <v>850</v>
      </c>
      <c r="K87" s="653">
        <f>+IF(K58="","",K58)</f>
        <v>5700</v>
      </c>
      <c r="L87" s="653">
        <f t="shared" ref="L87:X87" si="64">+IF(L58="","",L58)</f>
        <v>5461.7834394904457</v>
      </c>
      <c r="M87" s="653">
        <f t="shared" si="64"/>
        <v>1738.8535031847141</v>
      </c>
      <c r="N87" s="653">
        <f t="shared" si="64"/>
        <v>936.30573248407654</v>
      </c>
      <c r="O87" s="653">
        <f t="shared" si="64"/>
        <v>468.15286624203873</v>
      </c>
      <c r="P87" s="653" t="str">
        <f t="shared" si="64"/>
        <v/>
      </c>
      <c r="Q87" s="653" t="str">
        <f t="shared" si="64"/>
        <v/>
      </c>
      <c r="R87" s="653" t="str">
        <f t="shared" si="64"/>
        <v/>
      </c>
      <c r="S87" s="653" t="str">
        <f t="shared" si="64"/>
        <v/>
      </c>
      <c r="T87" s="653" t="str">
        <f t="shared" si="64"/>
        <v/>
      </c>
      <c r="U87" s="653" t="str">
        <f t="shared" si="64"/>
        <v/>
      </c>
      <c r="V87" s="653" t="str">
        <f t="shared" si="64"/>
        <v/>
      </c>
      <c r="W87" s="653" t="str">
        <f t="shared" si="64"/>
        <v/>
      </c>
      <c r="X87" s="653" t="str">
        <f t="shared" si="64"/>
        <v/>
      </c>
    </row>
    <row r="88" spans="3:24" ht="30" x14ac:dyDescent="0.25">
      <c r="F88" s="473" t="e" vm="3">
        <v>#VALUE!</v>
      </c>
      <c r="G88" s="474" t="s">
        <v>815</v>
      </c>
      <c r="H88" s="474" t="s">
        <v>821</v>
      </c>
      <c r="I88" s="474" t="s">
        <v>822</v>
      </c>
      <c r="J88" s="568" t="s">
        <v>823</v>
      </c>
      <c r="K88" s="653">
        <f>+IF((K48+K49+K50)&gt;0,K48+K49+K50,"")</f>
        <v>50400</v>
      </c>
      <c r="L88" s="653">
        <f t="shared" ref="L88:X88" si="65">+IF((L48+L49+L50)&gt;0,L48+L49+L50,"")</f>
        <v>57761.339525052943</v>
      </c>
      <c r="M88" s="653">
        <f t="shared" si="65"/>
        <v>51749.53655347741</v>
      </c>
      <c r="N88" s="653">
        <f t="shared" si="65"/>
        <v>40137.176145263293</v>
      </c>
      <c r="O88" s="653" t="str">
        <f t="shared" si="65"/>
        <v/>
      </c>
      <c r="P88" s="653">
        <f t="shared" si="65"/>
        <v>23861.379832516486</v>
      </c>
      <c r="Q88" s="653" t="str">
        <f t="shared" si="65"/>
        <v/>
      </c>
      <c r="R88" s="653">
        <f t="shared" si="65"/>
        <v>13767.727412816675</v>
      </c>
      <c r="S88" s="653" t="str">
        <f t="shared" si="65"/>
        <v/>
      </c>
      <c r="T88" s="653">
        <f t="shared" si="65"/>
        <v>5171.3118224932259</v>
      </c>
      <c r="U88" s="653" t="str">
        <f t="shared" si="65"/>
        <v/>
      </c>
      <c r="V88" s="653">
        <f t="shared" si="65"/>
        <v>3501.0586043360454</v>
      </c>
      <c r="W88" s="653" t="str">
        <f t="shared" si="65"/>
        <v/>
      </c>
      <c r="X88" s="653">
        <f t="shared" si="65"/>
        <v>2591.6624322493226</v>
      </c>
    </row>
    <row r="89" spans="3:24" x14ac:dyDescent="0.25">
      <c r="F89" s="473" t="e" vm="3">
        <v>#VALUE!</v>
      </c>
      <c r="G89" s="474" t="s">
        <v>815</v>
      </c>
      <c r="H89" s="474" t="s">
        <v>824</v>
      </c>
      <c r="I89" s="474" t="s">
        <v>822</v>
      </c>
      <c r="J89" s="568" t="s">
        <v>825</v>
      </c>
      <c r="K89" s="653">
        <f>+IF((K51+K52)&gt;0,K51+K52,"")</f>
        <v>33000</v>
      </c>
      <c r="L89" s="653">
        <f t="shared" ref="L89:X89" si="66">+IF((L51+L52)&gt;0,L51+L52,"")</f>
        <v>28513.982927143661</v>
      </c>
      <c r="M89" s="653" t="str">
        <f t="shared" si="66"/>
        <v/>
      </c>
      <c r="N89" s="653">
        <f t="shared" si="66"/>
        <v>15034.158403203066</v>
      </c>
      <c r="O89" s="653" t="str">
        <f t="shared" si="66"/>
        <v/>
      </c>
      <c r="P89" s="653" t="str">
        <f t="shared" si="66"/>
        <v/>
      </c>
      <c r="Q89" s="653" t="str">
        <f t="shared" si="66"/>
        <v/>
      </c>
      <c r="R89" s="653" t="str">
        <f t="shared" si="66"/>
        <v/>
      </c>
      <c r="S89" s="653" t="str">
        <f t="shared" si="66"/>
        <v/>
      </c>
      <c r="T89" s="653" t="str">
        <f t="shared" si="66"/>
        <v/>
      </c>
      <c r="U89" s="653" t="str">
        <f t="shared" si="66"/>
        <v/>
      </c>
      <c r="V89" s="653" t="str">
        <f t="shared" si="66"/>
        <v/>
      </c>
      <c r="W89" s="653" t="str">
        <f t="shared" si="66"/>
        <v/>
      </c>
      <c r="X89" s="653" t="str">
        <f t="shared" si="66"/>
        <v/>
      </c>
    </row>
    <row r="90" spans="3:24" x14ac:dyDescent="0.25">
      <c r="C90">
        <f>+K62+K63</f>
        <v>59550</v>
      </c>
      <c r="F90" s="473" t="e" vm="3">
        <v>#VALUE!</v>
      </c>
      <c r="G90" s="474" t="s">
        <v>815</v>
      </c>
      <c r="H90" s="474" t="s">
        <v>826</v>
      </c>
      <c r="I90" s="474" t="s">
        <v>822</v>
      </c>
      <c r="J90" s="568" t="s">
        <v>827</v>
      </c>
      <c r="K90" s="653">
        <f>+IF((K62+K63)&gt;0,K62+K63,"")</f>
        <v>59550</v>
      </c>
      <c r="L90" s="653">
        <f t="shared" ref="L90:X90" si="67">+IF((L62+L63)&gt;0,L62+L63,"")</f>
        <v>57194.469693144136</v>
      </c>
      <c r="M90" s="653">
        <f t="shared" si="67"/>
        <v>45498.43037250248</v>
      </c>
      <c r="N90" s="653">
        <f t="shared" si="67"/>
        <v>33360.875456580652</v>
      </c>
      <c r="O90" s="653">
        <f t="shared" si="67"/>
        <v>20406.798633203718</v>
      </c>
      <c r="P90" s="653">
        <f t="shared" si="67"/>
        <v>15064.089616051433</v>
      </c>
      <c r="Q90" s="653">
        <f t="shared" si="67"/>
        <v>10433.604336043354</v>
      </c>
      <c r="R90" s="653">
        <f t="shared" si="67"/>
        <v>7777.7777777777665</v>
      </c>
      <c r="S90" s="653">
        <f t="shared" si="67"/>
        <v>5880.7588075880631</v>
      </c>
      <c r="T90" s="653">
        <f t="shared" si="67"/>
        <v>4363.1436314363091</v>
      </c>
      <c r="U90" s="653" t="str">
        <f t="shared" si="67"/>
        <v/>
      </c>
      <c r="V90" s="653" t="str">
        <f t="shared" si="67"/>
        <v/>
      </c>
      <c r="W90" s="653" t="str">
        <f t="shared" si="67"/>
        <v/>
      </c>
      <c r="X90" s="653" t="str">
        <f t="shared" si="67"/>
        <v/>
      </c>
    </row>
    <row r="91" spans="3:24" x14ac:dyDescent="0.25">
      <c r="C91">
        <v>8450</v>
      </c>
      <c r="F91" s="473" t="e" vm="3">
        <v>#VALUE!</v>
      </c>
      <c r="G91" s="474" t="s">
        <v>815</v>
      </c>
      <c r="H91" s="474" t="s">
        <v>826</v>
      </c>
      <c r="I91" s="474" t="s">
        <v>822</v>
      </c>
      <c r="J91" s="568" t="s">
        <v>828</v>
      </c>
      <c r="K91" s="653">
        <f>+IF((K56+K57)&gt;0,K56+K57,"")</f>
        <v>8450</v>
      </c>
      <c r="L91" s="653">
        <f t="shared" ref="L91:X91" si="68">+IF((L56+L57)&gt;0,L56+L57,"")</f>
        <v>5934.0256012321215</v>
      </c>
      <c r="M91" s="653">
        <f t="shared" si="68"/>
        <v>4953.1245787331009</v>
      </c>
      <c r="N91" s="653">
        <f t="shared" si="68"/>
        <v>3618.0903802860598</v>
      </c>
      <c r="O91" s="653">
        <f t="shared" si="68"/>
        <v>773.00896624472807</v>
      </c>
      <c r="P91" s="653">
        <f t="shared" si="68"/>
        <v>1800.9707674471915</v>
      </c>
      <c r="Q91" s="653" t="str">
        <f t="shared" si="68"/>
        <v/>
      </c>
      <c r="R91" s="653">
        <f t="shared" si="68"/>
        <v>861.02236421725229</v>
      </c>
      <c r="S91" s="653" t="str">
        <f t="shared" si="68"/>
        <v/>
      </c>
      <c r="T91" s="653">
        <f t="shared" si="68"/>
        <v>615.01597444089475</v>
      </c>
      <c r="U91" s="653" t="str">
        <f t="shared" si="68"/>
        <v/>
      </c>
      <c r="V91" s="653">
        <f t="shared" si="68"/>
        <v>447.28434504792313</v>
      </c>
      <c r="W91" s="653" t="str">
        <f t="shared" si="68"/>
        <v/>
      </c>
      <c r="X91" s="653">
        <f t="shared" si="68"/>
        <v>313.09904153354637</v>
      </c>
    </row>
    <row r="92" spans="3:24" x14ac:dyDescent="0.25">
      <c r="C92">
        <v>112500</v>
      </c>
      <c r="F92" s="473" t="e" vm="4">
        <v>#VALUE!</v>
      </c>
      <c r="G92" s="474" t="s">
        <v>815</v>
      </c>
      <c r="H92" s="474" t="s">
        <v>840</v>
      </c>
      <c r="I92" s="474" t="s">
        <v>822</v>
      </c>
      <c r="J92" s="568" t="s">
        <v>841</v>
      </c>
      <c r="K92" s="653">
        <f>+IF(K64="","",K64)</f>
        <v>112500</v>
      </c>
      <c r="L92" s="653">
        <f t="shared" ref="L92:X92" si="69">+IF(L64="","",L64)</f>
        <v>106081.08108108109</v>
      </c>
      <c r="M92" s="653" t="str">
        <f t="shared" si="69"/>
        <v/>
      </c>
      <c r="N92" s="653">
        <f t="shared" si="69"/>
        <v>70945.945945945947</v>
      </c>
      <c r="O92" s="653" t="str">
        <f t="shared" si="69"/>
        <v/>
      </c>
      <c r="P92" s="653">
        <f t="shared" si="69"/>
        <v>37162.16216216216</v>
      </c>
      <c r="Q92" s="653" t="str">
        <f t="shared" si="69"/>
        <v/>
      </c>
      <c r="R92" s="653">
        <f t="shared" si="69"/>
        <v>23648.648648648639</v>
      </c>
      <c r="S92" s="653" t="str">
        <f t="shared" si="69"/>
        <v/>
      </c>
      <c r="T92" s="653" t="str">
        <f t="shared" si="69"/>
        <v/>
      </c>
      <c r="U92" s="653" t="str">
        <f t="shared" si="69"/>
        <v/>
      </c>
      <c r="V92" s="653" t="str">
        <f t="shared" si="69"/>
        <v/>
      </c>
      <c r="W92" s="653" t="str">
        <f t="shared" si="69"/>
        <v/>
      </c>
      <c r="X92" s="653" t="str">
        <f t="shared" si="69"/>
        <v/>
      </c>
    </row>
    <row r="93" spans="3:24" ht="25.5" x14ac:dyDescent="0.25">
      <c r="C93">
        <v>112200</v>
      </c>
      <c r="F93" s="473" t="e" vm="4">
        <v>#VALUE!</v>
      </c>
      <c r="G93" s="474" t="s">
        <v>815</v>
      </c>
      <c r="H93" s="474" t="s">
        <v>842</v>
      </c>
      <c r="I93" s="474" t="s">
        <v>822</v>
      </c>
      <c r="J93" s="568" t="s">
        <v>843</v>
      </c>
      <c r="K93" s="653">
        <f>+IF((K42+K43+K44)&gt;0,K42+K43+K44,"")</f>
        <v>112200</v>
      </c>
      <c r="L93" s="653">
        <f t="shared" ref="L93:X93" si="70">+IF((L42+L43+L44)&gt;0,L42+L43+L44,"")</f>
        <v>112344.67308587313</v>
      </c>
      <c r="M93" s="653">
        <f t="shared" si="70"/>
        <v>39952.031986549417</v>
      </c>
      <c r="N93" s="653">
        <f t="shared" si="70"/>
        <v>37882.518739950639</v>
      </c>
      <c r="O93" s="653" t="str">
        <f t="shared" si="70"/>
        <v/>
      </c>
      <c r="P93" s="653">
        <f t="shared" si="70"/>
        <v>55832.727823562367</v>
      </c>
      <c r="Q93" s="653" t="str">
        <f t="shared" si="70"/>
        <v/>
      </c>
      <c r="R93" s="653">
        <f t="shared" si="70"/>
        <v>14170.274626144603</v>
      </c>
      <c r="S93" s="653">
        <f t="shared" si="70"/>
        <v>68.920612813370553</v>
      </c>
      <c r="T93" s="653">
        <f t="shared" si="70"/>
        <v>26375.42485353001</v>
      </c>
      <c r="U93" s="653" t="str">
        <f t="shared" si="70"/>
        <v/>
      </c>
      <c r="V93" s="653" t="str">
        <f t="shared" si="70"/>
        <v/>
      </c>
      <c r="W93" s="653" t="str">
        <f t="shared" si="70"/>
        <v/>
      </c>
      <c r="X93" s="653">
        <f t="shared" si="70"/>
        <v>21157.776313249327</v>
      </c>
    </row>
    <row r="94" spans="3:24" x14ac:dyDescent="0.25">
      <c r="C94">
        <v>69000</v>
      </c>
      <c r="F94" s="473" t="e" vm="4">
        <v>#VALUE!</v>
      </c>
      <c r="G94" s="474" t="s">
        <v>815</v>
      </c>
      <c r="H94" s="474" t="s">
        <v>844</v>
      </c>
      <c r="I94" s="474" t="s">
        <v>822</v>
      </c>
      <c r="J94" s="568" t="s">
        <v>845</v>
      </c>
      <c r="K94" s="653">
        <f>+IF((K46+K45)&gt;0,K45+K46,"")</f>
        <v>69000</v>
      </c>
      <c r="L94" s="653">
        <f t="shared" ref="L94:X94" si="71">+IF((L46+L45)&gt;0,L45+L46,"")</f>
        <v>68919.494431482133</v>
      </c>
      <c r="M94" s="653">
        <f t="shared" si="71"/>
        <v>21393.017324773544</v>
      </c>
      <c r="N94" s="653">
        <f t="shared" si="71"/>
        <v>52136.392178971968</v>
      </c>
      <c r="O94" s="653" t="str">
        <f t="shared" si="71"/>
        <v/>
      </c>
      <c r="P94" s="653">
        <f t="shared" si="71"/>
        <v>30942.417489779538</v>
      </c>
      <c r="Q94" s="653">
        <f t="shared" si="71"/>
        <v>16260.547999602895</v>
      </c>
      <c r="R94" s="653">
        <f t="shared" si="71"/>
        <v>20337.971708122466</v>
      </c>
      <c r="S94" s="653">
        <f t="shared" si="71"/>
        <v>8406.8797776233405</v>
      </c>
      <c r="T94" s="653">
        <f t="shared" si="71"/>
        <v>5706.1823938088055</v>
      </c>
      <c r="U94" s="653">
        <f t="shared" si="71"/>
        <v>4334.2713921378891</v>
      </c>
      <c r="V94" s="653" t="str">
        <f t="shared" si="71"/>
        <v/>
      </c>
      <c r="W94" s="653" t="str">
        <f t="shared" si="71"/>
        <v/>
      </c>
      <c r="X94" s="653" t="str">
        <f t="shared" si="71"/>
        <v/>
      </c>
    </row>
    <row r="95" spans="3:24" x14ac:dyDescent="0.25">
      <c r="C95">
        <v>19000</v>
      </c>
      <c r="F95" s="473" t="e" vm="4">
        <v>#VALUE!</v>
      </c>
      <c r="G95" s="474" t="s">
        <v>815</v>
      </c>
      <c r="H95" s="474" t="s">
        <v>844</v>
      </c>
      <c r="I95" s="474" t="s">
        <v>822</v>
      </c>
      <c r="J95" s="568" t="s">
        <v>846</v>
      </c>
      <c r="K95" s="653">
        <f>+IF(K36="","",K36)</f>
        <v>19000</v>
      </c>
      <c r="L95" s="653">
        <f t="shared" ref="L95:X95" si="72">+IF(L36="","",L36)</f>
        <v>9590.1639344262294</v>
      </c>
      <c r="M95" s="653">
        <f t="shared" si="72"/>
        <v>19016.393442622953</v>
      </c>
      <c r="N95" s="653">
        <f t="shared" si="72"/>
        <v>16065.573770491805</v>
      </c>
      <c r="O95" s="653" t="str">
        <f t="shared" si="72"/>
        <v/>
      </c>
      <c r="P95" s="653">
        <f t="shared" si="72"/>
        <v>11065.573770491806</v>
      </c>
      <c r="Q95" s="653" t="str">
        <f t="shared" si="72"/>
        <v/>
      </c>
      <c r="R95" s="653">
        <f t="shared" si="72"/>
        <v>7786.8852459016416</v>
      </c>
      <c r="S95" s="653" t="str">
        <f t="shared" si="72"/>
        <v/>
      </c>
      <c r="T95" s="653">
        <f t="shared" si="72"/>
        <v>5409.8360655737706</v>
      </c>
      <c r="U95" s="653" t="str">
        <f t="shared" si="72"/>
        <v/>
      </c>
      <c r="V95" s="653">
        <f t="shared" si="72"/>
        <v>3852.4590163934445</v>
      </c>
      <c r="W95" s="653">
        <f t="shared" si="72"/>
        <v>3114.7540983606559</v>
      </c>
      <c r="X95" s="653" t="str">
        <f t="shared" si="72"/>
        <v/>
      </c>
    </row>
    <row r="96" spans="3:24" x14ac:dyDescent="0.25">
      <c r="C96">
        <v>4210</v>
      </c>
      <c r="F96" s="473" t="e" vm="4">
        <v>#VALUE!</v>
      </c>
      <c r="G96" s="474" t="s">
        <v>815</v>
      </c>
      <c r="H96" s="474" t="s">
        <v>847</v>
      </c>
      <c r="I96" s="474" t="s">
        <v>822</v>
      </c>
      <c r="J96" s="568" t="s">
        <v>848</v>
      </c>
      <c r="K96" s="653">
        <f>+IF((K37+K38)&gt;0,K37+K38,"")</f>
        <v>4210</v>
      </c>
      <c r="L96" s="653">
        <f t="shared" ref="L96:X96" si="73">+IF((L37+L38)&gt;0,L37+L38,"")</f>
        <v>3286.1805491052246</v>
      </c>
      <c r="M96" s="653">
        <f t="shared" si="73"/>
        <v>1448.760843589429</v>
      </c>
      <c r="N96" s="653">
        <f t="shared" si="73"/>
        <v>913.75911914942287</v>
      </c>
      <c r="O96" s="653" t="str">
        <f t="shared" si="73"/>
        <v/>
      </c>
      <c r="P96" s="653">
        <f t="shared" si="73"/>
        <v>443.49917657398453</v>
      </c>
      <c r="Q96" s="653" t="str">
        <f t="shared" si="73"/>
        <v/>
      </c>
      <c r="R96" s="653">
        <f t="shared" si="73"/>
        <v>123.34138755365916</v>
      </c>
      <c r="S96" s="653" t="str">
        <f t="shared" si="73"/>
        <v/>
      </c>
      <c r="T96" s="653">
        <f t="shared" si="73"/>
        <v>59.918258232013045</v>
      </c>
      <c r="U96" s="653" t="str">
        <f t="shared" si="73"/>
        <v/>
      </c>
      <c r="V96" s="653" t="str">
        <f t="shared" si="73"/>
        <v/>
      </c>
      <c r="W96" s="653" t="str">
        <f t="shared" si="73"/>
        <v/>
      </c>
      <c r="X96" s="653" t="str">
        <f t="shared" si="73"/>
        <v/>
      </c>
    </row>
    <row r="97" spans="3:24" x14ac:dyDescent="0.25">
      <c r="C97">
        <v>1900</v>
      </c>
      <c r="F97" s="473" t="e" vm="5">
        <v>#VALUE!</v>
      </c>
      <c r="G97" s="474" t="s">
        <v>815</v>
      </c>
      <c r="H97" s="474" t="s">
        <v>851</v>
      </c>
      <c r="I97" s="474" t="s">
        <v>852</v>
      </c>
      <c r="J97" s="568" t="s">
        <v>851</v>
      </c>
      <c r="K97" s="653">
        <v>2100</v>
      </c>
      <c r="L97" s="653">
        <f t="shared" ref="L97:X97" si="74">+IF(L61="","",L61)</f>
        <v>1984.4236760124613</v>
      </c>
      <c r="M97" s="653" t="str">
        <f t="shared" si="74"/>
        <v/>
      </c>
      <c r="N97" s="653">
        <f t="shared" si="74"/>
        <v>1548.2866043613712</v>
      </c>
      <c r="O97" s="653" t="str">
        <f t="shared" si="74"/>
        <v/>
      </c>
      <c r="P97" s="653">
        <f t="shared" si="74"/>
        <v>937.6947040498444</v>
      </c>
      <c r="Q97" s="653" t="str">
        <f t="shared" si="74"/>
        <v/>
      </c>
      <c r="R97" s="653">
        <f t="shared" si="74"/>
        <v>632.39875389408189</v>
      </c>
      <c r="S97" s="653" t="str">
        <f t="shared" si="74"/>
        <v/>
      </c>
      <c r="T97" s="653">
        <f t="shared" si="74"/>
        <v>414.33021806853685</v>
      </c>
      <c r="U97" s="653">
        <f t="shared" si="74"/>
        <v>370.71651090342766</v>
      </c>
      <c r="V97" s="653" t="str">
        <f t="shared" si="74"/>
        <v/>
      </c>
      <c r="W97" s="653" t="str">
        <f t="shared" si="74"/>
        <v/>
      </c>
      <c r="X97" s="653" t="str">
        <f t="shared" si="74"/>
        <v/>
      </c>
    </row>
    <row r="98" spans="3:24" x14ac:dyDescent="0.25">
      <c r="C98">
        <v>11750</v>
      </c>
      <c r="F98" s="473" t="e" vm="6">
        <v>#VALUE!</v>
      </c>
      <c r="G98" s="474" t="s">
        <v>815</v>
      </c>
      <c r="H98" s="474" t="s">
        <v>816</v>
      </c>
      <c r="I98" s="474" t="s">
        <v>817</v>
      </c>
      <c r="J98" s="568" t="s">
        <v>818</v>
      </c>
      <c r="K98" s="653">
        <f>+IF((K40+K41)&gt;0,K40+K41,"")</f>
        <v>11750</v>
      </c>
      <c r="L98" s="653">
        <f t="shared" ref="L98:X98" si="75">+IF((L40+L41)&gt;0,L40+L41,"")</f>
        <v>12114.550176247034</v>
      </c>
      <c r="M98" s="653">
        <f t="shared" si="75"/>
        <v>2065.3937346384009</v>
      </c>
      <c r="N98" s="653">
        <f t="shared" si="75"/>
        <v>7765.8356751267929</v>
      </c>
      <c r="O98" s="653" t="str">
        <f t="shared" si="75"/>
        <v/>
      </c>
      <c r="P98" s="653">
        <f t="shared" si="75"/>
        <v>3932.0151469712755</v>
      </c>
      <c r="Q98" s="653" t="str">
        <f t="shared" si="75"/>
        <v/>
      </c>
      <c r="R98" s="653">
        <f t="shared" si="75"/>
        <v>2393.4857372237175</v>
      </c>
      <c r="S98" s="653" t="str">
        <f t="shared" si="75"/>
        <v/>
      </c>
      <c r="T98" s="653">
        <f t="shared" si="75"/>
        <v>440.61628785575977</v>
      </c>
      <c r="U98" s="653" t="str">
        <f t="shared" si="75"/>
        <v/>
      </c>
      <c r="V98" s="653">
        <f t="shared" si="75"/>
        <v>279.75265109735119</v>
      </c>
      <c r="W98" s="653">
        <f t="shared" si="75"/>
        <v>163.4430828288796</v>
      </c>
      <c r="X98" s="653" t="str">
        <f t="shared" si="75"/>
        <v/>
      </c>
    </row>
    <row r="99" spans="3:24" x14ac:dyDescent="0.25">
      <c r="C99">
        <v>1500</v>
      </c>
      <c r="F99" s="473" t="e" vm="6">
        <v>#VALUE!</v>
      </c>
      <c r="G99" s="474" t="s">
        <v>815</v>
      </c>
      <c r="H99" s="474" t="s">
        <v>819</v>
      </c>
      <c r="I99" s="474" t="s">
        <v>817</v>
      </c>
      <c r="J99" s="568" t="s">
        <v>820</v>
      </c>
      <c r="K99" s="653">
        <f>+IF(K66="","",K66)</f>
        <v>1500</v>
      </c>
      <c r="L99" s="653">
        <f t="shared" ref="L99:X99" si="76">+IF(L66="","",L66)</f>
        <v>1369.449727815309</v>
      </c>
      <c r="M99" s="653">
        <f t="shared" si="76"/>
        <v>1555.5355151833155</v>
      </c>
      <c r="N99" s="653">
        <f t="shared" si="76"/>
        <v>1215.2021709188698</v>
      </c>
      <c r="O99" s="653" t="str">
        <f t="shared" si="76"/>
        <v/>
      </c>
      <c r="P99" s="653" t="str">
        <f t="shared" si="76"/>
        <v/>
      </c>
      <c r="Q99" s="653">
        <f t="shared" si="76"/>
        <v>733.31229094248101</v>
      </c>
      <c r="R99" s="653">
        <f t="shared" si="76"/>
        <v>436.58588574801706</v>
      </c>
      <c r="S99" s="653" t="str">
        <f t="shared" si="76"/>
        <v/>
      </c>
      <c r="T99" s="653">
        <f t="shared" si="76"/>
        <v>268.17160752935069</v>
      </c>
      <c r="U99" s="653" t="str">
        <f t="shared" si="76"/>
        <v/>
      </c>
      <c r="V99" s="653">
        <f t="shared" si="76"/>
        <v>185.1265822784826</v>
      </c>
      <c r="W99" s="653" t="str">
        <f t="shared" si="76"/>
        <v/>
      </c>
      <c r="X99" s="653" t="str">
        <f t="shared" si="76"/>
        <v/>
      </c>
    </row>
    <row r="100" spans="3:24" x14ac:dyDescent="0.25">
      <c r="C100">
        <v>18000</v>
      </c>
      <c r="F100" s="473" t="e" vm="7">
        <v>#VALUE!</v>
      </c>
      <c r="G100" s="474" t="s">
        <v>815</v>
      </c>
      <c r="H100" s="474" t="s">
        <v>853</v>
      </c>
      <c r="I100" s="474" t="s">
        <v>817</v>
      </c>
      <c r="J100" s="568" t="s">
        <v>854</v>
      </c>
      <c r="K100" s="653">
        <f>+IF(K68="","",K68)</f>
        <v>18000</v>
      </c>
      <c r="L100" s="653">
        <f t="shared" ref="L100:X100" si="77">+IF(L68="","",L68)</f>
        <v>19200.000000000004</v>
      </c>
      <c r="M100" s="653" t="str">
        <f t="shared" si="77"/>
        <v/>
      </c>
      <c r="N100" s="653">
        <f t="shared" si="77"/>
        <v>16106.66666666667</v>
      </c>
      <c r="O100" s="653" t="str">
        <f t="shared" si="77"/>
        <v/>
      </c>
      <c r="P100" s="653">
        <f t="shared" si="77"/>
        <v>10560.000000000004</v>
      </c>
      <c r="Q100" s="653" t="str">
        <f t="shared" si="77"/>
        <v/>
      </c>
      <c r="R100" s="653">
        <f t="shared" si="77"/>
        <v>6666.6666666666679</v>
      </c>
      <c r="S100" s="653" t="str">
        <f t="shared" si="77"/>
        <v/>
      </c>
      <c r="T100" s="653">
        <f t="shared" si="77"/>
        <v>4640.0000000000036</v>
      </c>
      <c r="U100" s="653" t="str">
        <f t="shared" si="77"/>
        <v/>
      </c>
      <c r="V100" s="653">
        <f t="shared" si="77"/>
        <v>3306.6666666666679</v>
      </c>
      <c r="W100" s="653" t="str">
        <f t="shared" si="77"/>
        <v/>
      </c>
      <c r="X100" s="653">
        <f t="shared" si="77"/>
        <v>2293.3333333333358</v>
      </c>
    </row>
    <row r="101" spans="3:24" x14ac:dyDescent="0.25">
      <c r="C101">
        <v>42100</v>
      </c>
      <c r="F101" s="473" t="e" vm="7">
        <v>#VALUE!</v>
      </c>
      <c r="G101" s="474" t="s">
        <v>815</v>
      </c>
      <c r="H101" s="474" t="s">
        <v>855</v>
      </c>
      <c r="I101" s="474" t="s">
        <v>817</v>
      </c>
      <c r="J101" s="568" t="s">
        <v>856</v>
      </c>
      <c r="K101" s="653">
        <f>+IF((K59+K60)&gt;0,K59+K60,"")</f>
        <v>42100</v>
      </c>
      <c r="L101" s="653">
        <f t="shared" ref="L101:X101" si="78">+IF((L59+L60)&gt;0,L59+L60,"")</f>
        <v>35485.255646809666</v>
      </c>
      <c r="M101" s="653" t="str">
        <f t="shared" si="78"/>
        <v/>
      </c>
      <c r="N101" s="653">
        <f t="shared" si="78"/>
        <v>15691.700499560948</v>
      </c>
      <c r="O101" s="653" t="str">
        <f t="shared" si="78"/>
        <v/>
      </c>
      <c r="P101" s="653">
        <f t="shared" si="78"/>
        <v>5502.5922564363664</v>
      </c>
      <c r="Q101" s="653" t="str">
        <f t="shared" si="78"/>
        <v/>
      </c>
      <c r="R101" s="653">
        <f t="shared" si="78"/>
        <v>2842.1263439074955</v>
      </c>
      <c r="S101" s="653" t="str">
        <f t="shared" si="78"/>
        <v/>
      </c>
      <c r="T101" s="653">
        <f t="shared" si="78"/>
        <v>1743.1409617839599</v>
      </c>
      <c r="U101" s="653" t="str">
        <f t="shared" si="78"/>
        <v/>
      </c>
      <c r="V101" s="653" t="str">
        <f t="shared" si="78"/>
        <v/>
      </c>
      <c r="W101" s="653" t="str">
        <f t="shared" si="78"/>
        <v/>
      </c>
      <c r="X101" s="653" t="str">
        <f t="shared" si="78"/>
        <v/>
      </c>
    </row>
    <row r="102" spans="3:24" x14ac:dyDescent="0.25">
      <c r="C102">
        <v>4850</v>
      </c>
      <c r="F102" s="473" t="e" vm="8">
        <v>#VALUE!</v>
      </c>
      <c r="G102" s="474" t="s">
        <v>815</v>
      </c>
      <c r="H102" s="474" t="s">
        <v>829</v>
      </c>
      <c r="I102" s="474" t="s">
        <v>830</v>
      </c>
      <c r="J102" s="568" t="s">
        <v>831</v>
      </c>
      <c r="K102" s="653">
        <f>+IF((K53+K54+K55)&gt;0,K53+K54+K55,"")</f>
        <v>4850</v>
      </c>
      <c r="L102" s="653">
        <f t="shared" ref="L102:X102" si="79">+IF((L53+L54+L55)&gt;0,L53+L54+L55,"")</f>
        <v>4505.638763216899</v>
      </c>
      <c r="M102" s="653">
        <f t="shared" si="79"/>
        <v>426.82926829268285</v>
      </c>
      <c r="N102" s="653">
        <f t="shared" si="79"/>
        <v>2621.1316846226227</v>
      </c>
      <c r="O102" s="653">
        <f t="shared" si="79"/>
        <v>170.73170731707319</v>
      </c>
      <c r="P102" s="653">
        <f t="shared" si="79"/>
        <v>1348.6893720793425</v>
      </c>
      <c r="Q102" s="653">
        <f t="shared" si="79"/>
        <v>55.487804878048792</v>
      </c>
      <c r="R102" s="653">
        <f t="shared" si="79"/>
        <v>835.95075135984905</v>
      </c>
      <c r="S102" s="653">
        <f t="shared" si="79"/>
        <v>573.20872274143221</v>
      </c>
      <c r="T102" s="653">
        <f t="shared" si="79"/>
        <v>56.323861547350248</v>
      </c>
      <c r="U102" s="653" t="str">
        <f t="shared" si="79"/>
        <v/>
      </c>
      <c r="V102" s="653">
        <f t="shared" si="79"/>
        <v>35.752928200010388</v>
      </c>
      <c r="W102" s="653" t="str">
        <f t="shared" si="79"/>
        <v/>
      </c>
      <c r="X102" s="653">
        <f t="shared" si="79"/>
        <v>22.784810126582215</v>
      </c>
    </row>
    <row r="103" spans="3:24" x14ac:dyDescent="0.25">
      <c r="C103">
        <v>4000</v>
      </c>
      <c r="F103" s="473" t="e" vm="8">
        <v>#VALUE!</v>
      </c>
      <c r="G103" s="474" t="s">
        <v>815</v>
      </c>
      <c r="H103" s="474" t="s">
        <v>832</v>
      </c>
      <c r="I103" s="474" t="s">
        <v>830</v>
      </c>
      <c r="J103" s="568" t="s">
        <v>833</v>
      </c>
      <c r="K103" s="653">
        <f>+IF(K65="","",K65)</f>
        <v>4000</v>
      </c>
      <c r="L103" s="653">
        <f t="shared" ref="L103:X103" si="80">+IF(L65="","",L65)</f>
        <v>3685.1509048868647</v>
      </c>
      <c r="M103" s="653">
        <f t="shared" si="80"/>
        <v>3841.6159807970034</v>
      </c>
      <c r="N103" s="653">
        <f t="shared" si="80"/>
        <v>3234.0636166995537</v>
      </c>
      <c r="O103" s="653" t="str">
        <f t="shared" si="80"/>
        <v/>
      </c>
      <c r="P103" s="653">
        <f t="shared" si="80"/>
        <v>2400.88284952908</v>
      </c>
      <c r="Q103" s="653" t="str">
        <f t="shared" si="80"/>
        <v/>
      </c>
      <c r="R103" s="653">
        <f t="shared" si="80"/>
        <v>1796.8903625650128</v>
      </c>
      <c r="S103" s="653" t="str">
        <f t="shared" si="80"/>
        <v/>
      </c>
      <c r="T103" s="653">
        <f t="shared" si="80"/>
        <v>1422.2556737660816</v>
      </c>
      <c r="U103" s="653" t="str">
        <f t="shared" si="80"/>
        <v/>
      </c>
      <c r="V103" s="653">
        <f t="shared" si="80"/>
        <v>1124.0735843555267</v>
      </c>
      <c r="W103" s="653" t="str">
        <f t="shared" si="80"/>
        <v/>
      </c>
      <c r="X103" s="653">
        <f t="shared" si="80"/>
        <v>978.79669372173157</v>
      </c>
    </row>
    <row r="104" spans="3:24" s="1" customFormat="1" x14ac:dyDescent="0.25">
      <c r="C104" s="1">
        <v>4000</v>
      </c>
      <c r="F104" s="473" t="e" vm="8">
        <v>#VALUE!</v>
      </c>
      <c r="G104" s="474" t="s">
        <v>815</v>
      </c>
      <c r="H104" s="474" t="s">
        <v>834</v>
      </c>
      <c r="I104" s="474" t="s">
        <v>830</v>
      </c>
      <c r="J104" s="568" t="s">
        <v>835</v>
      </c>
      <c r="K104" s="653">
        <f>+IF(K67="","",K67)</f>
        <v>4000</v>
      </c>
      <c r="L104" s="653">
        <f t="shared" ref="L104:X104" si="81">+IF(L67="","",L67)</f>
        <v>3788.1619937694686</v>
      </c>
      <c r="M104" s="653" t="str">
        <f t="shared" si="81"/>
        <v/>
      </c>
      <c r="N104" s="653">
        <f t="shared" si="81"/>
        <v>2847.1394346734687</v>
      </c>
      <c r="O104" s="653" t="str">
        <f t="shared" si="81"/>
        <v/>
      </c>
      <c r="P104" s="653">
        <f t="shared" si="81"/>
        <v>1707.0015780737667</v>
      </c>
      <c r="Q104" s="653" t="str">
        <f t="shared" si="81"/>
        <v/>
      </c>
      <c r="R104" s="653">
        <f t="shared" si="81"/>
        <v>1164.8637378271615</v>
      </c>
      <c r="S104" s="653" t="str">
        <f t="shared" si="81"/>
        <v/>
      </c>
      <c r="T104" s="653">
        <f t="shared" si="81"/>
        <v>871.94708138118222</v>
      </c>
      <c r="U104" s="653" t="str">
        <f t="shared" si="81"/>
        <v/>
      </c>
      <c r="V104" s="653">
        <f t="shared" si="81"/>
        <v>679.11137276064619</v>
      </c>
      <c r="W104" s="653" t="str">
        <f t="shared" si="81"/>
        <v/>
      </c>
      <c r="X104" s="653">
        <f t="shared" si="81"/>
        <v>485.75236506651345</v>
      </c>
    </row>
    <row r="105" spans="3:24" s="1" customFormat="1" x14ac:dyDescent="0.25">
      <c r="K105" s="651"/>
      <c r="L105" s="652"/>
      <c r="M105" s="652"/>
      <c r="N105" s="652"/>
      <c r="O105" s="652"/>
      <c r="P105" s="652"/>
      <c r="Q105" s="652"/>
      <c r="R105" s="652"/>
      <c r="S105" s="652"/>
      <c r="T105" s="652"/>
      <c r="U105" s="652"/>
      <c r="V105" s="652"/>
      <c r="W105" s="652"/>
      <c r="X105" s="652"/>
    </row>
    <row r="106" spans="3:24" s="1" customFormat="1" x14ac:dyDescent="0.25">
      <c r="K106" s="654"/>
      <c r="L106" s="652"/>
      <c r="M106" s="652"/>
      <c r="N106" s="652"/>
      <c r="O106" s="652"/>
      <c r="P106" s="652"/>
      <c r="Q106" s="652"/>
      <c r="R106" s="652"/>
      <c r="S106" s="652"/>
      <c r="T106" s="652"/>
      <c r="U106" s="652"/>
      <c r="V106" s="652"/>
      <c r="W106" s="652"/>
      <c r="X106" s="652"/>
    </row>
    <row r="107" spans="3:24" s="1" customFormat="1" x14ac:dyDescent="0.25">
      <c r="K107" s="651"/>
      <c r="L107" s="652"/>
      <c r="M107" s="652"/>
      <c r="N107" s="652"/>
      <c r="O107" s="652"/>
      <c r="P107" s="652"/>
      <c r="Q107" s="652"/>
      <c r="R107" s="652"/>
      <c r="S107" s="652"/>
      <c r="T107" s="652"/>
      <c r="U107" s="652"/>
      <c r="V107" s="652"/>
      <c r="W107" s="652"/>
      <c r="X107" s="652"/>
    </row>
    <row r="108" spans="3:24" s="1" customFormat="1" x14ac:dyDescent="0.25">
      <c r="K108" s="651"/>
      <c r="L108" s="652"/>
      <c r="M108" s="652"/>
      <c r="N108" s="652"/>
      <c r="O108" s="652"/>
      <c r="P108" s="652"/>
      <c r="Q108" s="652"/>
      <c r="R108" s="652"/>
      <c r="S108" s="652"/>
      <c r="T108" s="652"/>
      <c r="U108" s="652"/>
      <c r="V108" s="652"/>
      <c r="W108" s="652"/>
      <c r="X108" s="652"/>
    </row>
    <row r="109" spans="3:24" s="1" customFormat="1" ht="15.75" x14ac:dyDescent="0.25">
      <c r="J109" s="292"/>
      <c r="K109" s="633"/>
      <c r="L109" s="741" t="s">
        <v>1056</v>
      </c>
      <c r="M109" s="741"/>
      <c r="N109" s="741"/>
      <c r="O109" s="741"/>
      <c r="P109" s="741"/>
      <c r="Q109" s="741"/>
      <c r="R109" s="741"/>
      <c r="S109" s="741"/>
      <c r="T109" s="741"/>
      <c r="U109" s="741"/>
      <c r="V109" s="633"/>
      <c r="W109" s="633"/>
      <c r="X109" s="633"/>
    </row>
    <row r="110" spans="3:24" s="1" customFormat="1" ht="18.75" x14ac:dyDescent="0.25">
      <c r="J110" s="520" t="s">
        <v>799</v>
      </c>
      <c r="K110" s="649">
        <v>2019</v>
      </c>
      <c r="L110" s="650">
        <v>2020</v>
      </c>
      <c r="M110" s="650">
        <v>2023</v>
      </c>
      <c r="N110" s="650">
        <v>2025</v>
      </c>
      <c r="O110" s="650">
        <v>2027</v>
      </c>
      <c r="P110" s="650">
        <v>2030</v>
      </c>
      <c r="Q110" s="650">
        <v>2033</v>
      </c>
      <c r="R110" s="650">
        <v>2035</v>
      </c>
      <c r="S110" s="650">
        <v>2037</v>
      </c>
      <c r="T110" s="650">
        <v>2040</v>
      </c>
      <c r="U110" s="650">
        <v>2043</v>
      </c>
      <c r="V110" s="650">
        <v>2045</v>
      </c>
      <c r="W110" s="650">
        <v>2047</v>
      </c>
      <c r="X110" s="650">
        <v>2050</v>
      </c>
    </row>
    <row r="111" spans="3:24" s="1" customFormat="1" x14ac:dyDescent="0.25">
      <c r="J111" s="568" t="s">
        <v>838</v>
      </c>
      <c r="K111" s="655">
        <f t="shared" ref="K111" si="82">IF(K85="","",K85/$K85)</f>
        <v>1</v>
      </c>
      <c r="L111" s="655">
        <f>IF(L85="","",L85/$K85)</f>
        <v>0.71052932339295627</v>
      </c>
      <c r="M111" s="655" t="str">
        <f t="shared" ref="M111:X111" si="83">IF(M85="","",M85/$K85)</f>
        <v/>
      </c>
      <c r="N111" s="655">
        <f t="shared" si="83"/>
        <v>0.46585162646401629</v>
      </c>
      <c r="O111" s="655">
        <f t="shared" si="83"/>
        <v>0.36502891178716357</v>
      </c>
      <c r="P111" s="655" t="str">
        <f t="shared" si="83"/>
        <v/>
      </c>
      <c r="Q111" s="655" t="str">
        <f t="shared" si="83"/>
        <v/>
      </c>
      <c r="R111" s="655" t="str">
        <f t="shared" si="83"/>
        <v/>
      </c>
      <c r="S111" s="655" t="str">
        <f t="shared" si="83"/>
        <v/>
      </c>
      <c r="T111" s="655" t="str">
        <f t="shared" si="83"/>
        <v/>
      </c>
      <c r="U111" s="655" t="str">
        <f t="shared" si="83"/>
        <v/>
      </c>
      <c r="V111" s="655" t="str">
        <f t="shared" si="83"/>
        <v/>
      </c>
      <c r="W111" s="655" t="str">
        <f t="shared" si="83"/>
        <v/>
      </c>
      <c r="X111" s="655" t="str">
        <f t="shared" si="83"/>
        <v/>
      </c>
    </row>
    <row r="112" spans="3:24" s="1" customFormat="1" x14ac:dyDescent="0.25">
      <c r="J112" s="568" t="s">
        <v>839</v>
      </c>
      <c r="K112" s="655">
        <f t="shared" ref="K112" si="84">IF(K86="","",K86/$K86)</f>
        <v>1</v>
      </c>
      <c r="L112" s="655">
        <f t="shared" ref="L112:X112" si="85">IF(L86="","",L86/$K86)</f>
        <v>0.71685328526162295</v>
      </c>
      <c r="M112" s="655">
        <f t="shared" si="85"/>
        <v>1.0757259540778876</v>
      </c>
      <c r="N112" s="655">
        <f t="shared" si="85"/>
        <v>0.77263629352239904</v>
      </c>
      <c r="O112" s="655">
        <f t="shared" si="85"/>
        <v>0.67891132441900459</v>
      </c>
      <c r="P112" s="655">
        <f t="shared" si="85"/>
        <v>0.61682447940381147</v>
      </c>
      <c r="Q112" s="655">
        <f t="shared" si="85"/>
        <v>0.42940427627605338</v>
      </c>
      <c r="R112" s="655">
        <f t="shared" si="85"/>
        <v>0.33576851240974936</v>
      </c>
      <c r="S112" s="655">
        <f t="shared" si="85"/>
        <v>0.27368166739455629</v>
      </c>
      <c r="T112" s="655" t="str">
        <f t="shared" si="85"/>
        <v/>
      </c>
      <c r="U112" s="655" t="str">
        <f t="shared" si="85"/>
        <v/>
      </c>
      <c r="V112" s="655" t="str">
        <f t="shared" si="85"/>
        <v/>
      </c>
      <c r="W112" s="655" t="str">
        <f t="shared" si="85"/>
        <v/>
      </c>
      <c r="X112" s="655" t="str">
        <f t="shared" si="85"/>
        <v/>
      </c>
    </row>
    <row r="113" spans="10:24" s="1" customFormat="1" x14ac:dyDescent="0.25">
      <c r="J113" s="568" t="s">
        <v>850</v>
      </c>
      <c r="K113" s="655">
        <f t="shared" ref="K113" si="86">IF(K87="","",K87/$K87)</f>
        <v>1</v>
      </c>
      <c r="L113" s="655">
        <f t="shared" ref="L113:X113" si="87">IF(L87="","",L87/$K87)</f>
        <v>0.95820762096323608</v>
      </c>
      <c r="M113" s="655">
        <f t="shared" si="87"/>
        <v>0.30506201810258143</v>
      </c>
      <c r="N113" s="655">
        <f t="shared" si="87"/>
        <v>0.16426416359369764</v>
      </c>
      <c r="O113" s="655">
        <f t="shared" si="87"/>
        <v>8.2132081796848902E-2</v>
      </c>
      <c r="P113" s="655" t="str">
        <f t="shared" si="87"/>
        <v/>
      </c>
      <c r="Q113" s="655" t="str">
        <f t="shared" si="87"/>
        <v/>
      </c>
      <c r="R113" s="655" t="str">
        <f t="shared" si="87"/>
        <v/>
      </c>
      <c r="S113" s="655" t="str">
        <f t="shared" si="87"/>
        <v/>
      </c>
      <c r="T113" s="655" t="str">
        <f t="shared" si="87"/>
        <v/>
      </c>
      <c r="U113" s="655" t="str">
        <f t="shared" si="87"/>
        <v/>
      </c>
      <c r="V113" s="655" t="str">
        <f t="shared" si="87"/>
        <v/>
      </c>
      <c r="W113" s="655" t="str">
        <f t="shared" si="87"/>
        <v/>
      </c>
      <c r="X113" s="655" t="str">
        <f t="shared" si="87"/>
        <v/>
      </c>
    </row>
    <row r="114" spans="10:24" s="1" customFormat="1" ht="30" x14ac:dyDescent="0.25">
      <c r="J114" s="568" t="s">
        <v>823</v>
      </c>
      <c r="K114" s="655">
        <f t="shared" ref="K114" si="88">IF(K88="","",K88/$K88)</f>
        <v>1</v>
      </c>
      <c r="L114" s="655">
        <f t="shared" ref="L114:X114" si="89">IF(L88="","",L88/$K88)</f>
        <v>1.1460583239097806</v>
      </c>
      <c r="M114" s="655">
        <f t="shared" si="89"/>
        <v>1.0267765189182025</v>
      </c>
      <c r="N114" s="655">
        <f t="shared" si="89"/>
        <v>0.79637254256474788</v>
      </c>
      <c r="O114" s="655" t="str">
        <f t="shared" si="89"/>
        <v/>
      </c>
      <c r="P114" s="655">
        <f t="shared" si="89"/>
        <v>0.47344007604199378</v>
      </c>
      <c r="Q114" s="655" t="str">
        <f t="shared" si="89"/>
        <v/>
      </c>
      <c r="R114" s="655">
        <f t="shared" si="89"/>
        <v>0.27316919469874357</v>
      </c>
      <c r="S114" s="655" t="str">
        <f t="shared" si="89"/>
        <v/>
      </c>
      <c r="T114" s="655">
        <f t="shared" si="89"/>
        <v>0.10260539330343703</v>
      </c>
      <c r="U114" s="655" t="str">
        <f t="shared" si="89"/>
        <v/>
      </c>
      <c r="V114" s="655">
        <f t="shared" si="89"/>
        <v>6.9465448498731056E-2</v>
      </c>
      <c r="W114" s="655" t="str">
        <f t="shared" si="89"/>
        <v/>
      </c>
      <c r="X114" s="655">
        <f t="shared" si="89"/>
        <v>5.1421873655740524E-2</v>
      </c>
    </row>
    <row r="115" spans="10:24" s="1" customFormat="1" x14ac:dyDescent="0.25">
      <c r="J115" s="568" t="s">
        <v>825</v>
      </c>
      <c r="K115" s="655">
        <f t="shared" ref="K115" si="90">IF(K89="","",K89/$K89)</f>
        <v>1</v>
      </c>
      <c r="L115" s="655">
        <f t="shared" ref="L115:X115" si="91">IF(L89="","",L89/$K89)</f>
        <v>0.86406008870132311</v>
      </c>
      <c r="M115" s="655" t="str">
        <f t="shared" si="91"/>
        <v/>
      </c>
      <c r="N115" s="655">
        <f t="shared" si="91"/>
        <v>0.45558055767282019</v>
      </c>
      <c r="O115" s="655" t="str">
        <f t="shared" si="91"/>
        <v/>
      </c>
      <c r="P115" s="655" t="str">
        <f t="shared" si="91"/>
        <v/>
      </c>
      <c r="Q115" s="655" t="str">
        <f t="shared" si="91"/>
        <v/>
      </c>
      <c r="R115" s="655" t="str">
        <f t="shared" si="91"/>
        <v/>
      </c>
      <c r="S115" s="655" t="str">
        <f t="shared" si="91"/>
        <v/>
      </c>
      <c r="T115" s="655" t="str">
        <f t="shared" si="91"/>
        <v/>
      </c>
      <c r="U115" s="655" t="str">
        <f t="shared" si="91"/>
        <v/>
      </c>
      <c r="V115" s="655" t="str">
        <f t="shared" si="91"/>
        <v/>
      </c>
      <c r="W115" s="655" t="str">
        <f t="shared" si="91"/>
        <v/>
      </c>
      <c r="X115" s="655" t="str">
        <f t="shared" si="91"/>
        <v/>
      </c>
    </row>
    <row r="116" spans="10:24" s="1" customFormat="1" x14ac:dyDescent="0.25">
      <c r="J116" s="568" t="s">
        <v>827</v>
      </c>
      <c r="K116" s="655">
        <f t="shared" ref="K116" si="92">IF(K90="","",K90/$K90)</f>
        <v>1</v>
      </c>
      <c r="L116" s="655">
        <f t="shared" ref="L116:X116" si="93">IF(L90="","",L90/$K90)</f>
        <v>0.96044449526690401</v>
      </c>
      <c r="M116" s="655">
        <f t="shared" si="93"/>
        <v>0.76403745377837917</v>
      </c>
      <c r="N116" s="655">
        <f t="shared" si="93"/>
        <v>0.56021621253703868</v>
      </c>
      <c r="O116" s="655">
        <f t="shared" si="93"/>
        <v>0.34268343632583909</v>
      </c>
      <c r="P116" s="655">
        <f t="shared" si="93"/>
        <v>0.2529654007733238</v>
      </c>
      <c r="Q116" s="655">
        <f t="shared" si="93"/>
        <v>0.17520746156244088</v>
      </c>
      <c r="R116" s="655">
        <f t="shared" si="93"/>
        <v>0.130609198619274</v>
      </c>
      <c r="S116" s="655">
        <f t="shared" si="93"/>
        <v>9.8753296517011979E-2</v>
      </c>
      <c r="T116" s="655">
        <f t="shared" si="93"/>
        <v>7.3268574835202507E-2</v>
      </c>
      <c r="U116" s="655" t="str">
        <f t="shared" si="93"/>
        <v/>
      </c>
      <c r="V116" s="655" t="str">
        <f t="shared" si="93"/>
        <v/>
      </c>
      <c r="W116" s="655" t="str">
        <f t="shared" si="93"/>
        <v/>
      </c>
      <c r="X116" s="655" t="str">
        <f t="shared" si="93"/>
        <v/>
      </c>
    </row>
    <row r="117" spans="10:24" s="1" customFormat="1" x14ac:dyDescent="0.25">
      <c r="J117" s="568" t="s">
        <v>828</v>
      </c>
      <c r="K117" s="655">
        <f t="shared" ref="K117" si="94">IF(K91="","",K91/$K91)</f>
        <v>1</v>
      </c>
      <c r="L117" s="655">
        <f t="shared" ref="L117:X117" si="95">IF(L91="","",L91/$K91)</f>
        <v>0.7022515504416712</v>
      </c>
      <c r="M117" s="655">
        <f t="shared" si="95"/>
        <v>0.58616858919918358</v>
      </c>
      <c r="N117" s="655">
        <f t="shared" si="95"/>
        <v>0.42817637636521416</v>
      </c>
      <c r="O117" s="655">
        <f t="shared" si="95"/>
        <v>9.1480351034879059E-2</v>
      </c>
      <c r="P117" s="655">
        <f t="shared" si="95"/>
        <v>0.21313263520085107</v>
      </c>
      <c r="Q117" s="655" t="str">
        <f t="shared" si="95"/>
        <v/>
      </c>
      <c r="R117" s="655">
        <f t="shared" si="95"/>
        <v>0.10189613777718962</v>
      </c>
      <c r="S117" s="655" t="str">
        <f t="shared" si="95"/>
        <v/>
      </c>
      <c r="T117" s="655">
        <f t="shared" si="95"/>
        <v>7.2782955555135476E-2</v>
      </c>
      <c r="U117" s="655" t="str">
        <f t="shared" si="95"/>
        <v/>
      </c>
      <c r="V117" s="655">
        <f t="shared" si="95"/>
        <v>5.2933058585553035E-2</v>
      </c>
      <c r="W117" s="655" t="str">
        <f t="shared" si="95"/>
        <v/>
      </c>
      <c r="X117" s="655">
        <f t="shared" si="95"/>
        <v>3.7053141009887144E-2</v>
      </c>
    </row>
    <row r="118" spans="10:24" s="1" customFormat="1" x14ac:dyDescent="0.25">
      <c r="J118" s="568" t="s">
        <v>841</v>
      </c>
      <c r="K118" s="655">
        <f t="shared" ref="K118" si="96">IF(K92="","",K92/$K92)</f>
        <v>1</v>
      </c>
      <c r="L118" s="655">
        <f t="shared" ref="L118:X118" si="97">IF(L92="","",L92/$K92)</f>
        <v>0.94294294294294301</v>
      </c>
      <c r="M118" s="655" t="str">
        <f t="shared" si="97"/>
        <v/>
      </c>
      <c r="N118" s="655">
        <f t="shared" si="97"/>
        <v>0.63063063063063063</v>
      </c>
      <c r="O118" s="655" t="str">
        <f t="shared" si="97"/>
        <v/>
      </c>
      <c r="P118" s="655">
        <f t="shared" si="97"/>
        <v>0.33033033033033032</v>
      </c>
      <c r="Q118" s="655" t="str">
        <f t="shared" si="97"/>
        <v/>
      </c>
      <c r="R118" s="655">
        <f t="shared" si="97"/>
        <v>0.21021021021021014</v>
      </c>
      <c r="S118" s="655" t="str">
        <f t="shared" si="97"/>
        <v/>
      </c>
      <c r="T118" s="655" t="str">
        <f t="shared" si="97"/>
        <v/>
      </c>
      <c r="U118" s="655" t="str">
        <f t="shared" si="97"/>
        <v/>
      </c>
      <c r="V118" s="655" t="str">
        <f t="shared" si="97"/>
        <v/>
      </c>
      <c r="W118" s="655" t="str">
        <f t="shared" si="97"/>
        <v/>
      </c>
      <c r="X118" s="655" t="str">
        <f t="shared" si="97"/>
        <v/>
      </c>
    </row>
    <row r="119" spans="10:24" s="1" customFormat="1" x14ac:dyDescent="0.25">
      <c r="J119" s="568" t="s">
        <v>843</v>
      </c>
      <c r="K119" s="655">
        <f t="shared" ref="K119" si="98">IF(K93="","",K93/$K93)</f>
        <v>1</v>
      </c>
      <c r="L119" s="655">
        <f t="shared" ref="L119:X119" si="99">IF(L93="","",L93/$K93)</f>
        <v>1.0012894214427195</v>
      </c>
      <c r="M119" s="655">
        <f t="shared" si="99"/>
        <v>0.35607871645765971</v>
      </c>
      <c r="N119" s="655">
        <f t="shared" si="99"/>
        <v>0.33763385686230518</v>
      </c>
      <c r="O119" s="655" t="str">
        <f t="shared" si="99"/>
        <v/>
      </c>
      <c r="P119" s="655">
        <f t="shared" si="99"/>
        <v>0.49761789504066278</v>
      </c>
      <c r="Q119" s="655" t="str">
        <f t="shared" si="99"/>
        <v/>
      </c>
      <c r="R119" s="655">
        <f t="shared" si="99"/>
        <v>0.12629478276421213</v>
      </c>
      <c r="S119" s="655">
        <f t="shared" si="99"/>
        <v>6.1426571134911363E-4</v>
      </c>
      <c r="T119" s="655">
        <f t="shared" si="99"/>
        <v>0.23507508782112307</v>
      </c>
      <c r="U119" s="655" t="str">
        <f t="shared" si="99"/>
        <v/>
      </c>
      <c r="V119" s="655" t="str">
        <f t="shared" si="99"/>
        <v/>
      </c>
      <c r="W119" s="655" t="str">
        <f t="shared" si="99"/>
        <v/>
      </c>
      <c r="X119" s="655">
        <f t="shared" si="99"/>
        <v>0.18857198140150916</v>
      </c>
    </row>
    <row r="120" spans="10:24" s="1" customFormat="1" x14ac:dyDescent="0.25">
      <c r="J120" s="568" t="s">
        <v>845</v>
      </c>
      <c r="K120" s="655">
        <f t="shared" ref="K120" si="100">IF(K94="","",K94/$K94)</f>
        <v>1</v>
      </c>
      <c r="L120" s="655">
        <f t="shared" ref="L120:X120" si="101">IF(L94="","",L94/$K94)</f>
        <v>0.99883325263017586</v>
      </c>
      <c r="M120" s="655">
        <f t="shared" si="101"/>
        <v>0.31004372934454411</v>
      </c>
      <c r="N120" s="655">
        <f t="shared" si="101"/>
        <v>0.75559988665176769</v>
      </c>
      <c r="O120" s="655" t="str">
        <f t="shared" si="101"/>
        <v/>
      </c>
      <c r="P120" s="655">
        <f t="shared" si="101"/>
        <v>0.44844083318521072</v>
      </c>
      <c r="Q120" s="655">
        <f t="shared" si="101"/>
        <v>0.23566011593627384</v>
      </c>
      <c r="R120" s="655">
        <f t="shared" si="101"/>
        <v>0.29475321316119518</v>
      </c>
      <c r="S120" s="655">
        <f t="shared" si="101"/>
        <v>0.12183883735686001</v>
      </c>
      <c r="T120" s="655">
        <f t="shared" si="101"/>
        <v>8.2698295562446456E-2</v>
      </c>
      <c r="U120" s="655">
        <f t="shared" si="101"/>
        <v>6.2815527422288242E-2</v>
      </c>
      <c r="V120" s="655" t="str">
        <f t="shared" si="101"/>
        <v/>
      </c>
      <c r="W120" s="655" t="str">
        <f t="shared" si="101"/>
        <v/>
      </c>
      <c r="X120" s="655" t="str">
        <f t="shared" si="101"/>
        <v/>
      </c>
    </row>
    <row r="121" spans="10:24" s="1" customFormat="1" x14ac:dyDescent="0.25">
      <c r="J121" s="568" t="s">
        <v>846</v>
      </c>
      <c r="K121" s="655">
        <f t="shared" ref="K121" si="102">IF(K95="","",K95/$K95)</f>
        <v>1</v>
      </c>
      <c r="L121" s="655">
        <f t="shared" ref="L121:X121" si="103">IF(L95="","",L95/$K95)</f>
        <v>0.50474547023295946</v>
      </c>
      <c r="M121" s="655">
        <f t="shared" si="103"/>
        <v>1.0008628127696291</v>
      </c>
      <c r="N121" s="655">
        <f t="shared" si="103"/>
        <v>0.84555651423641076</v>
      </c>
      <c r="O121" s="655" t="str">
        <f t="shared" si="103"/>
        <v/>
      </c>
      <c r="P121" s="655">
        <f t="shared" si="103"/>
        <v>0.58239861949956873</v>
      </c>
      <c r="Q121" s="655" t="str">
        <f t="shared" si="103"/>
        <v/>
      </c>
      <c r="R121" s="655">
        <f t="shared" si="103"/>
        <v>0.40983606557377061</v>
      </c>
      <c r="S121" s="655" t="str">
        <f t="shared" si="103"/>
        <v/>
      </c>
      <c r="T121" s="655">
        <f t="shared" si="103"/>
        <v>0.28472821397756687</v>
      </c>
      <c r="U121" s="655" t="str">
        <f t="shared" si="103"/>
        <v/>
      </c>
      <c r="V121" s="655">
        <f t="shared" si="103"/>
        <v>0.20276100086281287</v>
      </c>
      <c r="W121" s="655">
        <f t="shared" si="103"/>
        <v>0.16393442622950821</v>
      </c>
      <c r="X121" s="655" t="str">
        <f t="shared" si="103"/>
        <v/>
      </c>
    </row>
    <row r="122" spans="10:24" s="1" customFormat="1" x14ac:dyDescent="0.25">
      <c r="J122" s="568" t="s">
        <v>848</v>
      </c>
      <c r="K122" s="655">
        <f t="shared" ref="K122" si="104">IF(K96="","",K96/$K96)</f>
        <v>1</v>
      </c>
      <c r="L122" s="655">
        <f t="shared" ref="L122:X122" si="105">IF(L96="","",L96/$K96)</f>
        <v>0.78056545109387754</v>
      </c>
      <c r="M122" s="655">
        <f t="shared" si="105"/>
        <v>0.34412371581696649</v>
      </c>
      <c r="N122" s="655">
        <f t="shared" si="105"/>
        <v>0.21704492141316459</v>
      </c>
      <c r="O122" s="655" t="str">
        <f t="shared" si="105"/>
        <v/>
      </c>
      <c r="P122" s="655">
        <f t="shared" si="105"/>
        <v>0.10534422246412935</v>
      </c>
      <c r="Q122" s="655" t="str">
        <f t="shared" si="105"/>
        <v/>
      </c>
      <c r="R122" s="655">
        <f t="shared" si="105"/>
        <v>2.9297241699206451E-2</v>
      </c>
      <c r="S122" s="655" t="str">
        <f t="shared" si="105"/>
        <v/>
      </c>
      <c r="T122" s="655">
        <f t="shared" si="105"/>
        <v>1.4232365375775069E-2</v>
      </c>
      <c r="U122" s="655" t="str">
        <f t="shared" si="105"/>
        <v/>
      </c>
      <c r="V122" s="655" t="str">
        <f t="shared" si="105"/>
        <v/>
      </c>
      <c r="W122" s="655" t="str">
        <f t="shared" si="105"/>
        <v/>
      </c>
      <c r="X122" s="655" t="str">
        <f t="shared" si="105"/>
        <v/>
      </c>
    </row>
    <row r="123" spans="10:24" s="1" customFormat="1" x14ac:dyDescent="0.25">
      <c r="J123" s="568" t="s">
        <v>851</v>
      </c>
      <c r="K123" s="655">
        <f t="shared" ref="K123" si="106">IF(K97="","",K97/$K97)</f>
        <v>1</v>
      </c>
      <c r="L123" s="655">
        <f t="shared" ref="L123:X123" si="107">IF(L97="","",L97/$K97)</f>
        <v>0.94496365524402925</v>
      </c>
      <c r="M123" s="655" t="str">
        <f t="shared" si="107"/>
        <v/>
      </c>
      <c r="N123" s="655">
        <f t="shared" si="107"/>
        <v>0.73727933541017676</v>
      </c>
      <c r="O123" s="655" t="str">
        <f t="shared" si="107"/>
        <v/>
      </c>
      <c r="P123" s="655">
        <f t="shared" si="107"/>
        <v>0.44652128764278304</v>
      </c>
      <c r="Q123" s="655" t="str">
        <f t="shared" si="107"/>
        <v/>
      </c>
      <c r="R123" s="655">
        <f t="shared" si="107"/>
        <v>0.30114226375908659</v>
      </c>
      <c r="S123" s="655" t="str">
        <f t="shared" si="107"/>
        <v/>
      </c>
      <c r="T123" s="655">
        <f t="shared" si="107"/>
        <v>0.1973001038421604</v>
      </c>
      <c r="U123" s="655">
        <f t="shared" si="107"/>
        <v>0.17653167185877508</v>
      </c>
      <c r="V123" s="655" t="str">
        <f t="shared" si="107"/>
        <v/>
      </c>
      <c r="W123" s="655" t="str">
        <f t="shared" si="107"/>
        <v/>
      </c>
      <c r="X123" s="655" t="str">
        <f t="shared" si="107"/>
        <v/>
      </c>
    </row>
    <row r="124" spans="10:24" s="1" customFormat="1" x14ac:dyDescent="0.25">
      <c r="J124" s="568" t="s">
        <v>818</v>
      </c>
      <c r="K124" s="655">
        <f t="shared" ref="K124" si="108">IF(K98="","",K98/$K98)</f>
        <v>1</v>
      </c>
      <c r="L124" s="655">
        <f t="shared" ref="L124:X124" si="109">IF(L98="","",L98/$K98)</f>
        <v>1.0310255469146412</v>
      </c>
      <c r="M124" s="655">
        <f t="shared" si="109"/>
        <v>0.17577819018199156</v>
      </c>
      <c r="N124" s="655">
        <f t="shared" si="109"/>
        <v>0.66092218511717382</v>
      </c>
      <c r="O124" s="655" t="str">
        <f t="shared" si="109"/>
        <v/>
      </c>
      <c r="P124" s="655">
        <f t="shared" si="109"/>
        <v>0.33463958697627877</v>
      </c>
      <c r="Q124" s="655" t="str">
        <f t="shared" si="109"/>
        <v/>
      </c>
      <c r="R124" s="655">
        <f t="shared" si="109"/>
        <v>0.20370091380627384</v>
      </c>
      <c r="S124" s="655" t="str">
        <f t="shared" si="109"/>
        <v/>
      </c>
      <c r="T124" s="655">
        <f t="shared" si="109"/>
        <v>3.7499258540915723E-2</v>
      </c>
      <c r="U124" s="655" t="str">
        <f t="shared" si="109"/>
        <v/>
      </c>
      <c r="V124" s="655">
        <f t="shared" si="109"/>
        <v>2.3808736263604358E-2</v>
      </c>
      <c r="W124" s="655">
        <f t="shared" si="109"/>
        <v>1.3910049602457838E-2</v>
      </c>
      <c r="X124" s="655" t="str">
        <f t="shared" si="109"/>
        <v/>
      </c>
    </row>
    <row r="125" spans="10:24" s="1" customFormat="1" x14ac:dyDescent="0.25">
      <c r="J125" s="568" t="s">
        <v>820</v>
      </c>
      <c r="K125" s="655">
        <f t="shared" ref="K125" si="110">IF(K99="","",K99/$K99)</f>
        <v>1</v>
      </c>
      <c r="L125" s="655">
        <f t="shared" ref="L125:X125" si="111">IF(L99="","",L99/$K99)</f>
        <v>0.91296648521020596</v>
      </c>
      <c r="M125" s="655">
        <f t="shared" si="111"/>
        <v>1.037023676788877</v>
      </c>
      <c r="N125" s="655">
        <f t="shared" si="111"/>
        <v>0.81013478061257982</v>
      </c>
      <c r="O125" s="655" t="str">
        <f t="shared" si="111"/>
        <v/>
      </c>
      <c r="P125" s="655" t="str">
        <f t="shared" si="111"/>
        <v/>
      </c>
      <c r="Q125" s="655">
        <f t="shared" si="111"/>
        <v>0.4888748606283207</v>
      </c>
      <c r="R125" s="655">
        <f t="shared" si="111"/>
        <v>0.2910572571653447</v>
      </c>
      <c r="S125" s="655" t="str">
        <f t="shared" si="111"/>
        <v/>
      </c>
      <c r="T125" s="655">
        <f t="shared" si="111"/>
        <v>0.17878107168623381</v>
      </c>
      <c r="U125" s="655" t="str">
        <f t="shared" si="111"/>
        <v/>
      </c>
      <c r="V125" s="655">
        <f t="shared" si="111"/>
        <v>0.1234177215189884</v>
      </c>
      <c r="W125" s="655" t="str">
        <f t="shared" si="111"/>
        <v/>
      </c>
      <c r="X125" s="655" t="str">
        <f t="shared" si="111"/>
        <v/>
      </c>
    </row>
    <row r="126" spans="10:24" s="1" customFormat="1" x14ac:dyDescent="0.25">
      <c r="J126" s="568" t="s">
        <v>854</v>
      </c>
      <c r="K126" s="655">
        <f t="shared" ref="K126" si="112">IF(K100="","",K100/$K100)</f>
        <v>1</v>
      </c>
      <c r="L126" s="655">
        <f t="shared" ref="L126:X126" si="113">IF(L100="","",L100/$K100)</f>
        <v>1.0666666666666669</v>
      </c>
      <c r="M126" s="655" t="str">
        <f t="shared" si="113"/>
        <v/>
      </c>
      <c r="N126" s="655">
        <f t="shared" si="113"/>
        <v>0.89481481481481495</v>
      </c>
      <c r="O126" s="655" t="str">
        <f t="shared" si="113"/>
        <v/>
      </c>
      <c r="P126" s="655">
        <f t="shared" si="113"/>
        <v>0.58666666666666689</v>
      </c>
      <c r="Q126" s="655" t="str">
        <f t="shared" si="113"/>
        <v/>
      </c>
      <c r="R126" s="655">
        <f t="shared" si="113"/>
        <v>0.37037037037037046</v>
      </c>
      <c r="S126" s="655" t="str">
        <f t="shared" si="113"/>
        <v/>
      </c>
      <c r="T126" s="655">
        <f t="shared" si="113"/>
        <v>0.25777777777777799</v>
      </c>
      <c r="U126" s="655" t="str">
        <f t="shared" si="113"/>
        <v/>
      </c>
      <c r="V126" s="655">
        <f t="shared" si="113"/>
        <v>0.18370370370370376</v>
      </c>
      <c r="W126" s="655" t="str">
        <f t="shared" si="113"/>
        <v/>
      </c>
      <c r="X126" s="655">
        <f t="shared" si="113"/>
        <v>0.12740740740740755</v>
      </c>
    </row>
    <row r="127" spans="10:24" s="1" customFormat="1" x14ac:dyDescent="0.25">
      <c r="J127" s="568" t="s">
        <v>856</v>
      </c>
      <c r="K127" s="655">
        <f t="shared" ref="K127" si="114">IF(K101="","",K101/$K101)</f>
        <v>1</v>
      </c>
      <c r="L127" s="655">
        <f t="shared" ref="L127:X127" si="115">IF(L101="","",L101/$K101)</f>
        <v>0.8428801816344339</v>
      </c>
      <c r="M127" s="655" t="str">
        <f t="shared" si="115"/>
        <v/>
      </c>
      <c r="N127" s="655">
        <f t="shared" si="115"/>
        <v>0.37272447742425052</v>
      </c>
      <c r="O127" s="655" t="str">
        <f t="shared" si="115"/>
        <v/>
      </c>
      <c r="P127" s="655">
        <f t="shared" si="115"/>
        <v>0.13070290395335787</v>
      </c>
      <c r="Q127" s="655" t="str">
        <f t="shared" si="115"/>
        <v/>
      </c>
      <c r="R127" s="655">
        <f t="shared" si="115"/>
        <v>6.7508939285213676E-2</v>
      </c>
      <c r="S127" s="655" t="str">
        <f t="shared" si="115"/>
        <v/>
      </c>
      <c r="T127" s="655">
        <f t="shared" si="115"/>
        <v>4.1404773439048928E-2</v>
      </c>
      <c r="U127" s="655" t="str">
        <f t="shared" si="115"/>
        <v/>
      </c>
      <c r="V127" s="655" t="str">
        <f t="shared" si="115"/>
        <v/>
      </c>
      <c r="W127" s="655" t="str">
        <f t="shared" si="115"/>
        <v/>
      </c>
      <c r="X127" s="655" t="str">
        <f t="shared" si="115"/>
        <v/>
      </c>
    </row>
    <row r="128" spans="10:24" s="1" customFormat="1" x14ac:dyDescent="0.25">
      <c r="J128" s="568" t="s">
        <v>831</v>
      </c>
      <c r="K128" s="655">
        <f t="shared" ref="K128" si="116">IF(K102="","",K102/$K102)</f>
        <v>1</v>
      </c>
      <c r="L128" s="655">
        <f t="shared" ref="L128:X128" si="117">IF(L102="","",L102/$K102)</f>
        <v>0.92899768313750497</v>
      </c>
      <c r="M128" s="655">
        <f t="shared" si="117"/>
        <v>8.8006034699522243E-2</v>
      </c>
      <c r="N128" s="655">
        <f t="shared" si="117"/>
        <v>0.54043952260260264</v>
      </c>
      <c r="O128" s="655">
        <f t="shared" si="117"/>
        <v>3.5202413879808901E-2</v>
      </c>
      <c r="P128" s="655">
        <f t="shared" si="117"/>
        <v>0.27808028290295722</v>
      </c>
      <c r="Q128" s="655">
        <f t="shared" si="117"/>
        <v>1.1440784510937895E-2</v>
      </c>
      <c r="R128" s="655">
        <f t="shared" si="117"/>
        <v>0.17236097966182454</v>
      </c>
      <c r="S128" s="655">
        <f t="shared" si="117"/>
        <v>0.11818736551369736</v>
      </c>
      <c r="T128" s="655">
        <f t="shared" si="117"/>
        <v>1.1613167329350567E-2</v>
      </c>
      <c r="U128" s="655" t="str">
        <f t="shared" si="117"/>
        <v/>
      </c>
      <c r="V128" s="655">
        <f t="shared" si="117"/>
        <v>7.3717377731980184E-3</v>
      </c>
      <c r="W128" s="655" t="str">
        <f t="shared" si="117"/>
        <v/>
      </c>
      <c r="X128" s="655">
        <f t="shared" si="117"/>
        <v>4.6978989951715908E-3</v>
      </c>
    </row>
    <row r="129" spans="10:24" s="1" customFormat="1" x14ac:dyDescent="0.25">
      <c r="J129" s="568" t="s">
        <v>833</v>
      </c>
      <c r="K129" s="655">
        <f t="shared" ref="K129" si="118">IF(K103="","",K103/$K103)</f>
        <v>1</v>
      </c>
      <c r="L129" s="655">
        <f t="shared" ref="L129:X129" si="119">IF(L103="","",L103/$K103)</f>
        <v>0.92128772622171617</v>
      </c>
      <c r="M129" s="655">
        <f t="shared" si="119"/>
        <v>0.9604039951992509</v>
      </c>
      <c r="N129" s="655">
        <f t="shared" si="119"/>
        <v>0.80851590417488839</v>
      </c>
      <c r="O129" s="655" t="str">
        <f t="shared" si="119"/>
        <v/>
      </c>
      <c r="P129" s="655">
        <f t="shared" si="119"/>
        <v>0.60022071238227004</v>
      </c>
      <c r="Q129" s="655" t="str">
        <f t="shared" si="119"/>
        <v/>
      </c>
      <c r="R129" s="655">
        <f t="shared" si="119"/>
        <v>0.44922259064125319</v>
      </c>
      <c r="S129" s="655" t="str">
        <f t="shared" si="119"/>
        <v/>
      </c>
      <c r="T129" s="655">
        <f t="shared" si="119"/>
        <v>0.35556391844152041</v>
      </c>
      <c r="U129" s="655" t="str">
        <f t="shared" si="119"/>
        <v/>
      </c>
      <c r="V129" s="655">
        <f t="shared" si="119"/>
        <v>0.28101839608888168</v>
      </c>
      <c r="W129" s="655" t="str">
        <f t="shared" si="119"/>
        <v/>
      </c>
      <c r="X129" s="655">
        <f t="shared" si="119"/>
        <v>0.2446991734304329</v>
      </c>
    </row>
    <row r="130" spans="10:24" s="1" customFormat="1" x14ac:dyDescent="0.25">
      <c r="J130" s="568" t="s">
        <v>835</v>
      </c>
      <c r="K130" s="655">
        <f t="shared" ref="K130" si="120">IF(K104="","",K104/$K104)</f>
        <v>1</v>
      </c>
      <c r="L130" s="655">
        <f t="shared" ref="L130:X130" si="121">IF(L104="","",L104/$K104)</f>
        <v>0.94704049844236715</v>
      </c>
      <c r="M130" s="655" t="str">
        <f t="shared" si="121"/>
        <v/>
      </c>
      <c r="N130" s="655">
        <f t="shared" si="121"/>
        <v>0.71178485866836716</v>
      </c>
      <c r="O130" s="655" t="str">
        <f t="shared" si="121"/>
        <v/>
      </c>
      <c r="P130" s="655">
        <f t="shared" si="121"/>
        <v>0.42675039451844166</v>
      </c>
      <c r="Q130" s="655" t="str">
        <f t="shared" si="121"/>
        <v/>
      </c>
      <c r="R130" s="655">
        <f t="shared" si="121"/>
        <v>0.29121593445679034</v>
      </c>
      <c r="S130" s="655" t="str">
        <f t="shared" si="121"/>
        <v/>
      </c>
      <c r="T130" s="655">
        <f t="shared" si="121"/>
        <v>0.21798677034529557</v>
      </c>
      <c r="U130" s="655" t="str">
        <f t="shared" si="121"/>
        <v/>
      </c>
      <c r="V130" s="655">
        <f t="shared" si="121"/>
        <v>0.16977784319016154</v>
      </c>
      <c r="W130" s="655" t="str">
        <f t="shared" si="121"/>
        <v/>
      </c>
      <c r="X130" s="655">
        <f t="shared" si="121"/>
        <v>0.12143809126662836</v>
      </c>
    </row>
    <row r="131" spans="10:24" s="1" customFormat="1" x14ac:dyDescent="0.25"/>
    <row r="132" spans="10:24" s="1" customFormat="1" x14ac:dyDescent="0.25"/>
    <row r="133" spans="10:24" s="1" customFormat="1" x14ac:dyDescent="0.25"/>
    <row r="134" spans="10:24" s="1" customFormat="1" x14ac:dyDescent="0.25">
      <c r="L134" s="650">
        <v>2020</v>
      </c>
      <c r="M134" s="650">
        <v>2023</v>
      </c>
      <c r="N134" s="650">
        <v>2025</v>
      </c>
      <c r="O134" s="650">
        <v>2027</v>
      </c>
      <c r="P134" s="650">
        <v>2030</v>
      </c>
      <c r="Q134" s="650">
        <v>2033</v>
      </c>
      <c r="R134" s="650">
        <v>2035</v>
      </c>
      <c r="S134" s="650">
        <v>2037</v>
      </c>
      <c r="T134" s="650">
        <v>2040</v>
      </c>
      <c r="U134" s="650">
        <v>2043</v>
      </c>
      <c r="V134" s="650">
        <v>2045</v>
      </c>
      <c r="W134" s="650">
        <v>2047</v>
      </c>
      <c r="X134" s="650">
        <v>2050</v>
      </c>
    </row>
    <row r="135" spans="10:24" s="1" customFormat="1" x14ac:dyDescent="0.25">
      <c r="K135" s="1">
        <v>22500</v>
      </c>
      <c r="L135" s="1">
        <f>+IF(L111="","",$K135*L111)</f>
        <v>15986.909776341516</v>
      </c>
      <c r="M135" s="1" t="str">
        <f>+IF(M111="","",$K135*M111)</f>
        <v/>
      </c>
      <c r="N135" s="1">
        <f t="shared" ref="N135:X135" si="122">+IF(N111="","",$K135*N111)</f>
        <v>10481.661595440366</v>
      </c>
      <c r="O135" s="1">
        <f t="shared" si="122"/>
        <v>8213.1505152111804</v>
      </c>
      <c r="P135" s="1" t="str">
        <f t="shared" si="122"/>
        <v/>
      </c>
      <c r="Q135" s="1" t="str">
        <f t="shared" si="122"/>
        <v/>
      </c>
      <c r="R135" s="1" t="str">
        <f t="shared" si="122"/>
        <v/>
      </c>
      <c r="S135" s="1" t="str">
        <f t="shared" si="122"/>
        <v/>
      </c>
      <c r="T135" s="1" t="str">
        <f t="shared" si="122"/>
        <v/>
      </c>
      <c r="U135" s="1" t="str">
        <f t="shared" si="122"/>
        <v/>
      </c>
      <c r="V135" s="1" t="str">
        <f t="shared" si="122"/>
        <v/>
      </c>
      <c r="W135" s="1" t="str">
        <f t="shared" si="122"/>
        <v/>
      </c>
      <c r="X135" s="1" t="str">
        <f t="shared" si="122"/>
        <v/>
      </c>
    </row>
    <row r="136" spans="10:24" s="1" customFormat="1" x14ac:dyDescent="0.25">
      <c r="K136" s="1">
        <v>3750</v>
      </c>
      <c r="L136" s="1">
        <f t="shared" ref="L136:X136" si="123">+IF(L112="","",$K136*L112)</f>
        <v>2688.1998197310859</v>
      </c>
      <c r="M136" s="1">
        <f t="shared" si="123"/>
        <v>4033.9723277920784</v>
      </c>
      <c r="N136" s="1">
        <f t="shared" si="123"/>
        <v>2897.3861007089963</v>
      </c>
      <c r="O136" s="1">
        <f t="shared" si="123"/>
        <v>2545.9174665712671</v>
      </c>
      <c r="P136" s="1">
        <f t="shared" si="123"/>
        <v>2313.091797764293</v>
      </c>
      <c r="Q136" s="1">
        <f t="shared" si="123"/>
        <v>1610.2660360352002</v>
      </c>
      <c r="R136" s="1">
        <f t="shared" si="123"/>
        <v>1259.1319215365602</v>
      </c>
      <c r="S136" s="1">
        <f t="shared" si="123"/>
        <v>1026.306252729586</v>
      </c>
      <c r="T136" s="1" t="str">
        <f t="shared" si="123"/>
        <v/>
      </c>
      <c r="U136" s="1" t="str">
        <f t="shared" si="123"/>
        <v/>
      </c>
      <c r="V136" s="1" t="str">
        <f t="shared" si="123"/>
        <v/>
      </c>
      <c r="W136" s="1" t="str">
        <f t="shared" si="123"/>
        <v/>
      </c>
      <c r="X136" s="1" t="str">
        <f t="shared" si="123"/>
        <v/>
      </c>
    </row>
    <row r="137" spans="10:24" s="1" customFormat="1" x14ac:dyDescent="0.25">
      <c r="K137" s="1">
        <v>5700</v>
      </c>
      <c r="L137" s="1">
        <f t="shared" ref="L137:X137" si="124">+IF(L113="","",$K137*L113)</f>
        <v>5461.7834394904457</v>
      </c>
      <c r="M137" s="1">
        <f t="shared" si="124"/>
        <v>1738.8535031847141</v>
      </c>
      <c r="N137" s="1">
        <f t="shared" si="124"/>
        <v>936.30573248407654</v>
      </c>
      <c r="O137" s="1">
        <f t="shared" si="124"/>
        <v>468.15286624203873</v>
      </c>
      <c r="P137" s="1" t="str">
        <f t="shared" si="124"/>
        <v/>
      </c>
      <c r="Q137" s="1" t="str">
        <f t="shared" si="124"/>
        <v/>
      </c>
      <c r="R137" s="1" t="str">
        <f t="shared" si="124"/>
        <v/>
      </c>
      <c r="S137" s="1" t="str">
        <f t="shared" si="124"/>
        <v/>
      </c>
      <c r="T137" s="1" t="str">
        <f t="shared" si="124"/>
        <v/>
      </c>
      <c r="U137" s="1" t="str">
        <f t="shared" si="124"/>
        <v/>
      </c>
      <c r="V137" s="1" t="str">
        <f t="shared" si="124"/>
        <v/>
      </c>
      <c r="W137" s="1" t="str">
        <f t="shared" si="124"/>
        <v/>
      </c>
      <c r="X137" s="1" t="str">
        <f t="shared" si="124"/>
        <v/>
      </c>
    </row>
    <row r="138" spans="10:24" s="1" customFormat="1" x14ac:dyDescent="0.25">
      <c r="K138" s="1">
        <v>50400</v>
      </c>
      <c r="L138" s="1">
        <f t="shared" ref="L138:X138" si="125">+IF(L114="","",$K138*L114)</f>
        <v>57761.339525052943</v>
      </c>
      <c r="M138" s="1">
        <f t="shared" si="125"/>
        <v>51749.53655347741</v>
      </c>
      <c r="N138" s="1">
        <f t="shared" si="125"/>
        <v>40137.176145263293</v>
      </c>
      <c r="O138" s="1" t="str">
        <f t="shared" si="125"/>
        <v/>
      </c>
      <c r="P138" s="1">
        <f t="shared" si="125"/>
        <v>23861.379832516486</v>
      </c>
      <c r="Q138" s="1" t="str">
        <f t="shared" si="125"/>
        <v/>
      </c>
      <c r="R138" s="1">
        <f t="shared" si="125"/>
        <v>13767.727412816675</v>
      </c>
      <c r="S138" s="1" t="str">
        <f t="shared" si="125"/>
        <v/>
      </c>
      <c r="T138" s="1">
        <f t="shared" si="125"/>
        <v>5171.3118224932259</v>
      </c>
      <c r="U138" s="1" t="str">
        <f t="shared" si="125"/>
        <v/>
      </c>
      <c r="V138" s="1">
        <f t="shared" si="125"/>
        <v>3501.0586043360454</v>
      </c>
      <c r="W138" s="1" t="str">
        <f t="shared" si="125"/>
        <v/>
      </c>
      <c r="X138" s="1">
        <f t="shared" si="125"/>
        <v>2591.6624322493226</v>
      </c>
    </row>
    <row r="139" spans="10:24" s="1" customFormat="1" x14ac:dyDescent="0.25">
      <c r="K139" s="1">
        <v>33000</v>
      </c>
      <c r="L139" s="1">
        <f t="shared" ref="L139:X139" si="126">+IF(L115="","",$K139*L115)</f>
        <v>28513.982927143661</v>
      </c>
      <c r="M139" s="1" t="str">
        <f t="shared" si="126"/>
        <v/>
      </c>
      <c r="N139" s="1">
        <f t="shared" si="126"/>
        <v>15034.158403203066</v>
      </c>
      <c r="O139" s="1" t="str">
        <f t="shared" si="126"/>
        <v/>
      </c>
      <c r="P139" s="1" t="str">
        <f t="shared" si="126"/>
        <v/>
      </c>
      <c r="Q139" s="1" t="str">
        <f t="shared" si="126"/>
        <v/>
      </c>
      <c r="R139" s="1" t="str">
        <f t="shared" si="126"/>
        <v/>
      </c>
      <c r="S139" s="1" t="str">
        <f t="shared" si="126"/>
        <v/>
      </c>
      <c r="T139" s="1" t="str">
        <f t="shared" si="126"/>
        <v/>
      </c>
      <c r="U139" s="1" t="str">
        <f t="shared" si="126"/>
        <v/>
      </c>
      <c r="V139" s="1" t="str">
        <f t="shared" si="126"/>
        <v/>
      </c>
      <c r="W139" s="1" t="str">
        <f t="shared" si="126"/>
        <v/>
      </c>
      <c r="X139" s="1" t="str">
        <f t="shared" si="126"/>
        <v/>
      </c>
    </row>
    <row r="140" spans="10:24" s="1" customFormat="1" x14ac:dyDescent="0.25">
      <c r="K140" s="1">
        <v>59550</v>
      </c>
      <c r="L140" s="1">
        <f t="shared" ref="L140:X140" si="127">+IF(L116="","",$K140*L116)</f>
        <v>57194.469693144136</v>
      </c>
      <c r="M140" s="1">
        <f t="shared" si="127"/>
        <v>45498.43037250248</v>
      </c>
      <c r="N140" s="1">
        <f t="shared" si="127"/>
        <v>33360.875456580652</v>
      </c>
      <c r="O140" s="1">
        <f t="shared" si="127"/>
        <v>20406.798633203718</v>
      </c>
      <c r="P140" s="1">
        <f t="shared" si="127"/>
        <v>15064.089616051433</v>
      </c>
      <c r="Q140" s="1">
        <f t="shared" si="127"/>
        <v>10433.604336043354</v>
      </c>
      <c r="R140" s="1">
        <f t="shared" si="127"/>
        <v>7777.7777777777665</v>
      </c>
      <c r="S140" s="1">
        <f t="shared" si="127"/>
        <v>5880.7588075880631</v>
      </c>
      <c r="T140" s="1">
        <f t="shared" si="127"/>
        <v>4363.1436314363091</v>
      </c>
      <c r="U140" s="1" t="str">
        <f t="shared" si="127"/>
        <v/>
      </c>
      <c r="V140" s="1" t="str">
        <f t="shared" si="127"/>
        <v/>
      </c>
      <c r="W140" s="1" t="str">
        <f t="shared" si="127"/>
        <v/>
      </c>
      <c r="X140" s="1" t="str">
        <f t="shared" si="127"/>
        <v/>
      </c>
    </row>
    <row r="141" spans="10:24" s="1" customFormat="1" x14ac:dyDescent="0.25">
      <c r="K141" s="1">
        <v>8450</v>
      </c>
      <c r="L141" s="1">
        <f t="shared" ref="L141:X141" si="128">+IF(L117="","",$K141*L117)</f>
        <v>5934.0256012321215</v>
      </c>
      <c r="M141" s="1">
        <f t="shared" si="128"/>
        <v>4953.1245787331009</v>
      </c>
      <c r="N141" s="1">
        <f t="shared" si="128"/>
        <v>3618.0903802860598</v>
      </c>
      <c r="O141" s="1">
        <f t="shared" si="128"/>
        <v>773.00896624472807</v>
      </c>
      <c r="P141" s="1">
        <f t="shared" si="128"/>
        <v>1800.9707674471915</v>
      </c>
      <c r="Q141" s="1" t="str">
        <f t="shared" si="128"/>
        <v/>
      </c>
      <c r="R141" s="1">
        <f t="shared" si="128"/>
        <v>861.02236421725229</v>
      </c>
      <c r="S141" s="1" t="str">
        <f t="shared" si="128"/>
        <v/>
      </c>
      <c r="T141" s="1">
        <f t="shared" si="128"/>
        <v>615.01597444089475</v>
      </c>
      <c r="U141" s="1" t="str">
        <f t="shared" si="128"/>
        <v/>
      </c>
      <c r="V141" s="1">
        <f t="shared" si="128"/>
        <v>447.28434504792313</v>
      </c>
      <c r="W141" s="1" t="str">
        <f t="shared" si="128"/>
        <v/>
      </c>
      <c r="X141" s="1">
        <f t="shared" si="128"/>
        <v>313.09904153354637</v>
      </c>
    </row>
    <row r="142" spans="10:24" s="1" customFormat="1" x14ac:dyDescent="0.25">
      <c r="K142" s="1">
        <v>112500</v>
      </c>
      <c r="L142" s="1">
        <f t="shared" ref="L142:X142" si="129">+IF(L118="","",$K142*L118)</f>
        <v>106081.08108108109</v>
      </c>
      <c r="M142" s="1" t="str">
        <f t="shared" si="129"/>
        <v/>
      </c>
      <c r="N142" s="1">
        <f t="shared" si="129"/>
        <v>70945.945945945947</v>
      </c>
      <c r="O142" s="1" t="str">
        <f t="shared" si="129"/>
        <v/>
      </c>
      <c r="P142" s="1">
        <f t="shared" si="129"/>
        <v>37162.16216216216</v>
      </c>
      <c r="Q142" s="1" t="str">
        <f t="shared" si="129"/>
        <v/>
      </c>
      <c r="R142" s="1">
        <f t="shared" si="129"/>
        <v>23648.648648648639</v>
      </c>
      <c r="S142" s="1" t="str">
        <f t="shared" si="129"/>
        <v/>
      </c>
      <c r="T142" s="1" t="str">
        <f t="shared" si="129"/>
        <v/>
      </c>
      <c r="U142" s="1" t="str">
        <f t="shared" si="129"/>
        <v/>
      </c>
      <c r="V142" s="1" t="str">
        <f t="shared" si="129"/>
        <v/>
      </c>
      <c r="W142" s="1" t="str">
        <f t="shared" si="129"/>
        <v/>
      </c>
      <c r="X142" s="1" t="str">
        <f t="shared" si="129"/>
        <v/>
      </c>
    </row>
    <row r="143" spans="10:24" s="1" customFormat="1" x14ac:dyDescent="0.25">
      <c r="K143" s="1">
        <v>112200</v>
      </c>
      <c r="L143" s="1">
        <f t="shared" ref="L143:X143" si="130">+IF(L119="","",$K143*L119)</f>
        <v>112344.67308587313</v>
      </c>
      <c r="M143" s="1">
        <f t="shared" si="130"/>
        <v>39952.031986549417</v>
      </c>
      <c r="N143" s="1">
        <f t="shared" si="130"/>
        <v>37882.518739950639</v>
      </c>
      <c r="O143" s="1" t="str">
        <f t="shared" si="130"/>
        <v/>
      </c>
      <c r="P143" s="1">
        <f t="shared" si="130"/>
        <v>55832.727823562367</v>
      </c>
      <c r="Q143" s="1" t="str">
        <f t="shared" si="130"/>
        <v/>
      </c>
      <c r="R143" s="1">
        <f t="shared" si="130"/>
        <v>14170.274626144601</v>
      </c>
      <c r="S143" s="1">
        <f t="shared" si="130"/>
        <v>68.920612813370553</v>
      </c>
      <c r="T143" s="1">
        <f t="shared" si="130"/>
        <v>26375.42485353001</v>
      </c>
      <c r="U143" s="1" t="str">
        <f t="shared" si="130"/>
        <v/>
      </c>
      <c r="V143" s="1" t="str">
        <f t="shared" si="130"/>
        <v/>
      </c>
      <c r="W143" s="1" t="str">
        <f t="shared" si="130"/>
        <v/>
      </c>
      <c r="X143" s="1">
        <f t="shared" si="130"/>
        <v>21157.776313249327</v>
      </c>
    </row>
    <row r="144" spans="10:24" s="1" customFormat="1" x14ac:dyDescent="0.25">
      <c r="K144" s="1">
        <v>69000</v>
      </c>
      <c r="L144" s="1">
        <f t="shared" ref="L144:X144" si="131">+IF(L120="","",$K144*L120)</f>
        <v>68919.494431482133</v>
      </c>
      <c r="M144" s="1">
        <f t="shared" si="131"/>
        <v>21393.017324773544</v>
      </c>
      <c r="N144" s="1">
        <f t="shared" si="131"/>
        <v>52136.392178971968</v>
      </c>
      <c r="O144" s="1" t="str">
        <f t="shared" si="131"/>
        <v/>
      </c>
      <c r="P144" s="1">
        <f t="shared" si="131"/>
        <v>30942.417489779538</v>
      </c>
      <c r="Q144" s="1">
        <f t="shared" si="131"/>
        <v>16260.547999602895</v>
      </c>
      <c r="R144" s="1">
        <f t="shared" si="131"/>
        <v>20337.971708122466</v>
      </c>
      <c r="S144" s="1">
        <f t="shared" si="131"/>
        <v>8406.8797776233405</v>
      </c>
      <c r="T144" s="1">
        <f t="shared" si="131"/>
        <v>5706.1823938088055</v>
      </c>
      <c r="U144" s="1">
        <f t="shared" si="131"/>
        <v>4334.2713921378891</v>
      </c>
      <c r="V144" s="1" t="str">
        <f t="shared" si="131"/>
        <v/>
      </c>
      <c r="W144" s="1" t="str">
        <f t="shared" si="131"/>
        <v/>
      </c>
      <c r="X144" s="1" t="str">
        <f t="shared" si="131"/>
        <v/>
      </c>
    </row>
    <row r="145" spans="11:24" s="1" customFormat="1" x14ac:dyDescent="0.25">
      <c r="K145" s="1">
        <v>19000</v>
      </c>
      <c r="L145" s="1">
        <f t="shared" ref="L145:X145" si="132">+IF(L121="","",$K145*L121)</f>
        <v>9590.1639344262294</v>
      </c>
      <c r="M145" s="1">
        <f t="shared" si="132"/>
        <v>19016.393442622953</v>
      </c>
      <c r="N145" s="1">
        <f t="shared" si="132"/>
        <v>16065.573770491805</v>
      </c>
      <c r="O145" s="1" t="str">
        <f t="shared" si="132"/>
        <v/>
      </c>
      <c r="P145" s="1">
        <f t="shared" si="132"/>
        <v>11065.573770491806</v>
      </c>
      <c r="Q145" s="1" t="str">
        <f t="shared" si="132"/>
        <v/>
      </c>
      <c r="R145" s="1">
        <f t="shared" si="132"/>
        <v>7786.8852459016416</v>
      </c>
      <c r="S145" s="1" t="str">
        <f t="shared" si="132"/>
        <v/>
      </c>
      <c r="T145" s="1">
        <f t="shared" si="132"/>
        <v>5409.8360655737706</v>
      </c>
      <c r="U145" s="1" t="str">
        <f t="shared" si="132"/>
        <v/>
      </c>
      <c r="V145" s="1">
        <f t="shared" si="132"/>
        <v>3852.4590163934445</v>
      </c>
      <c r="W145" s="1">
        <f t="shared" si="132"/>
        <v>3114.7540983606559</v>
      </c>
      <c r="X145" s="1" t="str">
        <f t="shared" si="132"/>
        <v/>
      </c>
    </row>
    <row r="146" spans="11:24" s="1" customFormat="1" x14ac:dyDescent="0.25">
      <c r="K146" s="1">
        <v>4210</v>
      </c>
      <c r="L146" s="1">
        <f t="shared" ref="L146:X146" si="133">+IF(L122="","",$K146*L122)</f>
        <v>3286.1805491052246</v>
      </c>
      <c r="M146" s="1">
        <f t="shared" si="133"/>
        <v>1448.760843589429</v>
      </c>
      <c r="N146" s="1">
        <f t="shared" si="133"/>
        <v>913.75911914942287</v>
      </c>
      <c r="O146" s="1" t="str">
        <f t="shared" si="133"/>
        <v/>
      </c>
      <c r="P146" s="1">
        <f t="shared" si="133"/>
        <v>443.49917657398453</v>
      </c>
      <c r="Q146" s="1" t="str">
        <f t="shared" si="133"/>
        <v/>
      </c>
      <c r="R146" s="1">
        <f t="shared" si="133"/>
        <v>123.34138755365916</v>
      </c>
      <c r="S146" s="1" t="str">
        <f t="shared" si="133"/>
        <v/>
      </c>
      <c r="T146" s="1">
        <f t="shared" si="133"/>
        <v>59.918258232013045</v>
      </c>
      <c r="U146" s="1" t="str">
        <f t="shared" si="133"/>
        <v/>
      </c>
      <c r="V146" s="1" t="str">
        <f t="shared" si="133"/>
        <v/>
      </c>
      <c r="W146" s="1" t="str">
        <f t="shared" si="133"/>
        <v/>
      </c>
      <c r="X146" s="1" t="str">
        <f t="shared" si="133"/>
        <v/>
      </c>
    </row>
    <row r="147" spans="11:24" s="1" customFormat="1" x14ac:dyDescent="0.25">
      <c r="K147" s="1">
        <v>1900</v>
      </c>
      <c r="L147" s="1">
        <f t="shared" ref="L147:X147" si="134">+IF(L123="","",$K147*L123)</f>
        <v>1795.4309449636555</v>
      </c>
      <c r="M147" s="1" t="str">
        <f t="shared" si="134"/>
        <v/>
      </c>
      <c r="N147" s="1">
        <f t="shared" si="134"/>
        <v>1400.8307372793358</v>
      </c>
      <c r="O147" s="1" t="str">
        <f t="shared" si="134"/>
        <v/>
      </c>
      <c r="P147" s="1">
        <f t="shared" si="134"/>
        <v>848.3904465212878</v>
      </c>
      <c r="Q147" s="1" t="str">
        <f t="shared" si="134"/>
        <v/>
      </c>
      <c r="R147" s="1">
        <f t="shared" si="134"/>
        <v>572.17030114226452</v>
      </c>
      <c r="S147" s="1" t="str">
        <f t="shared" si="134"/>
        <v/>
      </c>
      <c r="T147" s="1">
        <f t="shared" si="134"/>
        <v>374.87019730010473</v>
      </c>
      <c r="U147" s="1">
        <f t="shared" si="134"/>
        <v>335.41017653167268</v>
      </c>
      <c r="V147" s="1" t="str">
        <f t="shared" si="134"/>
        <v/>
      </c>
      <c r="W147" s="1" t="str">
        <f t="shared" si="134"/>
        <v/>
      </c>
      <c r="X147" s="1" t="str">
        <f t="shared" si="134"/>
        <v/>
      </c>
    </row>
    <row r="148" spans="11:24" s="1" customFormat="1" x14ac:dyDescent="0.25">
      <c r="K148" s="1">
        <v>11750</v>
      </c>
      <c r="L148" s="1">
        <f t="shared" ref="L148:X148" si="135">+IF(L124="","",$K148*L124)</f>
        <v>12114.550176247034</v>
      </c>
      <c r="M148" s="1">
        <f t="shared" si="135"/>
        <v>2065.3937346384009</v>
      </c>
      <c r="N148" s="1">
        <f t="shared" si="135"/>
        <v>7765.835675126792</v>
      </c>
      <c r="O148" s="1" t="str">
        <f t="shared" si="135"/>
        <v/>
      </c>
      <c r="P148" s="1">
        <f t="shared" si="135"/>
        <v>3932.0151469712755</v>
      </c>
      <c r="Q148" s="1" t="str">
        <f t="shared" si="135"/>
        <v/>
      </c>
      <c r="R148" s="1">
        <f t="shared" si="135"/>
        <v>2393.4857372237175</v>
      </c>
      <c r="S148" s="1" t="str">
        <f t="shared" si="135"/>
        <v/>
      </c>
      <c r="T148" s="1">
        <f t="shared" si="135"/>
        <v>440.61628785575977</v>
      </c>
      <c r="U148" s="1" t="str">
        <f t="shared" si="135"/>
        <v/>
      </c>
      <c r="V148" s="1">
        <f t="shared" si="135"/>
        <v>279.75265109735119</v>
      </c>
      <c r="W148" s="1">
        <f t="shared" si="135"/>
        <v>163.4430828288796</v>
      </c>
      <c r="X148" s="1" t="str">
        <f t="shared" si="135"/>
        <v/>
      </c>
    </row>
    <row r="149" spans="11:24" s="1" customFormat="1" x14ac:dyDescent="0.25">
      <c r="K149" s="1">
        <v>1500</v>
      </c>
      <c r="L149" s="1">
        <f t="shared" ref="L149:X149" si="136">+IF(L125="","",$K149*L125)</f>
        <v>1369.449727815309</v>
      </c>
      <c r="M149" s="1">
        <f t="shared" si="136"/>
        <v>1555.5355151833155</v>
      </c>
      <c r="N149" s="1">
        <f t="shared" si="136"/>
        <v>1215.2021709188698</v>
      </c>
      <c r="O149" s="1" t="str">
        <f t="shared" si="136"/>
        <v/>
      </c>
      <c r="P149" s="1" t="str">
        <f t="shared" si="136"/>
        <v/>
      </c>
      <c r="Q149" s="1">
        <f t="shared" si="136"/>
        <v>733.31229094248101</v>
      </c>
      <c r="R149" s="1">
        <f t="shared" si="136"/>
        <v>436.58588574801706</v>
      </c>
      <c r="S149" s="1" t="str">
        <f t="shared" si="136"/>
        <v/>
      </c>
      <c r="T149" s="1">
        <f t="shared" si="136"/>
        <v>268.17160752935069</v>
      </c>
      <c r="U149" s="1" t="str">
        <f t="shared" si="136"/>
        <v/>
      </c>
      <c r="V149" s="1">
        <f t="shared" si="136"/>
        <v>185.1265822784826</v>
      </c>
      <c r="W149" s="1" t="str">
        <f t="shared" si="136"/>
        <v/>
      </c>
      <c r="X149" s="1" t="str">
        <f t="shared" si="136"/>
        <v/>
      </c>
    </row>
    <row r="150" spans="11:24" s="1" customFormat="1" x14ac:dyDescent="0.25">
      <c r="K150" s="1">
        <v>18000</v>
      </c>
      <c r="L150" s="1">
        <f t="shared" ref="L150:X150" si="137">+IF(L126="","",$K150*L126)</f>
        <v>19200.000000000004</v>
      </c>
      <c r="M150" s="1" t="str">
        <f t="shared" si="137"/>
        <v/>
      </c>
      <c r="N150" s="1">
        <f t="shared" si="137"/>
        <v>16106.66666666667</v>
      </c>
      <c r="O150" s="1" t="str">
        <f t="shared" si="137"/>
        <v/>
      </c>
      <c r="P150" s="1">
        <f t="shared" si="137"/>
        <v>10560.000000000004</v>
      </c>
      <c r="Q150" s="1" t="str">
        <f t="shared" si="137"/>
        <v/>
      </c>
      <c r="R150" s="1">
        <f t="shared" si="137"/>
        <v>6666.6666666666679</v>
      </c>
      <c r="S150" s="1" t="str">
        <f t="shared" si="137"/>
        <v/>
      </c>
      <c r="T150" s="1">
        <f t="shared" si="137"/>
        <v>4640.0000000000036</v>
      </c>
      <c r="U150" s="1" t="str">
        <f t="shared" si="137"/>
        <v/>
      </c>
      <c r="V150" s="1">
        <f t="shared" si="137"/>
        <v>3306.6666666666674</v>
      </c>
      <c r="W150" s="1" t="str">
        <f t="shared" si="137"/>
        <v/>
      </c>
      <c r="X150" s="1">
        <f t="shared" si="137"/>
        <v>2293.3333333333358</v>
      </c>
    </row>
    <row r="151" spans="11:24" s="1" customFormat="1" x14ac:dyDescent="0.25">
      <c r="K151" s="1">
        <v>42100</v>
      </c>
      <c r="L151" s="1">
        <f t="shared" ref="L151:X151" si="138">+IF(L127="","",$K151*L127)</f>
        <v>35485.255646809666</v>
      </c>
      <c r="M151" s="1" t="str">
        <f t="shared" si="138"/>
        <v/>
      </c>
      <c r="N151" s="1">
        <f t="shared" si="138"/>
        <v>15691.700499560948</v>
      </c>
      <c r="O151" s="1" t="str">
        <f t="shared" si="138"/>
        <v/>
      </c>
      <c r="P151" s="1">
        <f t="shared" si="138"/>
        <v>5502.5922564363664</v>
      </c>
      <c r="Q151" s="1" t="str">
        <f t="shared" si="138"/>
        <v/>
      </c>
      <c r="R151" s="1">
        <f t="shared" si="138"/>
        <v>2842.1263439074955</v>
      </c>
      <c r="S151" s="1" t="str">
        <f t="shared" si="138"/>
        <v/>
      </c>
      <c r="T151" s="1">
        <f t="shared" si="138"/>
        <v>1743.1409617839599</v>
      </c>
      <c r="U151" s="1" t="str">
        <f t="shared" si="138"/>
        <v/>
      </c>
      <c r="V151" s="1" t="str">
        <f t="shared" si="138"/>
        <v/>
      </c>
      <c r="W151" s="1" t="str">
        <f t="shared" si="138"/>
        <v/>
      </c>
      <c r="X151" s="1" t="str">
        <f t="shared" si="138"/>
        <v/>
      </c>
    </row>
    <row r="152" spans="11:24" s="1" customFormat="1" x14ac:dyDescent="0.25">
      <c r="K152" s="1">
        <v>4850</v>
      </c>
      <c r="L152" s="1">
        <f t="shared" ref="L152:X152" si="139">+IF(L128="","",$K152*L128)</f>
        <v>4505.638763216899</v>
      </c>
      <c r="M152" s="1">
        <f t="shared" si="139"/>
        <v>426.82926829268285</v>
      </c>
      <c r="N152" s="1">
        <f t="shared" si="139"/>
        <v>2621.1316846226227</v>
      </c>
      <c r="O152" s="1">
        <f t="shared" si="139"/>
        <v>170.73170731707316</v>
      </c>
      <c r="P152" s="1">
        <f t="shared" si="139"/>
        <v>1348.6893720793425</v>
      </c>
      <c r="Q152" s="1">
        <f t="shared" si="139"/>
        <v>55.487804878048792</v>
      </c>
      <c r="R152" s="1">
        <f t="shared" si="139"/>
        <v>835.95075135984905</v>
      </c>
      <c r="S152" s="1">
        <f t="shared" si="139"/>
        <v>573.20872274143221</v>
      </c>
      <c r="T152" s="1">
        <f t="shared" si="139"/>
        <v>56.323861547350248</v>
      </c>
      <c r="U152" s="1" t="str">
        <f t="shared" si="139"/>
        <v/>
      </c>
      <c r="V152" s="1">
        <f t="shared" si="139"/>
        <v>35.752928200010388</v>
      </c>
      <c r="W152" s="1" t="str">
        <f t="shared" si="139"/>
        <v/>
      </c>
      <c r="X152" s="1">
        <f t="shared" si="139"/>
        <v>22.784810126582215</v>
      </c>
    </row>
    <row r="153" spans="11:24" s="1" customFormat="1" x14ac:dyDescent="0.25">
      <c r="K153" s="1">
        <v>4000</v>
      </c>
      <c r="L153" s="1">
        <f t="shared" ref="L153:X153" si="140">+IF(L129="","",$K153*L129)</f>
        <v>3685.1509048868647</v>
      </c>
      <c r="M153" s="1">
        <f t="shared" si="140"/>
        <v>3841.6159807970034</v>
      </c>
      <c r="N153" s="1">
        <f t="shared" si="140"/>
        <v>3234.0636166995537</v>
      </c>
      <c r="O153" s="1" t="str">
        <f t="shared" si="140"/>
        <v/>
      </c>
      <c r="P153" s="1">
        <f t="shared" si="140"/>
        <v>2400.88284952908</v>
      </c>
      <c r="Q153" s="1" t="str">
        <f t="shared" si="140"/>
        <v/>
      </c>
      <c r="R153" s="1">
        <f t="shared" si="140"/>
        <v>1796.8903625650128</v>
      </c>
      <c r="S153" s="1" t="str">
        <f t="shared" si="140"/>
        <v/>
      </c>
      <c r="T153" s="1">
        <f t="shared" si="140"/>
        <v>1422.2556737660816</v>
      </c>
      <c r="U153" s="1" t="str">
        <f t="shared" si="140"/>
        <v/>
      </c>
      <c r="V153" s="1">
        <f t="shared" si="140"/>
        <v>1124.0735843555267</v>
      </c>
      <c r="W153" s="1" t="str">
        <f t="shared" si="140"/>
        <v/>
      </c>
      <c r="X153" s="1">
        <f t="shared" si="140"/>
        <v>978.79669372173157</v>
      </c>
    </row>
    <row r="154" spans="11:24" s="1" customFormat="1" x14ac:dyDescent="0.25">
      <c r="K154" s="1">
        <v>4000</v>
      </c>
      <c r="L154" s="1">
        <f t="shared" ref="L154:X154" si="141">+IF(L130="","",$K154*L130)</f>
        <v>3788.1619937694686</v>
      </c>
      <c r="M154" s="1" t="str">
        <f t="shared" si="141"/>
        <v/>
      </c>
      <c r="N154" s="1">
        <f t="shared" si="141"/>
        <v>2847.1394346734687</v>
      </c>
      <c r="O154" s="1" t="str">
        <f t="shared" si="141"/>
        <v/>
      </c>
      <c r="P154" s="1">
        <f t="shared" si="141"/>
        <v>1707.0015780737667</v>
      </c>
      <c r="Q154" s="1" t="str">
        <f t="shared" si="141"/>
        <v/>
      </c>
      <c r="R154" s="1">
        <f t="shared" si="141"/>
        <v>1164.8637378271615</v>
      </c>
      <c r="S154" s="1" t="str">
        <f t="shared" si="141"/>
        <v/>
      </c>
      <c r="T154" s="1">
        <f t="shared" si="141"/>
        <v>871.94708138118222</v>
      </c>
      <c r="U154" s="1" t="str">
        <f t="shared" si="141"/>
        <v/>
      </c>
      <c r="V154" s="1">
        <f t="shared" si="141"/>
        <v>679.11137276064619</v>
      </c>
      <c r="W154" s="1" t="str">
        <f t="shared" si="141"/>
        <v/>
      </c>
      <c r="X154" s="1">
        <f t="shared" si="141"/>
        <v>485.75236506651345</v>
      </c>
    </row>
    <row r="155" spans="11:24" s="1" customFormat="1" x14ac:dyDescent="0.25"/>
    <row r="156" spans="11:24" s="1" customFormat="1" x14ac:dyDescent="0.25"/>
    <row r="157" spans="11:24" s="1" customFormat="1" x14ac:dyDescent="0.25"/>
    <row r="158" spans="11:24" s="1" customFormat="1" x14ac:dyDescent="0.25">
      <c r="L158" s="413"/>
    </row>
    <row r="159" spans="11:24" s="1" customFormat="1" x14ac:dyDescent="0.25"/>
    <row r="160" spans="11:24"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8" s="1" customFormat="1" x14ac:dyDescent="0.25"/>
    <row r="169" s="1" customFormat="1" x14ac:dyDescent="0.25"/>
  </sheetData>
  <autoFilter ref="C35:I35" xr:uid="{00000000-0001-0000-0000-000000000000}">
    <sortState xmlns:xlrd2="http://schemas.microsoft.com/office/spreadsheetml/2017/richdata2" ref="C36:I69">
      <sortCondition ref="C35"/>
    </sortState>
  </autoFilter>
  <mergeCells count="4">
    <mergeCell ref="L109:U109"/>
    <mergeCell ref="L34:U34"/>
    <mergeCell ref="AC34:AL34"/>
    <mergeCell ref="L83:U83"/>
  </mergeCells>
  <conditionalFormatting sqref="G36:G68">
    <cfRule type="containsText" dxfId="86" priority="4" operator="containsText" text="Oil and Gas">
      <formula>NOT(ISERROR(SEARCH("Oil and Gas",G36)))</formula>
    </cfRule>
    <cfRule type="containsText" dxfId="85" priority="5" operator="containsText" text="Oil">
      <formula>NOT(ISERROR(SEARCH("Oil",G36)))</formula>
    </cfRule>
    <cfRule type="containsText" dxfId="84" priority="6" operator="containsText" text="Gas">
      <formula>NOT(ISERROR(SEARCH("Gas",G36)))</formula>
    </cfRule>
  </conditionalFormatting>
  <conditionalFormatting sqref="I6:I25">
    <cfRule type="containsBlanks" dxfId="83" priority="3">
      <formula>LEN(TRIM(I6))=0</formula>
    </cfRule>
  </conditionalFormatting>
  <conditionalFormatting sqref="AR6">
    <cfRule type="containsBlanks" dxfId="82" priority="2">
      <formula>LEN(TRIM(AR6))=0</formula>
    </cfRule>
  </conditionalFormatting>
  <conditionalFormatting sqref="I85:I104">
    <cfRule type="containsBlanks" dxfId="81" priority="1">
      <formula>LEN(TRIM(I85))=0</formula>
    </cfRule>
  </conditionalFormatting>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D9108-B7A7-4B47-A26B-A6F5A2B2A550}">
  <sheetPr>
    <tabColor theme="1"/>
  </sheetPr>
  <dimension ref="B3:DW139"/>
  <sheetViews>
    <sheetView showGridLines="0" tabSelected="1" topLeftCell="AD37" zoomScale="115" zoomScaleNormal="115" workbookViewId="0">
      <selection activeCell="J64" sqref="J64:AX65"/>
    </sheetView>
  </sheetViews>
  <sheetFormatPr baseColWidth="10" defaultRowHeight="15" x14ac:dyDescent="0.25"/>
  <cols>
    <col min="3" max="3" width="26.5703125" customWidth="1"/>
    <col min="4" max="4" width="12" bestFit="1" customWidth="1"/>
    <col min="9" max="9" width="27.28515625" customWidth="1"/>
    <col min="10" max="10" width="30.5703125" customWidth="1"/>
    <col min="12" max="12" width="7.140625" customWidth="1"/>
    <col min="13" max="13" width="16.85546875" customWidth="1"/>
    <col min="16" max="16" width="14.42578125" bestFit="1" customWidth="1"/>
    <col min="20" max="20" width="11.42578125" customWidth="1"/>
    <col min="25" max="26" width="13.42578125" customWidth="1"/>
    <col min="28" max="28" width="12.7109375" customWidth="1"/>
    <col min="29" max="29" width="11.85546875" bestFit="1" customWidth="1"/>
    <col min="34" max="47" width="7.7109375" customWidth="1"/>
    <col min="48" max="99" width="8.7109375" customWidth="1"/>
    <col min="100" max="106" width="8.7109375" style="1" customWidth="1"/>
    <col min="107" max="107" width="30.5703125" style="1" customWidth="1"/>
    <col min="109" max="109" width="7.140625" customWidth="1"/>
    <col min="110" max="110" width="16.85546875" customWidth="1"/>
    <col min="114" max="114" width="14.42578125" hidden="1" customWidth="1"/>
    <col min="115" max="115" width="0" hidden="1" customWidth="1"/>
    <col min="123" max="124" width="13.42578125" customWidth="1"/>
  </cols>
  <sheetData>
    <row r="3" spans="2:40" ht="18.75" x14ac:dyDescent="0.25">
      <c r="N3" s="19" t="s">
        <v>1030</v>
      </c>
      <c r="O3" s="19" t="s">
        <v>1030</v>
      </c>
      <c r="P3" s="19" t="s">
        <v>1030</v>
      </c>
      <c r="Q3" s="19" t="s">
        <v>1030</v>
      </c>
      <c r="R3" s="19" t="s">
        <v>1030</v>
      </c>
      <c r="S3" s="19" t="s">
        <v>1030</v>
      </c>
      <c r="T3" s="19" t="s">
        <v>1030</v>
      </c>
      <c r="U3" s="19" t="s">
        <v>1030</v>
      </c>
      <c r="V3" s="19" t="s">
        <v>1030</v>
      </c>
      <c r="W3" s="19" t="s">
        <v>1030</v>
      </c>
      <c r="X3" s="19" t="s">
        <v>1030</v>
      </c>
      <c r="Y3" s="19" t="s">
        <v>1031</v>
      </c>
      <c r="Z3" s="19" t="s">
        <v>1030</v>
      </c>
      <c r="AA3" s="1"/>
      <c r="AB3" s="656"/>
      <c r="AC3" s="656"/>
      <c r="AD3" s="656"/>
      <c r="AE3" s="656"/>
      <c r="AF3" s="656"/>
      <c r="AG3" s="656"/>
      <c r="AH3" s="656"/>
      <c r="AI3" s="656"/>
      <c r="AJ3" s="656"/>
      <c r="AK3" s="656"/>
      <c r="AL3" s="656"/>
      <c r="AM3" s="656"/>
      <c r="AN3" s="656"/>
    </row>
    <row r="4" spans="2:40" ht="37.5" x14ac:dyDescent="0.25">
      <c r="D4" s="19" t="s">
        <v>403</v>
      </c>
      <c r="E4" s="19" t="s">
        <v>404</v>
      </c>
      <c r="I4" s="470" t="s">
        <v>798</v>
      </c>
      <c r="J4" s="470" t="s">
        <v>799</v>
      </c>
      <c r="K4" s="470" t="s">
        <v>800</v>
      </c>
      <c r="L4" s="471"/>
      <c r="M4" s="470" t="str">
        <f>+'5. ANH'!J12</f>
        <v>Type of Oil producing</v>
      </c>
      <c r="N4" s="472" t="s">
        <v>802</v>
      </c>
      <c r="O4" s="472" t="s">
        <v>803</v>
      </c>
      <c r="P4" s="472" t="s">
        <v>804</v>
      </c>
      <c r="Q4" s="470" t="s">
        <v>805</v>
      </c>
      <c r="R4" s="470" t="s">
        <v>806</v>
      </c>
      <c r="S4" s="470" t="s">
        <v>807</v>
      </c>
      <c r="T4" s="470" t="s">
        <v>808</v>
      </c>
      <c r="U4" s="470" t="s">
        <v>809</v>
      </c>
      <c r="V4" s="470" t="s">
        <v>810</v>
      </c>
      <c r="W4" s="470" t="s">
        <v>811</v>
      </c>
      <c r="X4" s="470" t="s">
        <v>812</v>
      </c>
      <c r="Y4" s="470" t="s">
        <v>813</v>
      </c>
      <c r="Z4" s="472" t="s">
        <v>814</v>
      </c>
      <c r="AA4" s="1"/>
      <c r="AB4" s="468" t="s">
        <v>1058</v>
      </c>
      <c r="AC4" s="22" t="s">
        <v>1059</v>
      </c>
      <c r="AD4" s="468" t="s">
        <v>1057</v>
      </c>
      <c r="AE4" s="468" t="s">
        <v>1060</v>
      </c>
      <c r="AF4" s="468" t="s">
        <v>1061</v>
      </c>
      <c r="AI4" s="468"/>
      <c r="AJ4" s="468"/>
      <c r="AK4" s="468"/>
      <c r="AL4" s="657"/>
      <c r="AM4" s="657"/>
      <c r="AN4" s="657"/>
    </row>
    <row r="5" spans="2:40" x14ac:dyDescent="0.25">
      <c r="D5" s="19"/>
      <c r="E5" s="19" t="s">
        <v>281</v>
      </c>
      <c r="I5" s="474" t="s">
        <v>837</v>
      </c>
      <c r="J5" s="475" t="s">
        <v>838</v>
      </c>
      <c r="K5" s="473" t="s">
        <v>665</v>
      </c>
      <c r="L5" s="476" t="s">
        <v>51</v>
      </c>
      <c r="M5" s="476" t="str">
        <f>+'5. ANH'!J13</f>
        <v>Doesn't Apply</v>
      </c>
      <c r="N5" s="477">
        <f>+SUM(R5:X5)-W5</f>
        <v>162.95282191780822</v>
      </c>
      <c r="O5" s="477">
        <f t="shared" ref="O5:O24" si="0">+S5+R5+U5+T5</f>
        <v>6.7568767123287659</v>
      </c>
      <c r="P5" s="477">
        <f t="shared" ref="P5:P24" si="1">+V5-W5+X5</f>
        <v>156.19594520547946</v>
      </c>
      <c r="Q5" s="478">
        <v>162.95279452054797</v>
      </c>
      <c r="R5" s="478">
        <v>0</v>
      </c>
      <c r="S5" s="478">
        <v>0</v>
      </c>
      <c r="T5" s="478">
        <v>6.5319452054794507</v>
      </c>
      <c r="U5" s="478">
        <v>0.22493150684931507</v>
      </c>
      <c r="V5" s="478">
        <v>13.287095890410958</v>
      </c>
      <c r="W5" s="478">
        <v>0</v>
      </c>
      <c r="X5" s="478">
        <v>142.90884931506849</v>
      </c>
      <c r="Y5" s="478">
        <v>0</v>
      </c>
      <c r="Z5" s="479">
        <f>+N5-S5</f>
        <v>162.95282191780822</v>
      </c>
      <c r="AA5" s="382"/>
      <c r="AB5" s="382">
        <f>+Y5+(P5*1000000/$D$27)</f>
        <v>26930.335380255081</v>
      </c>
      <c r="AC5" s="661">
        <f t="shared" ref="AC5:AC24" si="2">+Y5+(Z5*1000000/$D$27)</f>
        <v>28095.314123760039</v>
      </c>
      <c r="AD5" s="653">
        <v>26000</v>
      </c>
      <c r="AE5" s="658">
        <f t="shared" ref="AE5:AE24" si="3">+(AD5-AB5)/AB5</f>
        <v>-3.4546000527612773E-2</v>
      </c>
      <c r="AF5" s="322">
        <f t="shared" ref="AF5:AF24" si="4">+(AD5-AC5)/AC5</f>
        <v>-7.4578775468754938E-2</v>
      </c>
      <c r="AI5" s="382"/>
      <c r="AJ5" s="382"/>
      <c r="AK5" s="382"/>
      <c r="AL5" s="413"/>
      <c r="AM5" s="413"/>
      <c r="AN5" s="413"/>
    </row>
    <row r="6" spans="2:40" x14ac:dyDescent="0.25">
      <c r="C6" t="s">
        <v>246</v>
      </c>
      <c r="D6" s="19" t="s">
        <v>470</v>
      </c>
      <c r="E6" s="19" t="s">
        <v>472</v>
      </c>
      <c r="I6" s="474" t="s">
        <v>837</v>
      </c>
      <c r="J6" s="475" t="s">
        <v>839</v>
      </c>
      <c r="K6" s="473" t="s">
        <v>665</v>
      </c>
      <c r="L6" s="476" t="s">
        <v>51</v>
      </c>
      <c r="M6" s="476" t="str">
        <f>+'5. ANH'!J14</f>
        <v>Doesn't Apply</v>
      </c>
      <c r="N6" s="477">
        <f t="shared" ref="N6:N24" si="5">+SUM(R6:X6)-W6</f>
        <v>23.174410958904112</v>
      </c>
      <c r="O6" s="477">
        <f t="shared" si="0"/>
        <v>0.14397260273972604</v>
      </c>
      <c r="P6" s="477">
        <f t="shared" si="1"/>
        <v>23.030438356164385</v>
      </c>
      <c r="Q6" s="478">
        <v>23.174301369863016</v>
      </c>
      <c r="R6" s="478">
        <v>0</v>
      </c>
      <c r="S6" s="478">
        <v>0</v>
      </c>
      <c r="T6" s="478">
        <v>0.11695890410958903</v>
      </c>
      <c r="U6" s="478">
        <v>2.701369863013699E-2</v>
      </c>
      <c r="V6" s="478">
        <v>1.9608219178082194</v>
      </c>
      <c r="W6" s="478">
        <v>0</v>
      </c>
      <c r="X6" s="478">
        <v>21.069616438356167</v>
      </c>
      <c r="Y6" s="478">
        <v>0</v>
      </c>
      <c r="Z6" s="479">
        <f t="shared" ref="Z6:Z24" si="6">+N6-S6</f>
        <v>23.174410958904112</v>
      </c>
      <c r="AA6" s="1"/>
      <c r="AB6" s="382">
        <f t="shared" ref="AB6:AB24" si="7">+Y6+(P6*1000000/$D$27)</f>
        <v>3970.7652338214457</v>
      </c>
      <c r="AC6" s="75">
        <f t="shared" si="2"/>
        <v>3995.5880963627774</v>
      </c>
      <c r="AD6" s="653">
        <v>3750</v>
      </c>
      <c r="AE6" s="658">
        <f t="shared" si="3"/>
        <v>-5.5597654563168994E-2</v>
      </c>
      <c r="AF6" s="322">
        <f t="shared" si="4"/>
        <v>-6.1464818304554115E-2</v>
      </c>
      <c r="AI6" s="382"/>
      <c r="AJ6" s="382"/>
      <c r="AK6" s="382"/>
      <c r="AL6" s="413"/>
      <c r="AM6" s="413"/>
      <c r="AN6" s="413"/>
    </row>
    <row r="7" spans="2:40" x14ac:dyDescent="0.25">
      <c r="B7" s="19" t="s">
        <v>51</v>
      </c>
      <c r="C7" s="143" t="s">
        <v>405</v>
      </c>
      <c r="D7" s="311">
        <v>1.0095573442026637</v>
      </c>
      <c r="E7" s="312">
        <v>55.539114956987063</v>
      </c>
      <c r="I7" s="474" t="s">
        <v>822</v>
      </c>
      <c r="J7" s="475" t="s">
        <v>850</v>
      </c>
      <c r="K7" s="473" t="s">
        <v>665</v>
      </c>
      <c r="L7" s="476" t="s">
        <v>51</v>
      </c>
      <c r="M7" s="476" t="str">
        <f>+'5. ANH'!J15</f>
        <v>Doesn't Apply</v>
      </c>
      <c r="N7" s="477">
        <f t="shared" si="5"/>
        <v>35.569315068493154</v>
      </c>
      <c r="O7" s="477">
        <f t="shared" si="0"/>
        <v>0</v>
      </c>
      <c r="P7" s="477">
        <f t="shared" si="1"/>
        <v>31.996931506849318</v>
      </c>
      <c r="Q7" s="478">
        <v>35.569315068493154</v>
      </c>
      <c r="R7" s="478">
        <v>0</v>
      </c>
      <c r="S7" s="478">
        <v>0</v>
      </c>
      <c r="T7" s="478">
        <v>0</v>
      </c>
      <c r="U7" s="478">
        <v>0</v>
      </c>
      <c r="V7" s="478">
        <v>35.569315068493154</v>
      </c>
      <c r="W7" s="478">
        <v>3.5723835616438366</v>
      </c>
      <c r="X7" s="478">
        <v>0</v>
      </c>
      <c r="Y7" s="478">
        <v>0</v>
      </c>
      <c r="Z7" s="479">
        <f t="shared" si="6"/>
        <v>35.569315068493154</v>
      </c>
      <c r="AA7" s="1"/>
      <c r="AB7" s="382">
        <f t="shared" si="7"/>
        <v>5516.7123287671238</v>
      </c>
      <c r="AC7" s="75">
        <f t="shared" si="2"/>
        <v>6132.6405290505427</v>
      </c>
      <c r="AD7" s="653">
        <v>5700</v>
      </c>
      <c r="AE7" s="658">
        <f t="shared" si="3"/>
        <v>3.3224076281287145E-2</v>
      </c>
      <c r="AF7" s="322">
        <f t="shared" si="4"/>
        <v>-7.0547185506978388E-2</v>
      </c>
      <c r="AI7" s="382"/>
      <c r="AJ7" s="382"/>
      <c r="AK7" s="382"/>
      <c r="AL7" s="413"/>
      <c r="AM7" s="413"/>
      <c r="AN7" s="413"/>
    </row>
    <row r="8" spans="2:40" x14ac:dyDescent="0.25">
      <c r="B8" s="19" t="s">
        <v>52</v>
      </c>
      <c r="C8" s="143" t="s">
        <v>406</v>
      </c>
      <c r="D8" s="311">
        <v>6.0871741676095334</v>
      </c>
      <c r="E8" s="312">
        <v>77.841777688967127</v>
      </c>
      <c r="I8" s="474" t="s">
        <v>822</v>
      </c>
      <c r="J8" s="475" t="s">
        <v>823</v>
      </c>
      <c r="K8" s="473">
        <v>48</v>
      </c>
      <c r="L8" s="476"/>
      <c r="M8" s="476" t="str">
        <f>+'5. ANH'!J16</f>
        <v>Light Oil</v>
      </c>
      <c r="N8" s="477">
        <f t="shared" si="5"/>
        <v>649.48632876712327</v>
      </c>
      <c r="O8" s="477">
        <f t="shared" si="0"/>
        <v>436.89753424657533</v>
      </c>
      <c r="P8" s="477">
        <f t="shared" si="1"/>
        <v>204.32512328767126</v>
      </c>
      <c r="Q8" s="478">
        <v>649.4862739726027</v>
      </c>
      <c r="R8" s="478">
        <v>0</v>
      </c>
      <c r="S8" s="478">
        <v>396.38389041095888</v>
      </c>
      <c r="T8" s="478">
        <v>38.275260273972606</v>
      </c>
      <c r="U8" s="478">
        <v>2.2383835616438361</v>
      </c>
      <c r="V8" s="478">
        <v>16.510794520547947</v>
      </c>
      <c r="W8" s="478">
        <v>8.2636712328767121</v>
      </c>
      <c r="X8" s="478">
        <v>196.07800000000003</v>
      </c>
      <c r="Y8" s="478">
        <v>10231.853999999999</v>
      </c>
      <c r="Z8" s="479">
        <f t="shared" si="6"/>
        <v>253.10243835616438</v>
      </c>
      <c r="AA8" s="1"/>
      <c r="AB8" s="382">
        <f t="shared" si="7"/>
        <v>45460.323532357113</v>
      </c>
      <c r="AC8" s="75">
        <f t="shared" si="2"/>
        <v>53870.205440717997</v>
      </c>
      <c r="AD8" s="653">
        <v>50400</v>
      </c>
      <c r="AE8" s="659">
        <f t="shared" si="3"/>
        <v>0.1086590697958186</v>
      </c>
      <c r="AF8" s="322">
        <f t="shared" si="4"/>
        <v>-6.4417898768491216E-2</v>
      </c>
      <c r="AI8" s="382"/>
      <c r="AJ8" s="382"/>
      <c r="AK8" s="382"/>
      <c r="AL8" s="413"/>
      <c r="AM8" s="413"/>
      <c r="AN8" s="413"/>
    </row>
    <row r="9" spans="2:40" x14ac:dyDescent="0.25">
      <c r="B9" s="19" t="s">
        <v>67</v>
      </c>
      <c r="C9" s="148" t="s">
        <v>411</v>
      </c>
      <c r="D9" s="122">
        <v>6.0871741676095334</v>
      </c>
      <c r="E9" s="313">
        <v>77.841777688967127</v>
      </c>
      <c r="I9" s="474" t="s">
        <v>822</v>
      </c>
      <c r="J9" s="475" t="s">
        <v>825</v>
      </c>
      <c r="K9" s="473">
        <v>52</v>
      </c>
      <c r="L9" s="476"/>
      <c r="M9" s="476" t="str">
        <f>+'5. ANH'!J17</f>
        <v>Light Oil</v>
      </c>
      <c r="N9" s="477">
        <f t="shared" si="5"/>
        <v>277.3735890410959</v>
      </c>
      <c r="O9" s="477">
        <f t="shared" si="0"/>
        <v>82.001808219178074</v>
      </c>
      <c r="P9" s="477">
        <f t="shared" si="1"/>
        <v>165.01969863013699</v>
      </c>
      <c r="Q9" s="478">
        <v>277.37400000000002</v>
      </c>
      <c r="R9" s="478">
        <v>0</v>
      </c>
      <c r="S9" s="478">
        <v>50.500383561643829</v>
      </c>
      <c r="T9" s="478">
        <v>30.359369863013697</v>
      </c>
      <c r="U9" s="478">
        <v>1.1420547945205479</v>
      </c>
      <c r="V9" s="478">
        <v>30.377342465753429</v>
      </c>
      <c r="W9" s="478">
        <v>30.352082191780823</v>
      </c>
      <c r="X9" s="478">
        <v>164.99443835616438</v>
      </c>
      <c r="Y9" s="478">
        <v>3182.6220821917809</v>
      </c>
      <c r="Z9" s="479">
        <f t="shared" si="6"/>
        <v>226.87320547945205</v>
      </c>
      <c r="AA9" s="1"/>
      <c r="AB9" s="382">
        <f t="shared" si="7"/>
        <v>31634.294259801609</v>
      </c>
      <c r="AC9" s="75">
        <f t="shared" si="2"/>
        <v>42298.691992442131</v>
      </c>
      <c r="AD9" s="653">
        <v>33000</v>
      </c>
      <c r="AE9" s="658">
        <f t="shared" si="3"/>
        <v>4.3171683521127997E-2</v>
      </c>
      <c r="AF9" s="662">
        <f t="shared" si="4"/>
        <v>-0.21983403160796575</v>
      </c>
      <c r="AI9" s="382"/>
      <c r="AJ9" s="382"/>
      <c r="AK9" s="382"/>
      <c r="AL9" s="413"/>
      <c r="AM9" s="413"/>
      <c r="AN9" s="413"/>
    </row>
    <row r="10" spans="2:40" x14ac:dyDescent="0.25">
      <c r="B10" s="19" t="s">
        <v>53</v>
      </c>
      <c r="C10" s="151" t="s">
        <v>407</v>
      </c>
      <c r="D10" s="314">
        <v>6.0871741676095334</v>
      </c>
      <c r="E10" s="315">
        <v>77.841777688967127</v>
      </c>
      <c r="I10" s="474" t="s">
        <v>822</v>
      </c>
      <c r="J10" s="475" t="s">
        <v>827</v>
      </c>
      <c r="K10" s="473">
        <v>46</v>
      </c>
      <c r="L10" s="476"/>
      <c r="M10" s="476" t="str">
        <f>+'5. ANH'!J18</f>
        <v>Light Oil</v>
      </c>
      <c r="N10" s="477">
        <f t="shared" si="5"/>
        <v>435.40112328767128</v>
      </c>
      <c r="O10" s="477">
        <f t="shared" si="0"/>
        <v>235.53923287671233</v>
      </c>
      <c r="P10" s="477">
        <f t="shared" si="1"/>
        <v>199.86189041095895</v>
      </c>
      <c r="Q10" s="478">
        <v>435.4008767123288</v>
      </c>
      <c r="R10" s="478">
        <v>0</v>
      </c>
      <c r="S10" s="478">
        <v>225.24104109589044</v>
      </c>
      <c r="T10" s="478">
        <v>9.0779452054794518</v>
      </c>
      <c r="U10" s="478">
        <v>1.2202465753424658</v>
      </c>
      <c r="V10" s="478">
        <v>142.09446575342469</v>
      </c>
      <c r="W10" s="478">
        <v>0</v>
      </c>
      <c r="X10" s="478">
        <v>57.767424657534249</v>
      </c>
      <c r="Y10" s="478">
        <v>27008.407917808221</v>
      </c>
      <c r="Z10" s="479">
        <f t="shared" si="6"/>
        <v>210.16008219178084</v>
      </c>
      <c r="AA10" s="1"/>
      <c r="AB10" s="382">
        <f t="shared" si="7"/>
        <v>61467.354540387343</v>
      </c>
      <c r="AC10" s="75">
        <f t="shared" si="2"/>
        <v>63242.904847425612</v>
      </c>
      <c r="AD10" s="653">
        <v>59550</v>
      </c>
      <c r="AE10" s="658">
        <f t="shared" si="3"/>
        <v>-3.1193054503875526E-2</v>
      </c>
      <c r="AF10" s="322">
        <f t="shared" si="4"/>
        <v>-5.8392397634719602E-2</v>
      </c>
      <c r="AI10" s="382"/>
      <c r="AJ10" s="382"/>
      <c r="AK10" s="382"/>
      <c r="AL10" s="413"/>
      <c r="AM10" s="413"/>
      <c r="AN10" s="413"/>
    </row>
    <row r="11" spans="2:40" x14ac:dyDescent="0.25">
      <c r="B11" s="19" t="s">
        <v>45</v>
      </c>
      <c r="C11" s="143" t="s">
        <v>408</v>
      </c>
      <c r="D11" s="311">
        <v>5.3308987344700309</v>
      </c>
      <c r="E11" s="312">
        <v>69.193827140333724</v>
      </c>
      <c r="I11" s="474" t="s">
        <v>822</v>
      </c>
      <c r="J11" s="475" t="s">
        <v>828</v>
      </c>
      <c r="K11" s="473">
        <f>44+((47-44)/2)</f>
        <v>45.5</v>
      </c>
      <c r="L11" s="476"/>
      <c r="M11" s="476" t="str">
        <f>+'5. ANH'!J19</f>
        <v>Light Oil</v>
      </c>
      <c r="N11" s="477">
        <f>+SUM(R11:X11)-W11</f>
        <v>166.60876712328769</v>
      </c>
      <c r="O11" s="477">
        <f t="shared" si="0"/>
        <v>166.60876712328769</v>
      </c>
      <c r="P11" s="477">
        <f t="shared" si="1"/>
        <v>0</v>
      </c>
      <c r="Q11" s="478">
        <v>166.60868493150684</v>
      </c>
      <c r="R11" s="478">
        <v>0</v>
      </c>
      <c r="S11" s="478">
        <v>161.80676712328767</v>
      </c>
      <c r="T11" s="478">
        <v>0.54767123287671238</v>
      </c>
      <c r="U11" s="478">
        <v>4.2543287671232868</v>
      </c>
      <c r="V11" s="478">
        <v>0</v>
      </c>
      <c r="W11" s="478">
        <v>0</v>
      </c>
      <c r="X11" s="478">
        <v>0</v>
      </c>
      <c r="Y11" s="478">
        <v>8010.0189863013702</v>
      </c>
      <c r="Z11" s="479">
        <f t="shared" si="6"/>
        <v>4.8020000000000209</v>
      </c>
      <c r="AA11" s="1"/>
      <c r="AB11" s="382">
        <f t="shared" si="7"/>
        <v>8010.0189863013702</v>
      </c>
      <c r="AC11" s="75">
        <f t="shared" si="2"/>
        <v>8837.950020784132</v>
      </c>
      <c r="AD11" s="653">
        <v>8450</v>
      </c>
      <c r="AE11" s="658">
        <f t="shared" si="3"/>
        <v>5.4928835306268256E-2</v>
      </c>
      <c r="AF11" s="322">
        <f t="shared" si="4"/>
        <v>-4.389592833991969E-2</v>
      </c>
      <c r="AI11" s="382"/>
      <c r="AJ11" s="382"/>
      <c r="AK11" s="382"/>
      <c r="AL11" s="413"/>
      <c r="AM11" s="413"/>
      <c r="AN11" s="413"/>
    </row>
    <row r="12" spans="2:40" x14ac:dyDescent="0.25">
      <c r="B12" s="19" t="s">
        <v>47</v>
      </c>
      <c r="C12" s="148" t="s">
        <v>409</v>
      </c>
      <c r="D12" s="122">
        <v>5.6708498400612823</v>
      </c>
      <c r="E12" s="313">
        <v>75.166375708662926</v>
      </c>
      <c r="I12" s="474" t="s">
        <v>822</v>
      </c>
      <c r="J12" s="475" t="s">
        <v>841</v>
      </c>
      <c r="K12" s="473">
        <f>11.3+(14.4-11.3)/2</f>
        <v>12.850000000000001</v>
      </c>
      <c r="L12" s="476"/>
      <c r="M12" s="476" t="str">
        <f>+'5. ANH'!J20</f>
        <v>Heavy Oil</v>
      </c>
      <c r="N12" s="477">
        <f t="shared" si="5"/>
        <v>0</v>
      </c>
      <c r="O12" s="477">
        <f t="shared" si="0"/>
        <v>0</v>
      </c>
      <c r="P12" s="477">
        <f t="shared" si="1"/>
        <v>0</v>
      </c>
      <c r="Q12" s="478">
        <v>0</v>
      </c>
      <c r="R12" s="478">
        <v>0</v>
      </c>
      <c r="S12" s="478">
        <v>0</v>
      </c>
      <c r="T12" s="478">
        <v>0</v>
      </c>
      <c r="U12" s="478">
        <v>0</v>
      </c>
      <c r="V12" s="478">
        <v>0</v>
      </c>
      <c r="W12" s="478">
        <v>0</v>
      </c>
      <c r="X12" s="478">
        <v>0</v>
      </c>
      <c r="Y12" s="478">
        <v>119308.68268493151</v>
      </c>
      <c r="Z12" s="479">
        <f t="shared" si="6"/>
        <v>0</v>
      </c>
      <c r="AA12" s="1"/>
      <c r="AB12" s="382">
        <f t="shared" si="7"/>
        <v>119308.68268493151</v>
      </c>
      <c r="AC12" s="75">
        <f t="shared" si="2"/>
        <v>119308.68268493151</v>
      </c>
      <c r="AD12" s="653">
        <v>112500</v>
      </c>
      <c r="AE12" s="658">
        <f t="shared" si="3"/>
        <v>-5.706778862785513E-2</v>
      </c>
      <c r="AF12" s="322">
        <f t="shared" si="4"/>
        <v>-5.706778862785513E-2</v>
      </c>
      <c r="AI12" s="382"/>
      <c r="AJ12" s="382"/>
      <c r="AK12" s="382"/>
      <c r="AL12" s="413"/>
      <c r="AM12" s="413"/>
      <c r="AN12" s="413"/>
    </row>
    <row r="13" spans="2:40" x14ac:dyDescent="0.25">
      <c r="B13" s="19" t="s">
        <v>48</v>
      </c>
      <c r="C13" s="151" t="s">
        <v>87</v>
      </c>
      <c r="D13" s="314">
        <v>4.7117947967516214</v>
      </c>
      <c r="E13" s="315">
        <v>87.735056011523966</v>
      </c>
      <c r="I13" s="474" t="s">
        <v>822</v>
      </c>
      <c r="J13" s="475" t="s">
        <v>843</v>
      </c>
      <c r="K13" s="473">
        <v>13.7</v>
      </c>
      <c r="L13" s="476"/>
      <c r="M13" s="476" t="str">
        <f>+'5. ANH'!J21</f>
        <v>Heavy Oil</v>
      </c>
      <c r="N13" s="477">
        <f t="shared" si="5"/>
        <v>0</v>
      </c>
      <c r="O13" s="477">
        <f t="shared" si="0"/>
        <v>0</v>
      </c>
      <c r="P13" s="477">
        <f t="shared" si="1"/>
        <v>0</v>
      </c>
      <c r="Q13" s="478">
        <v>0</v>
      </c>
      <c r="R13" s="478">
        <v>0</v>
      </c>
      <c r="S13" s="478">
        <v>0</v>
      </c>
      <c r="T13" s="478">
        <v>0</v>
      </c>
      <c r="U13" s="478">
        <v>0</v>
      </c>
      <c r="V13" s="478">
        <v>0</v>
      </c>
      <c r="W13" s="478">
        <v>0</v>
      </c>
      <c r="X13" s="478">
        <v>0</v>
      </c>
      <c r="Y13" s="478">
        <v>114056.06200000001</v>
      </c>
      <c r="Z13" s="479">
        <f t="shared" si="6"/>
        <v>0</v>
      </c>
      <c r="AA13" s="1"/>
      <c r="AB13" s="382">
        <f t="shared" si="7"/>
        <v>114056.06200000001</v>
      </c>
      <c r="AC13" s="75">
        <f t="shared" si="2"/>
        <v>114056.06200000001</v>
      </c>
      <c r="AD13" s="653">
        <v>112200</v>
      </c>
      <c r="AE13" s="658">
        <f t="shared" si="3"/>
        <v>-1.6273242889974629E-2</v>
      </c>
      <c r="AF13" s="322">
        <f t="shared" si="4"/>
        <v>-1.6273242889974629E-2</v>
      </c>
      <c r="AI13" s="382"/>
      <c r="AJ13" s="382"/>
      <c r="AK13" s="382"/>
      <c r="AL13" s="413"/>
      <c r="AM13" s="413"/>
      <c r="AN13" s="413"/>
    </row>
    <row r="14" spans="2:40" x14ac:dyDescent="0.25">
      <c r="B14" s="19" t="s">
        <v>49</v>
      </c>
      <c r="C14" s="143" t="s">
        <v>410</v>
      </c>
      <c r="D14" s="311">
        <v>4.0562660463586173</v>
      </c>
      <c r="E14" s="312">
        <v>47.28933824683137</v>
      </c>
      <c r="I14" s="474" t="s">
        <v>822</v>
      </c>
      <c r="J14" s="475" t="s">
        <v>845</v>
      </c>
      <c r="K14" s="473">
        <f>7+(20-7)/2</f>
        <v>13.5</v>
      </c>
      <c r="L14" s="476"/>
      <c r="M14" s="476" t="str">
        <f>+'5. ANH'!J22</f>
        <v>Heavy Oil</v>
      </c>
      <c r="N14" s="477">
        <f t="shared" si="5"/>
        <v>3.793589041095891</v>
      </c>
      <c r="O14" s="477">
        <f t="shared" si="0"/>
        <v>3.793589041095891</v>
      </c>
      <c r="P14" s="477">
        <f t="shared" si="1"/>
        <v>0</v>
      </c>
      <c r="Q14" s="478">
        <v>3.7935616438356163</v>
      </c>
      <c r="R14" s="478">
        <v>0</v>
      </c>
      <c r="S14" s="478">
        <v>0</v>
      </c>
      <c r="T14" s="478">
        <v>0.87139726027397268</v>
      </c>
      <c r="U14" s="478">
        <v>2.9221917808219184</v>
      </c>
      <c r="V14" s="478">
        <v>0</v>
      </c>
      <c r="W14" s="478">
        <v>0</v>
      </c>
      <c r="X14" s="478">
        <v>0</v>
      </c>
      <c r="Y14" s="478">
        <v>69090.784575342463</v>
      </c>
      <c r="Z14" s="479">
        <f t="shared" si="6"/>
        <v>3.793589041095891</v>
      </c>
      <c r="AA14" s="1"/>
      <c r="AB14" s="382">
        <f t="shared" si="7"/>
        <v>69090.784575342463</v>
      </c>
      <c r="AC14" s="75">
        <f t="shared" si="2"/>
        <v>69744.851651393474</v>
      </c>
      <c r="AD14" s="653">
        <v>69000</v>
      </c>
      <c r="AE14" s="658">
        <f t="shared" si="3"/>
        <v>-1.3139896427643461E-3</v>
      </c>
      <c r="AF14" s="322">
        <f t="shared" si="4"/>
        <v>-1.06796650040418E-2</v>
      </c>
      <c r="AI14" s="382"/>
      <c r="AJ14" s="382"/>
      <c r="AK14" s="382"/>
      <c r="AL14" s="413"/>
      <c r="AM14" s="413"/>
      <c r="AN14" s="413"/>
    </row>
    <row r="15" spans="2:40" x14ac:dyDescent="0.25">
      <c r="B15" s="19" t="s">
        <v>50</v>
      </c>
      <c r="C15" s="148" t="s">
        <v>412</v>
      </c>
      <c r="D15" s="122">
        <v>5.4608206169323079</v>
      </c>
      <c r="E15" s="313">
        <v>78.281203343664757</v>
      </c>
      <c r="I15" s="474" t="s">
        <v>822</v>
      </c>
      <c r="J15" s="475" t="s">
        <v>846</v>
      </c>
      <c r="K15" s="473">
        <v>8</v>
      </c>
      <c r="L15" s="476"/>
      <c r="M15" s="476" t="str">
        <f>+'5. ANH'!J23</f>
        <v>Heavy Oil</v>
      </c>
      <c r="N15" s="477">
        <f t="shared" si="5"/>
        <v>0.58205479452054798</v>
      </c>
      <c r="O15" s="477">
        <f t="shared" si="0"/>
        <v>0.58205479452054798</v>
      </c>
      <c r="P15" s="477">
        <f t="shared" si="1"/>
        <v>0</v>
      </c>
      <c r="Q15" s="478">
        <v>0.58205479452054798</v>
      </c>
      <c r="R15" s="478">
        <v>0</v>
      </c>
      <c r="S15" s="478">
        <v>0</v>
      </c>
      <c r="T15" s="478">
        <v>0</v>
      </c>
      <c r="U15" s="478">
        <v>0.58205479452054798</v>
      </c>
      <c r="V15" s="478">
        <v>0</v>
      </c>
      <c r="W15" s="478">
        <v>0</v>
      </c>
      <c r="X15" s="478">
        <v>0</v>
      </c>
      <c r="Y15" s="478">
        <v>19756.607616438356</v>
      </c>
      <c r="Z15" s="479">
        <f t="shared" si="6"/>
        <v>0.58205479452054798</v>
      </c>
      <c r="AA15" s="1"/>
      <c r="AB15" s="382">
        <f t="shared" si="7"/>
        <v>19756.607616438356</v>
      </c>
      <c r="AC15" s="75">
        <f t="shared" si="2"/>
        <v>19856.961891355691</v>
      </c>
      <c r="AD15" s="653">
        <v>19000</v>
      </c>
      <c r="AE15" s="658">
        <f t="shared" si="3"/>
        <v>-3.8296433837600001E-2</v>
      </c>
      <c r="AF15" s="322">
        <f t="shared" si="4"/>
        <v>-4.3156747544988328E-2</v>
      </c>
      <c r="AI15" s="382"/>
      <c r="AJ15" s="382"/>
      <c r="AK15" s="382"/>
      <c r="AL15" s="413"/>
      <c r="AM15" s="413"/>
      <c r="AN15" s="413"/>
    </row>
    <row r="16" spans="2:40" x14ac:dyDescent="0.25">
      <c r="B16" s="19" t="s">
        <v>518</v>
      </c>
      <c r="C16" s="148" t="s">
        <v>513</v>
      </c>
      <c r="D16" s="122">
        <v>4.7615165047769556</v>
      </c>
      <c r="E16" s="313">
        <v>56.337812381502502</v>
      </c>
      <c r="I16" s="474" t="s">
        <v>822</v>
      </c>
      <c r="J16" s="475" t="s">
        <v>848</v>
      </c>
      <c r="K16" s="473">
        <v>13.5</v>
      </c>
      <c r="L16" s="476"/>
      <c r="M16" s="476" t="str">
        <f>+'5. ANH'!J24</f>
        <v>Heavy Oil</v>
      </c>
      <c r="N16" s="477">
        <f t="shared" si="5"/>
        <v>1.1906575342465753</v>
      </c>
      <c r="O16" s="477">
        <f t="shared" si="0"/>
        <v>1.5506849315068495E-2</v>
      </c>
      <c r="P16" s="477">
        <f t="shared" si="1"/>
        <v>0.64550684931506841</v>
      </c>
      <c r="Q16" s="478">
        <v>1.1908493150684931</v>
      </c>
      <c r="R16" s="478">
        <v>0</v>
      </c>
      <c r="S16" s="478">
        <v>0</v>
      </c>
      <c r="T16" s="478">
        <v>1.5506849315068495E-2</v>
      </c>
      <c r="U16" s="478">
        <v>0</v>
      </c>
      <c r="V16" s="478">
        <v>1.1751506849315068</v>
      </c>
      <c r="W16" s="478">
        <v>0.52964383561643835</v>
      </c>
      <c r="X16" s="478">
        <v>0</v>
      </c>
      <c r="Y16" s="478">
        <v>3941.1335068493149</v>
      </c>
      <c r="Z16" s="479">
        <f t="shared" si="6"/>
        <v>1.1906575342465753</v>
      </c>
      <c r="AA16" s="1"/>
      <c r="AB16" s="382">
        <f t="shared" si="7"/>
        <v>4052.4277912139819</v>
      </c>
      <c r="AC16" s="75">
        <f t="shared" si="2"/>
        <v>4146.4192886159663</v>
      </c>
      <c r="AD16" s="653">
        <v>4210</v>
      </c>
      <c r="AE16" s="658">
        <f t="shared" si="3"/>
        <v>3.8883409379347471E-2</v>
      </c>
      <c r="AF16" s="322">
        <f t="shared" si="4"/>
        <v>1.5333883758112741E-2</v>
      </c>
      <c r="AI16" s="382"/>
      <c r="AJ16" s="382"/>
      <c r="AK16" s="382"/>
      <c r="AL16" s="413"/>
      <c r="AM16" s="413"/>
      <c r="AN16" s="413"/>
    </row>
    <row r="17" spans="2:40" x14ac:dyDescent="0.25">
      <c r="B17" s="19" t="s">
        <v>515</v>
      </c>
      <c r="C17" s="151" t="s">
        <v>514</v>
      </c>
      <c r="D17" s="314">
        <v>4.1867999999999999</v>
      </c>
      <c r="E17" s="315">
        <v>40.784041574326501</v>
      </c>
      <c r="I17" s="474" t="s">
        <v>852</v>
      </c>
      <c r="J17" s="475" t="s">
        <v>851</v>
      </c>
      <c r="K17" s="473">
        <v>35</v>
      </c>
      <c r="L17" s="476"/>
      <c r="M17" s="476" t="str">
        <f>+'5. ANH'!J25</f>
        <v>Light Oil</v>
      </c>
      <c r="N17" s="477">
        <f t="shared" si="5"/>
        <v>3.4626301369863017</v>
      </c>
      <c r="O17" s="477">
        <f t="shared" si="0"/>
        <v>3.4626301369863017</v>
      </c>
      <c r="P17" s="477">
        <f t="shared" si="1"/>
        <v>0</v>
      </c>
      <c r="Q17" s="478">
        <v>3.4626301369863017</v>
      </c>
      <c r="R17" s="478">
        <v>0</v>
      </c>
      <c r="S17" s="478">
        <v>0</v>
      </c>
      <c r="T17" s="478">
        <v>0</v>
      </c>
      <c r="U17" s="478">
        <v>3.4626301369863017</v>
      </c>
      <c r="V17" s="478">
        <v>0</v>
      </c>
      <c r="W17" s="478">
        <v>0</v>
      </c>
      <c r="X17" s="478">
        <v>0</v>
      </c>
      <c r="Y17" s="478">
        <v>1962.0646849315069</v>
      </c>
      <c r="Z17" s="479">
        <f>+N17-S17</f>
        <v>3.4626301369863017</v>
      </c>
      <c r="AA17" s="1"/>
      <c r="AB17" s="382">
        <f t="shared" si="7"/>
        <v>1962.0646849315069</v>
      </c>
      <c r="AC17" s="75">
        <f t="shared" si="2"/>
        <v>2559.0698809636278</v>
      </c>
      <c r="AD17" s="653">
        <v>2100</v>
      </c>
      <c r="AE17" s="658">
        <f t="shared" si="3"/>
        <v>7.030110481464999E-2</v>
      </c>
      <c r="AF17" s="662">
        <f t="shared" si="4"/>
        <v>-0.17938934937984705</v>
      </c>
      <c r="AI17" s="382"/>
      <c r="AJ17" s="382"/>
      <c r="AK17" s="382"/>
      <c r="AL17" s="413"/>
      <c r="AM17" s="413"/>
      <c r="AN17" s="413"/>
    </row>
    <row r="18" spans="2:40" x14ac:dyDescent="0.25">
      <c r="B18" s="142" t="s">
        <v>481</v>
      </c>
      <c r="I18" s="474" t="s">
        <v>817</v>
      </c>
      <c r="J18" s="475" t="s">
        <v>818</v>
      </c>
      <c r="K18" s="473">
        <v>21</v>
      </c>
      <c r="L18" s="476"/>
      <c r="M18" s="476" t="str">
        <f>+'5. ANH'!J26</f>
        <v>Medium Oil</v>
      </c>
      <c r="N18" s="477">
        <f t="shared" si="5"/>
        <v>1.1893972602739726</v>
      </c>
      <c r="O18" s="477">
        <f t="shared" si="0"/>
        <v>1.1893972602739726</v>
      </c>
      <c r="P18" s="477">
        <f t="shared" si="1"/>
        <v>0</v>
      </c>
      <c r="Q18" s="478">
        <v>1.1894794520547947</v>
      </c>
      <c r="R18" s="478">
        <v>0</v>
      </c>
      <c r="S18" s="478">
        <v>0</v>
      </c>
      <c r="T18" s="478">
        <v>0.95542465753424666</v>
      </c>
      <c r="U18" s="478">
        <v>0.23397260273972598</v>
      </c>
      <c r="V18" s="478">
        <v>0</v>
      </c>
      <c r="W18" s="478">
        <v>0</v>
      </c>
      <c r="X18" s="478">
        <v>0</v>
      </c>
      <c r="Y18" s="478">
        <v>12119.3965753425</v>
      </c>
      <c r="Z18" s="479">
        <f>+N18-S18</f>
        <v>1.1893972602739726</v>
      </c>
      <c r="AA18" s="1"/>
      <c r="AB18" s="382">
        <f t="shared" si="7"/>
        <v>12119.3965753425</v>
      </c>
      <c r="AC18" s="75">
        <f t="shared" si="2"/>
        <v>12324.465068493186</v>
      </c>
      <c r="AD18" s="653">
        <v>11750</v>
      </c>
      <c r="AE18" s="658">
        <f t="shared" si="3"/>
        <v>-3.0479782804867961E-2</v>
      </c>
      <c r="AF18" s="322">
        <f t="shared" si="4"/>
        <v>-4.6611764916416047E-2</v>
      </c>
      <c r="AI18" s="382"/>
      <c r="AJ18" s="382"/>
      <c r="AK18" s="382"/>
      <c r="AL18" s="413"/>
      <c r="AM18" s="413"/>
      <c r="AN18" s="413"/>
    </row>
    <row r="19" spans="2:40" x14ac:dyDescent="0.25">
      <c r="I19" s="474" t="s">
        <v>817</v>
      </c>
      <c r="J19" s="475" t="s">
        <v>820</v>
      </c>
      <c r="K19" s="473">
        <v>12.5</v>
      </c>
      <c r="L19" s="476"/>
      <c r="M19" s="476" t="str">
        <f>+'5. ANH'!J27</f>
        <v>Heavy Oil</v>
      </c>
      <c r="N19" s="477">
        <f t="shared" si="5"/>
        <v>0.23824657534246574</v>
      </c>
      <c r="O19" s="477">
        <f t="shared" si="0"/>
        <v>0.23824657534246574</v>
      </c>
      <c r="P19" s="477">
        <f t="shared" si="1"/>
        <v>0</v>
      </c>
      <c r="Q19" s="478">
        <v>0.23827397260273972</v>
      </c>
      <c r="R19" s="478">
        <v>0</v>
      </c>
      <c r="S19" s="478">
        <v>0</v>
      </c>
      <c r="T19" s="478">
        <v>0.10038356164383562</v>
      </c>
      <c r="U19" s="478">
        <v>0.1378630136986301</v>
      </c>
      <c r="V19" s="478">
        <v>0</v>
      </c>
      <c r="W19" s="478">
        <v>0</v>
      </c>
      <c r="X19" s="478">
        <v>0</v>
      </c>
      <c r="Y19" s="478">
        <v>1476.5236986301368</v>
      </c>
      <c r="Z19" s="479">
        <f t="shared" si="6"/>
        <v>0.23824657534246574</v>
      </c>
      <c r="AA19" s="1"/>
      <c r="AB19" s="382">
        <f t="shared" si="7"/>
        <v>1476.5236986301368</v>
      </c>
      <c r="AC19" s="75">
        <f t="shared" si="2"/>
        <v>1517.6006943788377</v>
      </c>
      <c r="AD19" s="653">
        <v>1500</v>
      </c>
      <c r="AE19" s="658">
        <f t="shared" si="3"/>
        <v>1.5899711864864514E-2</v>
      </c>
      <c r="AF19" s="322">
        <f t="shared" si="4"/>
        <v>-1.1597711073822205E-2</v>
      </c>
      <c r="AI19" s="382"/>
      <c r="AJ19" s="382"/>
      <c r="AK19" s="382"/>
      <c r="AL19" s="413"/>
      <c r="AM19" s="413"/>
      <c r="AN19" s="413"/>
    </row>
    <row r="20" spans="2:40" x14ac:dyDescent="0.25">
      <c r="I20" s="474" t="s">
        <v>817</v>
      </c>
      <c r="J20" s="475" t="s">
        <v>854</v>
      </c>
      <c r="K20" s="473">
        <v>21</v>
      </c>
      <c r="L20" s="476"/>
      <c r="M20" s="476" t="str">
        <f>+'5. ANH'!J28</f>
        <v>Medium Oil</v>
      </c>
      <c r="N20" s="477">
        <f t="shared" si="5"/>
        <v>5.057041095890412</v>
      </c>
      <c r="O20" s="477">
        <f t="shared" si="0"/>
        <v>2.6139452054794523</v>
      </c>
      <c r="P20" s="477">
        <f t="shared" si="1"/>
        <v>2.4430958904109596</v>
      </c>
      <c r="Q20" s="478">
        <v>5.0572054794520547</v>
      </c>
      <c r="R20" s="478">
        <v>0</v>
      </c>
      <c r="S20" s="478">
        <v>0</v>
      </c>
      <c r="T20" s="478">
        <v>2.4027123287671235</v>
      </c>
      <c r="U20" s="478">
        <v>0.21123287671232879</v>
      </c>
      <c r="V20" s="478">
        <v>0</v>
      </c>
      <c r="W20" s="478">
        <v>0</v>
      </c>
      <c r="X20" s="478">
        <v>2.4430958904109596</v>
      </c>
      <c r="Y20" s="478">
        <v>17849.99879452055</v>
      </c>
      <c r="Z20" s="479">
        <f t="shared" si="6"/>
        <v>5.057041095890412</v>
      </c>
      <c r="AA20" s="1"/>
      <c r="AB20" s="382">
        <f t="shared" si="7"/>
        <v>18271.22222390175</v>
      </c>
      <c r="AC20" s="75">
        <f t="shared" si="2"/>
        <v>18721.902431743034</v>
      </c>
      <c r="AD20" s="653">
        <v>18000</v>
      </c>
      <c r="AE20" s="658">
        <f t="shared" si="3"/>
        <v>-1.484422993591239E-2</v>
      </c>
      <c r="AF20" s="322">
        <f t="shared" si="4"/>
        <v>-3.8559245481327074E-2</v>
      </c>
      <c r="AI20" s="382"/>
      <c r="AJ20" s="382"/>
      <c r="AK20" s="382"/>
      <c r="AL20" s="413"/>
      <c r="AM20" s="413"/>
      <c r="AN20" s="413"/>
    </row>
    <row r="21" spans="2:40" x14ac:dyDescent="0.25">
      <c r="I21" s="474" t="s">
        <v>817</v>
      </c>
      <c r="J21" s="475" t="s">
        <v>856</v>
      </c>
      <c r="K21" s="473">
        <f>20+(25-20)/2</f>
        <v>22.5</v>
      </c>
      <c r="L21" s="476"/>
      <c r="M21" s="476" t="str">
        <f>+'5. ANH'!J29</f>
        <v>Medium Oil</v>
      </c>
      <c r="N21" s="477">
        <f t="shared" si="5"/>
        <v>6.7767123287671236</v>
      </c>
      <c r="O21" s="477">
        <f t="shared" si="0"/>
        <v>3.0408493150684928</v>
      </c>
      <c r="P21" s="477">
        <f t="shared" si="1"/>
        <v>3.7358630136986304</v>
      </c>
      <c r="Q21" s="478">
        <v>6.7767123287671236</v>
      </c>
      <c r="R21" s="478">
        <v>0</v>
      </c>
      <c r="S21" s="478">
        <v>0</v>
      </c>
      <c r="T21" s="478">
        <v>1.396739726027397</v>
      </c>
      <c r="U21" s="478">
        <v>1.6441095890410957</v>
      </c>
      <c r="V21" s="478">
        <v>3.7358630136986304</v>
      </c>
      <c r="W21" s="478">
        <v>0</v>
      </c>
      <c r="X21" s="478">
        <v>0</v>
      </c>
      <c r="Y21" s="478">
        <v>42334.39687671233</v>
      </c>
      <c r="Z21" s="479">
        <f t="shared" si="6"/>
        <v>6.7767123287671236</v>
      </c>
      <c r="AA21" s="1"/>
      <c r="AB21" s="382">
        <f t="shared" si="7"/>
        <v>42978.51118941899</v>
      </c>
      <c r="AC21" s="75">
        <f t="shared" si="2"/>
        <v>43502.795554085969</v>
      </c>
      <c r="AD21" s="653">
        <v>42100</v>
      </c>
      <c r="AE21" s="658">
        <f t="shared" si="3"/>
        <v>-2.0440707812030345E-2</v>
      </c>
      <c r="AF21" s="322">
        <f t="shared" si="4"/>
        <v>-3.2246101341738088E-2</v>
      </c>
      <c r="AI21" s="382"/>
      <c r="AJ21" s="382"/>
      <c r="AK21" s="382"/>
      <c r="AL21" s="413"/>
      <c r="AM21" s="413"/>
      <c r="AN21" s="413"/>
    </row>
    <row r="22" spans="2:40" x14ac:dyDescent="0.25">
      <c r="I22" s="474" t="s">
        <v>830</v>
      </c>
      <c r="J22" s="475" t="s">
        <v>831</v>
      </c>
      <c r="K22" s="473">
        <v>23</v>
      </c>
      <c r="L22" s="476"/>
      <c r="M22" s="476" t="str">
        <f>+'5. ANH'!J30</f>
        <v>Medium Oil</v>
      </c>
      <c r="N22" s="477">
        <f t="shared" si="5"/>
        <v>1.9274794520547947</v>
      </c>
      <c r="O22" s="477">
        <f t="shared" si="0"/>
        <v>0.33145205479452056</v>
      </c>
      <c r="P22" s="477">
        <f t="shared" si="1"/>
        <v>1.0367123287671232</v>
      </c>
      <c r="Q22" s="478">
        <v>1.9275342465753424</v>
      </c>
      <c r="R22" s="478">
        <v>0</v>
      </c>
      <c r="S22" s="478">
        <v>0</v>
      </c>
      <c r="T22" s="478">
        <v>0.10339726027397263</v>
      </c>
      <c r="U22" s="478">
        <v>0.22805479452054794</v>
      </c>
      <c r="V22" s="478">
        <v>1.5925479452054794</v>
      </c>
      <c r="W22" s="478">
        <v>0.55931506849315071</v>
      </c>
      <c r="X22" s="478">
        <v>3.4794520547945205E-3</v>
      </c>
      <c r="Y22" s="478">
        <v>4684.6815890410962</v>
      </c>
      <c r="Z22" s="479">
        <f t="shared" si="6"/>
        <v>1.9274794520547947</v>
      </c>
      <c r="AA22" s="1"/>
      <c r="AB22" s="382">
        <f t="shared" si="7"/>
        <v>4863.4250940009451</v>
      </c>
      <c r="AC22" s="75">
        <f t="shared" si="2"/>
        <v>5017.0056324988191</v>
      </c>
      <c r="AD22" s="653">
        <v>4850</v>
      </c>
      <c r="AE22" s="658">
        <f t="shared" si="3"/>
        <v>-2.7604196099380754E-3</v>
      </c>
      <c r="AF22" s="322">
        <f t="shared" si="4"/>
        <v>-3.3287910106578576E-2</v>
      </c>
      <c r="AI22" s="382"/>
      <c r="AJ22" s="382"/>
      <c r="AK22" s="382"/>
      <c r="AL22" s="413"/>
      <c r="AM22" s="413"/>
      <c r="AN22" s="413"/>
    </row>
    <row r="23" spans="2:40" x14ac:dyDescent="0.25">
      <c r="I23" s="474" t="s">
        <v>830</v>
      </c>
      <c r="J23" s="475" t="s">
        <v>833</v>
      </c>
      <c r="K23" s="473">
        <v>25.5</v>
      </c>
      <c r="L23" s="476"/>
      <c r="M23" s="476" t="str">
        <f>+'5. ANH'!J31</f>
        <v>Medium Oil</v>
      </c>
      <c r="N23" s="477">
        <f t="shared" si="5"/>
        <v>0.8670410958904109</v>
      </c>
      <c r="O23" s="477">
        <f t="shared" si="0"/>
        <v>0.8670410958904109</v>
      </c>
      <c r="P23" s="477">
        <f t="shared" si="1"/>
        <v>0</v>
      </c>
      <c r="Q23" s="478">
        <v>0.86709589041095891</v>
      </c>
      <c r="R23" s="478">
        <v>0</v>
      </c>
      <c r="S23" s="478">
        <v>0</v>
      </c>
      <c r="T23" s="478">
        <v>0.45498630136986301</v>
      </c>
      <c r="U23" s="478">
        <v>0.41205479452054788</v>
      </c>
      <c r="V23" s="478">
        <v>0</v>
      </c>
      <c r="W23" s="478">
        <v>0</v>
      </c>
      <c r="X23" s="478">
        <v>0</v>
      </c>
      <c r="Y23" s="478">
        <v>4154.1152328767121</v>
      </c>
      <c r="Z23" s="479">
        <f t="shared" si="6"/>
        <v>0.8670410958904109</v>
      </c>
      <c r="AA23" s="1"/>
      <c r="AB23" s="382">
        <f t="shared" si="7"/>
        <v>4154.1152328767121</v>
      </c>
      <c r="AC23" s="75">
        <f t="shared" si="2"/>
        <v>4303.6050769957483</v>
      </c>
      <c r="AD23" s="653">
        <v>4000</v>
      </c>
      <c r="AE23" s="658">
        <f t="shared" si="3"/>
        <v>-3.7099412085877005E-2</v>
      </c>
      <c r="AF23" s="322">
        <f t="shared" si="4"/>
        <v>-7.0546686223283361E-2</v>
      </c>
      <c r="AI23" s="382"/>
      <c r="AJ23" s="382"/>
      <c r="AK23" s="382"/>
      <c r="AL23" s="413"/>
      <c r="AM23" s="413"/>
      <c r="AN23" s="413"/>
    </row>
    <row r="24" spans="2:40" x14ac:dyDescent="0.25">
      <c r="I24" s="474" t="s">
        <v>830</v>
      </c>
      <c r="J24" s="480" t="s">
        <v>835</v>
      </c>
      <c r="K24" s="473">
        <v>21</v>
      </c>
      <c r="L24" s="476"/>
      <c r="M24" s="476" t="str">
        <f>+'5. ANH'!J32</f>
        <v>Medium Oil</v>
      </c>
      <c r="N24" s="477">
        <f t="shared" si="5"/>
        <v>1.1906575342465753</v>
      </c>
      <c r="O24" s="477">
        <f t="shared" si="0"/>
        <v>1.5506849315068495E-2</v>
      </c>
      <c r="P24" s="477">
        <f t="shared" si="1"/>
        <v>0.64550684931506841</v>
      </c>
      <c r="Q24" s="478">
        <v>1.1908493150684931</v>
      </c>
      <c r="R24" s="478">
        <v>0</v>
      </c>
      <c r="S24" s="478">
        <v>0</v>
      </c>
      <c r="T24" s="478">
        <v>0</v>
      </c>
      <c r="U24" s="478">
        <v>1.5506849315068495E-2</v>
      </c>
      <c r="V24" s="478">
        <v>1.1751506849315068</v>
      </c>
      <c r="W24" s="478">
        <v>0.52964383561643835</v>
      </c>
      <c r="X24" s="478">
        <v>0</v>
      </c>
      <c r="Y24" s="478">
        <v>3941.1335068493149</v>
      </c>
      <c r="Z24" s="479">
        <f t="shared" si="6"/>
        <v>1.1906575342465753</v>
      </c>
      <c r="AA24" s="1"/>
      <c r="AB24" s="382">
        <f t="shared" si="7"/>
        <v>4052.4277912139819</v>
      </c>
      <c r="AC24" s="75">
        <f t="shared" si="2"/>
        <v>4146.4192886159663</v>
      </c>
      <c r="AD24" s="653">
        <v>4000</v>
      </c>
      <c r="AE24" s="658">
        <f t="shared" si="3"/>
        <v>-1.2937378261902638E-2</v>
      </c>
      <c r="AF24" s="322">
        <f t="shared" si="4"/>
        <v>-3.5312224457850129E-2</v>
      </c>
      <c r="AI24" s="382"/>
      <c r="AJ24" s="382"/>
      <c r="AK24" s="382"/>
      <c r="AL24" s="413"/>
      <c r="AM24" s="413"/>
      <c r="AN24" s="413"/>
    </row>
    <row r="25" spans="2:40" x14ac:dyDescent="0.25">
      <c r="C25" t="s">
        <v>871</v>
      </c>
      <c r="D25" s="343">
        <v>6117863200</v>
      </c>
      <c r="E25" t="s">
        <v>1046</v>
      </c>
      <c r="AA25" s="1"/>
      <c r="AB25" s="1"/>
      <c r="AC25" s="382"/>
      <c r="AD25" s="1"/>
      <c r="AE25" s="1"/>
      <c r="AF25" s="1"/>
      <c r="AH25" s="1"/>
      <c r="AI25" s="1"/>
      <c r="AJ25" s="1"/>
      <c r="AK25" s="1"/>
      <c r="AL25" s="1"/>
      <c r="AM25" s="1"/>
      <c r="AN25" s="1"/>
    </row>
    <row r="26" spans="2:40" x14ac:dyDescent="0.25">
      <c r="C26" t="s">
        <v>871</v>
      </c>
      <c r="D26" s="343">
        <f>+D25*1000/(1000000000000)</f>
        <v>6.1178632000000004</v>
      </c>
      <c r="E26" t="s">
        <v>914</v>
      </c>
      <c r="AA26" s="413"/>
      <c r="AB26" s="1"/>
      <c r="AC26" s="1"/>
      <c r="AD26" s="1"/>
      <c r="AE26" s="1"/>
      <c r="AF26" s="1"/>
      <c r="AG26" s="1"/>
      <c r="AH26" s="1"/>
      <c r="AI26" s="1"/>
      <c r="AJ26" s="1"/>
      <c r="AK26" s="1"/>
      <c r="AL26" s="1"/>
      <c r="AM26" s="1"/>
      <c r="AN26" s="1"/>
    </row>
    <row r="27" spans="2:40" x14ac:dyDescent="0.25">
      <c r="D27">
        <v>5800</v>
      </c>
      <c r="E27" t="s">
        <v>1055</v>
      </c>
      <c r="Y27" s="75"/>
      <c r="Z27" s="57"/>
      <c r="AA27" s="413"/>
      <c r="AB27" s="1"/>
      <c r="AC27" s="1"/>
      <c r="AD27" s="1"/>
      <c r="AE27" s="1"/>
      <c r="AF27" s="1"/>
      <c r="AG27" s="1"/>
      <c r="AH27" s="1"/>
      <c r="AI27" s="1"/>
      <c r="AJ27" s="1"/>
      <c r="AK27" s="1"/>
      <c r="AL27" s="1"/>
      <c r="AM27" s="1"/>
      <c r="AN27" s="1"/>
    </row>
    <row r="28" spans="2:40" ht="49.5" customHeight="1" x14ac:dyDescent="0.25">
      <c r="AA28" s="1"/>
      <c r="AB28" s="1"/>
      <c r="AC28" s="1"/>
      <c r="AD28" s="1"/>
      <c r="AE28" s="1"/>
      <c r="AF28" s="1"/>
      <c r="AG28" s="1"/>
      <c r="AH28" s="1"/>
      <c r="AI28" s="1"/>
      <c r="AJ28" s="1"/>
      <c r="AK28" s="1"/>
      <c r="AL28" s="1"/>
      <c r="AM28" s="1"/>
      <c r="AN28" s="1"/>
    </row>
    <row r="29" spans="2:40" x14ac:dyDescent="0.25">
      <c r="N29" s="57"/>
      <c r="AA29" s="1"/>
      <c r="AB29" s="1"/>
      <c r="AC29" s="1"/>
      <c r="AD29" s="1"/>
      <c r="AE29" s="1"/>
      <c r="AF29" s="1"/>
      <c r="AG29" s="1"/>
      <c r="AH29" s="1"/>
      <c r="AI29" s="1"/>
      <c r="AJ29" s="1"/>
      <c r="AK29" s="1"/>
      <c r="AL29" s="1"/>
      <c r="AM29" s="1"/>
      <c r="AN29" s="1"/>
    </row>
    <row r="30" spans="2:40" ht="18.75" x14ac:dyDescent="0.25">
      <c r="N30" s="19" t="s">
        <v>9</v>
      </c>
      <c r="O30" s="19" t="s">
        <v>9</v>
      </c>
      <c r="P30" s="19" t="s">
        <v>9</v>
      </c>
      <c r="Q30" s="19" t="s">
        <v>9</v>
      </c>
      <c r="R30" s="19" t="s">
        <v>9</v>
      </c>
      <c r="S30" s="19" t="s">
        <v>9</v>
      </c>
      <c r="T30" s="19" t="s">
        <v>9</v>
      </c>
      <c r="U30" s="19" t="s">
        <v>9</v>
      </c>
      <c r="V30" s="19" t="s">
        <v>9</v>
      </c>
      <c r="W30" s="19" t="s">
        <v>9</v>
      </c>
      <c r="X30" s="19" t="s">
        <v>9</v>
      </c>
      <c r="Y30" s="19" t="s">
        <v>9</v>
      </c>
      <c r="Z30" s="19" t="s">
        <v>9</v>
      </c>
      <c r="AA30" s="743"/>
      <c r="AB30" s="743"/>
      <c r="AC30" s="743"/>
      <c r="AD30" s="743"/>
      <c r="AE30" s="743"/>
      <c r="AF30" s="743"/>
      <c r="AG30" s="743"/>
      <c r="AH30" s="743"/>
      <c r="AI30" s="743"/>
      <c r="AJ30" s="743"/>
      <c r="AK30" s="743"/>
      <c r="AL30" s="743"/>
      <c r="AM30" s="743"/>
      <c r="AN30" s="1"/>
    </row>
    <row r="31" spans="2:40" ht="37.5" x14ac:dyDescent="0.25">
      <c r="I31" s="470" t="s">
        <v>798</v>
      </c>
      <c r="J31" s="470" t="s">
        <v>799</v>
      </c>
      <c r="K31" s="470" t="s">
        <v>800</v>
      </c>
      <c r="L31" s="471"/>
      <c r="M31" s="470" t="str">
        <f>+'5. ANH'!J12</f>
        <v>Type of Oil producing</v>
      </c>
      <c r="N31" s="472" t="s">
        <v>802</v>
      </c>
      <c r="O31" s="472" t="s">
        <v>803</v>
      </c>
      <c r="P31" s="472" t="s">
        <v>804</v>
      </c>
      <c r="Q31" s="470" t="s">
        <v>805</v>
      </c>
      <c r="R31" s="470" t="s">
        <v>806</v>
      </c>
      <c r="S31" s="470" t="s">
        <v>807</v>
      </c>
      <c r="T31" s="470" t="s">
        <v>808</v>
      </c>
      <c r="U31" s="470" t="s">
        <v>809</v>
      </c>
      <c r="V31" s="470" t="s">
        <v>810</v>
      </c>
      <c r="W31" s="470" t="s">
        <v>811</v>
      </c>
      <c r="X31" s="470" t="s">
        <v>812</v>
      </c>
      <c r="Y31" s="470" t="s">
        <v>813</v>
      </c>
      <c r="Z31" s="472" t="s">
        <v>814</v>
      </c>
      <c r="AA31" s="468"/>
      <c r="AB31" s="468"/>
      <c r="AC31" s="468"/>
      <c r="AD31" s="468"/>
      <c r="AE31" s="468"/>
      <c r="AF31" s="468"/>
      <c r="AG31" s="468"/>
      <c r="AH31" s="468"/>
      <c r="AI31" s="468"/>
      <c r="AJ31" s="468"/>
      <c r="AK31" s="657"/>
      <c r="AL31" s="657"/>
      <c r="AM31" s="657"/>
      <c r="AN31" s="1"/>
    </row>
    <row r="32" spans="2:40" x14ac:dyDescent="0.25">
      <c r="I32" s="474" t="s">
        <v>837</v>
      </c>
      <c r="J32" s="475" t="s">
        <v>838</v>
      </c>
      <c r="K32" s="473" t="s">
        <v>665</v>
      </c>
      <c r="L32" s="476" t="s">
        <v>51</v>
      </c>
      <c r="M32" s="476" t="str">
        <f>+'5. ANH'!J13</f>
        <v>Doesn't Apply</v>
      </c>
      <c r="N32" s="477">
        <f t="shared" ref="N32:X32" si="8">+N5*365*$D$7/1000</f>
        <v>60.04622961587031</v>
      </c>
      <c r="O32" s="477">
        <f t="shared" si="8"/>
        <v>2.4898308957132613</v>
      </c>
      <c r="P32" s="477">
        <f t="shared" si="8"/>
        <v>57.556398720157048</v>
      </c>
      <c r="Q32" s="478">
        <f t="shared" si="8"/>
        <v>60.04621952029688</v>
      </c>
      <c r="R32" s="478">
        <f t="shared" si="8"/>
        <v>0</v>
      </c>
      <c r="S32" s="478">
        <f t="shared" si="8"/>
        <v>0</v>
      </c>
      <c r="T32" s="478">
        <f t="shared" si="8"/>
        <v>2.4069462377542221</v>
      </c>
      <c r="U32" s="478">
        <f t="shared" si="8"/>
        <v>8.2884657959038696E-2</v>
      </c>
      <c r="V32" s="478">
        <f t="shared" si="8"/>
        <v>4.8961411123406373</v>
      </c>
      <c r="W32" s="478">
        <f t="shared" si="8"/>
        <v>0</v>
      </c>
      <c r="X32" s="478">
        <f t="shared" si="8"/>
        <v>52.660257607816412</v>
      </c>
      <c r="Y32" s="478">
        <f t="shared" ref="Y32:Y51" si="9">+Y5*365*(0.001)*$D$8/1000</f>
        <v>0</v>
      </c>
      <c r="Z32" s="479">
        <f>+N32-S32</f>
        <v>60.04622961587031</v>
      </c>
      <c r="AA32" s="412"/>
      <c r="AB32" s="412"/>
      <c r="AC32" s="412"/>
      <c r="AD32" s="412"/>
      <c r="AE32" s="412"/>
      <c r="AF32" s="412"/>
      <c r="AG32" s="412"/>
      <c r="AH32" s="412"/>
      <c r="AI32" s="412"/>
      <c r="AJ32" s="412"/>
      <c r="AK32" s="412"/>
      <c r="AL32" s="412"/>
      <c r="AM32" s="412"/>
      <c r="AN32" s="1"/>
    </row>
    <row r="33" spans="9:40" x14ac:dyDescent="0.25">
      <c r="I33" s="474" t="s">
        <v>837</v>
      </c>
      <c r="J33" s="475" t="s">
        <v>839</v>
      </c>
      <c r="K33" s="473" t="s">
        <v>665</v>
      </c>
      <c r="L33" s="476" t="s">
        <v>51</v>
      </c>
      <c r="M33" s="476" t="str">
        <f>+'5. ANH'!J14</f>
        <v>Doesn't Apply</v>
      </c>
      <c r="N33" s="477">
        <f t="shared" ref="N33:X33" si="10">+N6*365*$D$7/1000</f>
        <v>8.539502325113304</v>
      </c>
      <c r="O33" s="477">
        <f t="shared" si="10"/>
        <v>5.3052238437849987E-2</v>
      </c>
      <c r="P33" s="477">
        <f t="shared" si="10"/>
        <v>8.4864500866754558</v>
      </c>
      <c r="Q33" s="478">
        <f t="shared" si="10"/>
        <v>8.5394619428195373</v>
      </c>
      <c r="R33" s="478">
        <f t="shared" si="10"/>
        <v>0</v>
      </c>
      <c r="S33" s="478">
        <f t="shared" si="10"/>
        <v>0</v>
      </c>
      <c r="T33" s="478">
        <f t="shared" si="10"/>
        <v>4.3098003024011712E-2</v>
      </c>
      <c r="U33" s="478">
        <f t="shared" si="10"/>
        <v>9.9542354138382663E-3</v>
      </c>
      <c r="V33" s="478">
        <f t="shared" si="10"/>
        <v>0.72254019124584645</v>
      </c>
      <c r="W33" s="478">
        <f t="shared" si="10"/>
        <v>0</v>
      </c>
      <c r="X33" s="478">
        <f t="shared" si="10"/>
        <v>7.7639098954296077</v>
      </c>
      <c r="Y33" s="478">
        <f t="shared" si="9"/>
        <v>0</v>
      </c>
      <c r="Z33" s="479">
        <f t="shared" ref="Z33:Z43" si="11">+N33-S33</f>
        <v>8.539502325113304</v>
      </c>
      <c r="AA33" s="412"/>
      <c r="AB33" s="412"/>
      <c r="AC33" s="412"/>
      <c r="AD33" s="412"/>
      <c r="AE33" s="412"/>
      <c r="AF33" s="412"/>
      <c r="AG33" s="412"/>
      <c r="AH33" s="412"/>
      <c r="AI33" s="412"/>
      <c r="AJ33" s="412"/>
      <c r="AK33" s="412"/>
      <c r="AL33" s="412"/>
      <c r="AM33" s="412"/>
      <c r="AN33" s="1"/>
    </row>
    <row r="34" spans="9:40" x14ac:dyDescent="0.25">
      <c r="I34" s="474" t="s">
        <v>822</v>
      </c>
      <c r="J34" s="475" t="s">
        <v>850</v>
      </c>
      <c r="K34" s="473" t="s">
        <v>665</v>
      </c>
      <c r="L34" s="476" t="s">
        <v>51</v>
      </c>
      <c r="M34" s="476" t="str">
        <f>+'5. ANH'!J15</f>
        <v>Doesn't Apply</v>
      </c>
      <c r="N34" s="477">
        <f t="shared" ref="N34:X34" si="12">+N7*365*$D$7/1000</f>
        <v>13.106881088314344</v>
      </c>
      <c r="O34" s="477">
        <f t="shared" si="12"/>
        <v>0</v>
      </c>
      <c r="P34" s="477">
        <f t="shared" si="12"/>
        <v>11.790499076061607</v>
      </c>
      <c r="Q34" s="478">
        <f t="shared" si="12"/>
        <v>13.106881088314344</v>
      </c>
      <c r="R34" s="478">
        <f t="shared" si="12"/>
        <v>0</v>
      </c>
      <c r="S34" s="478">
        <f t="shared" si="12"/>
        <v>0</v>
      </c>
      <c r="T34" s="478">
        <f t="shared" si="12"/>
        <v>0</v>
      </c>
      <c r="U34" s="478">
        <f t="shared" si="12"/>
        <v>0</v>
      </c>
      <c r="V34" s="478">
        <f t="shared" si="12"/>
        <v>13.106881088314344</v>
      </c>
      <c r="W34" s="478">
        <f t="shared" si="12"/>
        <v>1.3163820122527377</v>
      </c>
      <c r="X34" s="478">
        <f t="shared" si="12"/>
        <v>0</v>
      </c>
      <c r="Y34" s="478">
        <f t="shared" si="9"/>
        <v>0</v>
      </c>
      <c r="Z34" s="479">
        <f t="shared" si="11"/>
        <v>13.106881088314344</v>
      </c>
      <c r="AA34" s="412"/>
      <c r="AB34" s="412"/>
      <c r="AC34" s="412"/>
      <c r="AD34" s="412"/>
      <c r="AE34" s="412"/>
      <c r="AF34" s="412"/>
      <c r="AG34" s="412"/>
      <c r="AH34" s="412"/>
      <c r="AI34" s="412"/>
      <c r="AJ34" s="412"/>
      <c r="AK34" s="412"/>
      <c r="AL34" s="412"/>
      <c r="AM34" s="412"/>
      <c r="AN34" s="1"/>
    </row>
    <row r="35" spans="9:40" x14ac:dyDescent="0.25">
      <c r="I35" s="474" t="s">
        <v>822</v>
      </c>
      <c r="J35" s="475" t="s">
        <v>823</v>
      </c>
      <c r="K35" s="473">
        <v>48</v>
      </c>
      <c r="L35" s="476"/>
      <c r="M35" s="476" t="str">
        <f>+'5. ANH'!J16</f>
        <v>Light Oil</v>
      </c>
      <c r="N35" s="477">
        <f t="shared" ref="N35:X35" si="13">+N8*365*$D$7/1000</f>
        <v>239.32819800561739</v>
      </c>
      <c r="O35" s="477">
        <f t="shared" si="13"/>
        <v>160.99168674237271</v>
      </c>
      <c r="P35" s="477">
        <f t="shared" si="13"/>
        <v>75.291444019366878</v>
      </c>
      <c r="Q35" s="478">
        <f t="shared" si="13"/>
        <v>239.32817781447051</v>
      </c>
      <c r="R35" s="478">
        <f t="shared" si="13"/>
        <v>0</v>
      </c>
      <c r="S35" s="478">
        <f t="shared" si="13"/>
        <v>146.06287770612269</v>
      </c>
      <c r="T35" s="478">
        <f t="shared" si="13"/>
        <v>14.103990590462988</v>
      </c>
      <c r="U35" s="478">
        <f t="shared" si="13"/>
        <v>0.82481844578701846</v>
      </c>
      <c r="V35" s="478">
        <f t="shared" si="13"/>
        <v>6.0840367613967006</v>
      </c>
      <c r="W35" s="478">
        <f t="shared" si="13"/>
        <v>3.0450672438778423</v>
      </c>
      <c r="X35" s="478">
        <f t="shared" si="13"/>
        <v>72.252474501848027</v>
      </c>
      <c r="Y35" s="478">
        <f t="shared" si="9"/>
        <v>22.733323234776581</v>
      </c>
      <c r="Z35" s="479">
        <f t="shared" si="11"/>
        <v>93.265320299494704</v>
      </c>
      <c r="AA35" s="412"/>
      <c r="AB35" s="412"/>
      <c r="AC35" s="412"/>
      <c r="AD35" s="412"/>
      <c r="AE35" s="412"/>
      <c r="AF35" s="412"/>
      <c r="AG35" s="412"/>
      <c r="AH35" s="412"/>
      <c r="AI35" s="412"/>
      <c r="AJ35" s="412"/>
      <c r="AK35" s="412"/>
      <c r="AL35" s="412"/>
      <c r="AM35" s="412"/>
      <c r="AN35" s="1"/>
    </row>
    <row r="36" spans="9:40" x14ac:dyDescent="0.25">
      <c r="I36" s="474" t="s">
        <v>822</v>
      </c>
      <c r="J36" s="475" t="s">
        <v>825</v>
      </c>
      <c r="K36" s="473">
        <v>52</v>
      </c>
      <c r="L36" s="476"/>
      <c r="M36" s="476" t="str">
        <f>+'5. ANH'!J17</f>
        <v>Light Oil</v>
      </c>
      <c r="N36" s="477">
        <f t="shared" ref="N36:X36" si="14">+N9*365*$D$7/1000</f>
        <v>102.2089585250658</v>
      </c>
      <c r="O36" s="477">
        <f t="shared" si="14"/>
        <v>30.216717619832895</v>
      </c>
      <c r="P36" s="477">
        <f t="shared" si="14"/>
        <v>60.807849771910249</v>
      </c>
      <c r="Q36" s="478">
        <f t="shared" si="14"/>
        <v>102.20910995866744</v>
      </c>
      <c r="R36" s="478">
        <f t="shared" si="14"/>
        <v>0</v>
      </c>
      <c r="S36" s="478">
        <f t="shared" si="14"/>
        <v>18.608807085043786</v>
      </c>
      <c r="T36" s="478">
        <f t="shared" si="14"/>
        <v>11.187076555858232</v>
      </c>
      <c r="U36" s="478">
        <f t="shared" si="14"/>
        <v>0.42083397893088031</v>
      </c>
      <c r="V36" s="478">
        <f t="shared" si="14"/>
        <v>11.193699252036202</v>
      </c>
      <c r="W36" s="478">
        <f t="shared" si="14"/>
        <v>11.184391133322654</v>
      </c>
      <c r="X36" s="478">
        <f t="shared" si="14"/>
        <v>60.798541653196693</v>
      </c>
      <c r="Y36" s="478">
        <f t="shared" si="9"/>
        <v>7.0712088472532377</v>
      </c>
      <c r="Z36" s="479">
        <f t="shared" si="11"/>
        <v>83.600151440022017</v>
      </c>
      <c r="AA36" s="412"/>
      <c r="AB36" s="412"/>
      <c r="AC36" s="412"/>
      <c r="AD36" s="412"/>
      <c r="AE36" s="412"/>
      <c r="AF36" s="412"/>
      <c r="AG36" s="412"/>
      <c r="AH36" s="412"/>
      <c r="AI36" s="412"/>
      <c r="AJ36" s="412"/>
      <c r="AK36" s="412"/>
      <c r="AL36" s="412"/>
      <c r="AM36" s="412"/>
      <c r="AN36" s="1"/>
    </row>
    <row r="37" spans="9:40" x14ac:dyDescent="0.25">
      <c r="I37" s="474" t="s">
        <v>822</v>
      </c>
      <c r="J37" s="475" t="s">
        <v>827</v>
      </c>
      <c r="K37" s="473">
        <v>46</v>
      </c>
      <c r="L37" s="476"/>
      <c r="M37" s="476" t="str">
        <f>+'5. ANH'!J18</f>
        <v>Light Oil</v>
      </c>
      <c r="N37" s="477">
        <f t="shared" ref="N37:X37" si="15">+N10*365*$D$7/1000</f>
        <v>160.44027661654269</v>
      </c>
      <c r="O37" s="477">
        <f t="shared" si="15"/>
        <v>86.793482275469458</v>
      </c>
      <c r="P37" s="477">
        <f t="shared" si="15"/>
        <v>73.646794341073218</v>
      </c>
      <c r="Q37" s="478">
        <f t="shared" si="15"/>
        <v>160.44018575638168</v>
      </c>
      <c r="R37" s="478">
        <f t="shared" si="15"/>
        <v>0</v>
      </c>
      <c r="S37" s="478">
        <f t="shared" si="15"/>
        <v>82.998717747786728</v>
      </c>
      <c r="T37" s="478">
        <f t="shared" si="15"/>
        <v>3.345117782148316</v>
      </c>
      <c r="U37" s="478">
        <f t="shared" si="15"/>
        <v>0.44964674553442446</v>
      </c>
      <c r="V37" s="478">
        <f t="shared" si="15"/>
        <v>52.360166687252182</v>
      </c>
      <c r="W37" s="478">
        <f t="shared" si="15"/>
        <v>0</v>
      </c>
      <c r="X37" s="478">
        <f t="shared" si="15"/>
        <v>21.286627653821029</v>
      </c>
      <c r="Y37" s="478">
        <f t="shared" si="9"/>
        <v>60.007782289723188</v>
      </c>
      <c r="Z37" s="479">
        <f t="shared" si="11"/>
        <v>77.441558868755962</v>
      </c>
      <c r="AA37" s="412"/>
      <c r="AB37" s="412"/>
      <c r="AC37" s="412"/>
      <c r="AD37" s="412"/>
      <c r="AE37" s="412"/>
      <c r="AF37" s="412"/>
      <c r="AG37" s="412"/>
      <c r="AH37" s="412"/>
      <c r="AI37" s="412"/>
      <c r="AJ37" s="412"/>
      <c r="AK37" s="412"/>
      <c r="AL37" s="412"/>
      <c r="AM37" s="412"/>
      <c r="AN37" s="1"/>
    </row>
    <row r="38" spans="9:40" x14ac:dyDescent="0.25">
      <c r="I38" s="474" t="s">
        <v>822</v>
      </c>
      <c r="J38" s="475" t="s">
        <v>828</v>
      </c>
      <c r="K38" s="473">
        <f>44+((47-44)/2)</f>
        <v>45.5</v>
      </c>
      <c r="L38" s="476"/>
      <c r="M38" s="476" t="str">
        <f>+'5. ANH'!J19</f>
        <v>Light Oil</v>
      </c>
      <c r="N38" s="477">
        <f t="shared" ref="N38:X38" si="16">+N11*365*$D$7/1000</f>
        <v>61.393403127121232</v>
      </c>
      <c r="O38" s="477">
        <f t="shared" si="16"/>
        <v>61.393403127121232</v>
      </c>
      <c r="P38" s="477">
        <f t="shared" si="16"/>
        <v>0</v>
      </c>
      <c r="Q38" s="478">
        <f t="shared" si="16"/>
        <v>61.3933728404009</v>
      </c>
      <c r="R38" s="478">
        <f t="shared" si="16"/>
        <v>0</v>
      </c>
      <c r="S38" s="478">
        <f t="shared" si="16"/>
        <v>59.623921683216899</v>
      </c>
      <c r="T38" s="478">
        <f t="shared" si="16"/>
        <v>0.2018105131061125</v>
      </c>
      <c r="U38" s="478">
        <f t="shared" si="16"/>
        <v>1.5676709307982222</v>
      </c>
      <c r="V38" s="478">
        <f t="shared" si="16"/>
        <v>0</v>
      </c>
      <c r="W38" s="478">
        <f t="shared" si="16"/>
        <v>0</v>
      </c>
      <c r="X38" s="478">
        <f t="shared" si="16"/>
        <v>0</v>
      </c>
      <c r="Y38" s="478">
        <f t="shared" si="9"/>
        <v>17.796808939248596</v>
      </c>
      <c r="Z38" s="479">
        <f t="shared" si="11"/>
        <v>1.7694814439043327</v>
      </c>
      <c r="AA38" s="412"/>
      <c r="AB38" s="412"/>
      <c r="AC38" s="412"/>
      <c r="AD38" s="412"/>
      <c r="AE38" s="412"/>
      <c r="AF38" s="412"/>
      <c r="AG38" s="412"/>
      <c r="AH38" s="412"/>
      <c r="AI38" s="412"/>
      <c r="AJ38" s="412"/>
      <c r="AK38" s="412"/>
      <c r="AL38" s="412"/>
      <c r="AM38" s="412"/>
      <c r="AN38" s="1"/>
    </row>
    <row r="39" spans="9:40" x14ac:dyDescent="0.25">
      <c r="I39" s="474" t="s">
        <v>822</v>
      </c>
      <c r="J39" s="475" t="s">
        <v>841</v>
      </c>
      <c r="K39" s="473">
        <f>11.3+(14.4-11.3)/2</f>
        <v>12.850000000000001</v>
      </c>
      <c r="L39" s="476"/>
      <c r="M39" s="476" t="str">
        <f>+'5. ANH'!J20</f>
        <v>Heavy Oil</v>
      </c>
      <c r="N39" s="477">
        <f t="shared" ref="N39:X39" si="17">+N12*365*$D$7/1000</f>
        <v>0</v>
      </c>
      <c r="O39" s="477">
        <f t="shared" si="17"/>
        <v>0</v>
      </c>
      <c r="P39" s="477">
        <f t="shared" si="17"/>
        <v>0</v>
      </c>
      <c r="Q39" s="478">
        <f t="shared" si="17"/>
        <v>0</v>
      </c>
      <c r="R39" s="478">
        <f t="shared" si="17"/>
        <v>0</v>
      </c>
      <c r="S39" s="478">
        <f t="shared" si="17"/>
        <v>0</v>
      </c>
      <c r="T39" s="478">
        <f t="shared" si="17"/>
        <v>0</v>
      </c>
      <c r="U39" s="478">
        <f t="shared" si="17"/>
        <v>0</v>
      </c>
      <c r="V39" s="478">
        <f t="shared" si="17"/>
        <v>0</v>
      </c>
      <c r="W39" s="478">
        <f t="shared" si="17"/>
        <v>0</v>
      </c>
      <c r="X39" s="478">
        <f t="shared" si="17"/>
        <v>0</v>
      </c>
      <c r="Y39" s="478">
        <f t="shared" si="9"/>
        <v>265.08224689210181</v>
      </c>
      <c r="Z39" s="479">
        <f t="shared" si="11"/>
        <v>0</v>
      </c>
      <c r="AA39" s="412"/>
      <c r="AB39" s="412"/>
      <c r="AC39" s="412"/>
      <c r="AD39" s="412"/>
      <c r="AE39" s="412"/>
      <c r="AF39" s="412"/>
      <c r="AG39" s="412"/>
      <c r="AH39" s="412"/>
      <c r="AI39" s="412"/>
      <c r="AJ39" s="412"/>
      <c r="AK39" s="412"/>
      <c r="AL39" s="412"/>
      <c r="AM39" s="412"/>
      <c r="AN39" s="1"/>
    </row>
    <row r="40" spans="9:40" x14ac:dyDescent="0.25">
      <c r="I40" s="474" t="s">
        <v>822</v>
      </c>
      <c r="J40" s="475" t="s">
        <v>843</v>
      </c>
      <c r="K40" s="473">
        <v>13.7</v>
      </c>
      <c r="L40" s="476"/>
      <c r="M40" s="476" t="str">
        <f>+'5. ANH'!J21</f>
        <v>Heavy Oil</v>
      </c>
      <c r="N40" s="477">
        <f t="shared" ref="N40:X40" si="18">+N13*365*$D$7/1000</f>
        <v>0</v>
      </c>
      <c r="O40" s="477">
        <f t="shared" si="18"/>
        <v>0</v>
      </c>
      <c r="P40" s="477">
        <f t="shared" si="18"/>
        <v>0</v>
      </c>
      <c r="Q40" s="478">
        <f t="shared" si="18"/>
        <v>0</v>
      </c>
      <c r="R40" s="478">
        <f t="shared" si="18"/>
        <v>0</v>
      </c>
      <c r="S40" s="478">
        <f t="shared" si="18"/>
        <v>0</v>
      </c>
      <c r="T40" s="478">
        <f t="shared" si="18"/>
        <v>0</v>
      </c>
      <c r="U40" s="478">
        <f t="shared" si="18"/>
        <v>0</v>
      </c>
      <c r="V40" s="478">
        <f t="shared" si="18"/>
        <v>0</v>
      </c>
      <c r="W40" s="478">
        <f t="shared" si="18"/>
        <v>0</v>
      </c>
      <c r="X40" s="478">
        <f t="shared" si="18"/>
        <v>0</v>
      </c>
      <c r="Y40" s="478">
        <f t="shared" si="9"/>
        <v>253.41187670697005</v>
      </c>
      <c r="Z40" s="479">
        <f t="shared" si="11"/>
        <v>0</v>
      </c>
      <c r="AA40" s="412"/>
      <c r="AB40" s="412"/>
      <c r="AC40" s="412"/>
      <c r="AD40" s="412"/>
      <c r="AE40" s="412"/>
      <c r="AF40" s="412"/>
      <c r="AG40" s="412"/>
      <c r="AH40" s="412"/>
      <c r="AI40" s="412"/>
      <c r="AJ40" s="412"/>
      <c r="AK40" s="412"/>
      <c r="AL40" s="412"/>
      <c r="AM40" s="412"/>
      <c r="AN40" s="1"/>
    </row>
    <row r="41" spans="9:40" x14ac:dyDescent="0.25">
      <c r="I41" s="474" t="s">
        <v>822</v>
      </c>
      <c r="J41" s="475" t="s">
        <v>845</v>
      </c>
      <c r="K41" s="473">
        <f>7+(20-7)/2</f>
        <v>13.5</v>
      </c>
      <c r="L41" s="476"/>
      <c r="M41" s="476" t="str">
        <f>+'5. ANH'!J22</f>
        <v>Heavy Oil</v>
      </c>
      <c r="N41" s="477">
        <f t="shared" ref="N41:X41" si="19">+N14*365*$D$7/1000</f>
        <v>1.3978936722236606</v>
      </c>
      <c r="O41" s="477">
        <f t="shared" si="19"/>
        <v>1.3978936722236606</v>
      </c>
      <c r="P41" s="477">
        <f t="shared" si="19"/>
        <v>0</v>
      </c>
      <c r="Q41" s="478">
        <f t="shared" si="19"/>
        <v>1.3978835766502182</v>
      </c>
      <c r="R41" s="478">
        <f t="shared" si="19"/>
        <v>0</v>
      </c>
      <c r="S41" s="478">
        <f t="shared" si="19"/>
        <v>0</v>
      </c>
      <c r="T41" s="478">
        <f t="shared" si="19"/>
        <v>0.32109980889709927</v>
      </c>
      <c r="U41" s="478">
        <f t="shared" si="19"/>
        <v>1.0767938633265612</v>
      </c>
      <c r="V41" s="478">
        <f t="shared" si="19"/>
        <v>0</v>
      </c>
      <c r="W41" s="478">
        <f t="shared" si="19"/>
        <v>0</v>
      </c>
      <c r="X41" s="478">
        <f t="shared" si="19"/>
        <v>0</v>
      </c>
      <c r="Y41" s="478">
        <f t="shared" si="9"/>
        <v>153.50718826671843</v>
      </c>
      <c r="Z41" s="479">
        <f t="shared" si="11"/>
        <v>1.3978936722236606</v>
      </c>
      <c r="AA41" s="412"/>
      <c r="AB41" s="412"/>
      <c r="AC41" s="412"/>
      <c r="AD41" s="412"/>
      <c r="AE41" s="412"/>
      <c r="AF41" s="412"/>
      <c r="AG41" s="412"/>
      <c r="AH41" s="412"/>
      <c r="AI41" s="412"/>
      <c r="AJ41" s="412"/>
      <c r="AK41" s="412"/>
      <c r="AL41" s="412"/>
      <c r="AM41" s="412"/>
      <c r="AN41" s="1"/>
    </row>
    <row r="42" spans="9:40" x14ac:dyDescent="0.25">
      <c r="I42" s="474" t="s">
        <v>822</v>
      </c>
      <c r="J42" s="475" t="s">
        <v>846</v>
      </c>
      <c r="K42" s="473">
        <v>8</v>
      </c>
      <c r="L42" s="476"/>
      <c r="M42" s="476" t="str">
        <f>+'5. ANH'!J23</f>
        <v>Heavy Oil</v>
      </c>
      <c r="N42" s="477">
        <f t="shared" ref="N42:X42" si="20">+N15*365*$D$7/1000</f>
        <v>0.21448045777585595</v>
      </c>
      <c r="O42" s="477">
        <f t="shared" si="20"/>
        <v>0.21448045777585595</v>
      </c>
      <c r="P42" s="477">
        <f t="shared" si="20"/>
        <v>0</v>
      </c>
      <c r="Q42" s="478">
        <f t="shared" si="20"/>
        <v>0.21448045777585595</v>
      </c>
      <c r="R42" s="478">
        <f t="shared" si="20"/>
        <v>0</v>
      </c>
      <c r="S42" s="478">
        <f t="shared" si="20"/>
        <v>0</v>
      </c>
      <c r="T42" s="478">
        <f t="shared" si="20"/>
        <v>0</v>
      </c>
      <c r="U42" s="478">
        <f t="shared" si="20"/>
        <v>0.21448045777585595</v>
      </c>
      <c r="V42" s="478">
        <f t="shared" si="20"/>
        <v>0</v>
      </c>
      <c r="W42" s="478">
        <f t="shared" si="20"/>
        <v>0</v>
      </c>
      <c r="X42" s="478">
        <f t="shared" si="20"/>
        <v>0</v>
      </c>
      <c r="Y42" s="478">
        <f t="shared" si="9"/>
        <v>43.895597705669182</v>
      </c>
      <c r="Z42" s="479">
        <f t="shared" si="11"/>
        <v>0.21448045777585595</v>
      </c>
      <c r="AA42" s="412"/>
      <c r="AB42" s="412"/>
      <c r="AC42" s="412"/>
      <c r="AD42" s="412"/>
      <c r="AE42" s="412"/>
      <c r="AF42" s="412"/>
      <c r="AG42" s="412"/>
      <c r="AH42" s="412"/>
      <c r="AI42" s="412"/>
      <c r="AJ42" s="412"/>
      <c r="AK42" s="412"/>
      <c r="AL42" s="412"/>
      <c r="AM42" s="412"/>
      <c r="AN42" s="1"/>
    </row>
    <row r="43" spans="9:40" x14ac:dyDescent="0.25">
      <c r="I43" s="474" t="s">
        <v>822</v>
      </c>
      <c r="J43" s="475" t="s">
        <v>848</v>
      </c>
      <c r="K43" s="473">
        <v>13.5</v>
      </c>
      <c r="L43" s="476"/>
      <c r="M43" s="476" t="str">
        <f>+'5. ANH'!J24</f>
        <v>Heavy Oil</v>
      </c>
      <c r="N43" s="477">
        <f t="shared" ref="N43:X43" si="21">+N16*365*$D$7/1000</f>
        <v>0.43874352621703561</v>
      </c>
      <c r="O43" s="477">
        <f t="shared" si="21"/>
        <v>5.7140945681870784E-3</v>
      </c>
      <c r="P43" s="477">
        <f t="shared" si="21"/>
        <v>0.23786180586758957</v>
      </c>
      <c r="Q43" s="478">
        <f t="shared" si="21"/>
        <v>0.4388141952311298</v>
      </c>
      <c r="R43" s="478">
        <f t="shared" si="21"/>
        <v>0</v>
      </c>
      <c r="S43" s="478">
        <f t="shared" si="21"/>
        <v>0</v>
      </c>
      <c r="T43" s="478">
        <f t="shared" si="21"/>
        <v>5.7140945681870784E-3</v>
      </c>
      <c r="U43" s="478">
        <f t="shared" si="21"/>
        <v>0</v>
      </c>
      <c r="V43" s="478">
        <f t="shared" si="21"/>
        <v>0.4330294316488485</v>
      </c>
      <c r="W43" s="478">
        <f t="shared" si="21"/>
        <v>0.19516762578125896</v>
      </c>
      <c r="X43" s="478">
        <f t="shared" si="21"/>
        <v>0</v>
      </c>
      <c r="Y43" s="478">
        <f t="shared" si="9"/>
        <v>8.7564836170076354</v>
      </c>
      <c r="Z43" s="479">
        <f t="shared" si="11"/>
        <v>0.43874352621703561</v>
      </c>
      <c r="AA43" s="412"/>
      <c r="AB43" s="412"/>
      <c r="AC43" s="412"/>
      <c r="AD43" s="412"/>
      <c r="AE43" s="412"/>
      <c r="AF43" s="412"/>
      <c r="AG43" s="412"/>
      <c r="AH43" s="412"/>
      <c r="AI43" s="412"/>
      <c r="AJ43" s="412"/>
      <c r="AK43" s="412"/>
      <c r="AL43" s="412"/>
      <c r="AM43" s="412"/>
      <c r="AN43" s="1"/>
    </row>
    <row r="44" spans="9:40" x14ac:dyDescent="0.25">
      <c r="I44" s="474" t="s">
        <v>852</v>
      </c>
      <c r="J44" s="475" t="s">
        <v>851</v>
      </c>
      <c r="K44" s="473">
        <v>35</v>
      </c>
      <c r="L44" s="476"/>
      <c r="M44" s="476" t="str">
        <f>+'5. ANH'!J25</f>
        <v>Light Oil</v>
      </c>
      <c r="N44" s="477">
        <f t="shared" ref="N44:X44" si="22">+N17*365*$D$7/1000</f>
        <v>1.2759391450439788</v>
      </c>
      <c r="O44" s="477">
        <f t="shared" si="22"/>
        <v>1.2759391450439788</v>
      </c>
      <c r="P44" s="477">
        <f t="shared" si="22"/>
        <v>0</v>
      </c>
      <c r="Q44" s="478">
        <f t="shared" si="22"/>
        <v>1.2759391450439788</v>
      </c>
      <c r="R44" s="478">
        <f t="shared" si="22"/>
        <v>0</v>
      </c>
      <c r="S44" s="478">
        <f t="shared" si="22"/>
        <v>0</v>
      </c>
      <c r="T44" s="478">
        <f t="shared" si="22"/>
        <v>0</v>
      </c>
      <c r="U44" s="478">
        <f t="shared" si="22"/>
        <v>1.2759391450439788</v>
      </c>
      <c r="V44" s="478">
        <f t="shared" si="22"/>
        <v>0</v>
      </c>
      <c r="W44" s="478">
        <f t="shared" si="22"/>
        <v>0</v>
      </c>
      <c r="X44" s="478">
        <f t="shared" si="22"/>
        <v>0</v>
      </c>
      <c r="Y44" s="478">
        <f t="shared" si="9"/>
        <v>4.3593517548323124</v>
      </c>
      <c r="Z44" s="479">
        <f>+N44-S44</f>
        <v>1.2759391450439788</v>
      </c>
      <c r="AA44" s="412"/>
      <c r="AB44" s="412"/>
      <c r="AC44" s="412"/>
      <c r="AD44" s="412"/>
      <c r="AE44" s="412"/>
      <c r="AF44" s="412"/>
      <c r="AG44" s="412"/>
      <c r="AH44" s="412"/>
      <c r="AI44" s="412"/>
      <c r="AJ44" s="412"/>
      <c r="AK44" s="412"/>
      <c r="AL44" s="412"/>
      <c r="AM44" s="412"/>
      <c r="AN44" s="1"/>
    </row>
    <row r="45" spans="9:40" x14ac:dyDescent="0.25">
      <c r="I45" s="474" t="s">
        <v>817</v>
      </c>
      <c r="J45" s="475" t="s">
        <v>818</v>
      </c>
      <c r="K45" s="473">
        <v>21</v>
      </c>
      <c r="L45" s="476"/>
      <c r="M45" s="476" t="str">
        <f>+'5. ANH'!J26</f>
        <v>Medium Oil</v>
      </c>
      <c r="N45" s="477">
        <f t="shared" ref="N45:X45" si="23">+N18*365*$D$7/1000</f>
        <v>0.43827912983870243</v>
      </c>
      <c r="O45" s="477">
        <f t="shared" si="23"/>
        <v>0.43827912983870243</v>
      </c>
      <c r="P45" s="477">
        <f t="shared" si="23"/>
        <v>0</v>
      </c>
      <c r="Q45" s="478">
        <f t="shared" si="23"/>
        <v>0.43830941655902855</v>
      </c>
      <c r="R45" s="478">
        <f t="shared" si="23"/>
        <v>0</v>
      </c>
      <c r="S45" s="478">
        <f t="shared" si="23"/>
        <v>0</v>
      </c>
      <c r="T45" s="478">
        <f t="shared" si="23"/>
        <v>0.35206293264379496</v>
      </c>
      <c r="U45" s="478">
        <f t="shared" si="23"/>
        <v>8.621619719490746E-2</v>
      </c>
      <c r="V45" s="478">
        <f t="shared" si="23"/>
        <v>0</v>
      </c>
      <c r="W45" s="478">
        <f t="shared" si="23"/>
        <v>0</v>
      </c>
      <c r="X45" s="478">
        <f t="shared" si="23"/>
        <v>0</v>
      </c>
      <c r="Y45" s="478">
        <f t="shared" si="9"/>
        <v>26.927100382560717</v>
      </c>
      <c r="Z45" s="479">
        <f>+N45-S45</f>
        <v>0.43827912983870243</v>
      </c>
      <c r="AA45" s="412"/>
      <c r="AB45" s="412"/>
      <c r="AC45" s="412"/>
      <c r="AD45" s="412"/>
      <c r="AE45" s="412"/>
      <c r="AF45" s="412"/>
      <c r="AG45" s="412"/>
      <c r="AH45" s="412"/>
      <c r="AI45" s="412"/>
      <c r="AJ45" s="412"/>
      <c r="AK45" s="412"/>
      <c r="AL45" s="412"/>
      <c r="AM45" s="412"/>
      <c r="AN45" s="1"/>
    </row>
    <row r="46" spans="9:40" x14ac:dyDescent="0.25">
      <c r="I46" s="474" t="s">
        <v>817</v>
      </c>
      <c r="J46" s="475" t="s">
        <v>820</v>
      </c>
      <c r="K46" s="473">
        <v>12.5</v>
      </c>
      <c r="L46" s="476"/>
      <c r="M46" s="476" t="str">
        <f>+'5. ANH'!J27</f>
        <v>Heavy Oil</v>
      </c>
      <c r="N46" s="477">
        <f t="shared" ref="N46:X46" si="24">+N19*365*$D$7/1000</f>
        <v>8.7791106651863626E-2</v>
      </c>
      <c r="O46" s="477">
        <f t="shared" si="24"/>
        <v>8.7791106651863626E-2</v>
      </c>
      <c r="P46" s="477">
        <f t="shared" si="24"/>
        <v>0</v>
      </c>
      <c r="Q46" s="478">
        <f t="shared" si="24"/>
        <v>8.7801202225305658E-2</v>
      </c>
      <c r="R46" s="478">
        <f t="shared" si="24"/>
        <v>0</v>
      </c>
      <c r="S46" s="478">
        <f t="shared" si="24"/>
        <v>0</v>
      </c>
      <c r="T46" s="478">
        <f t="shared" si="24"/>
        <v>3.6990181091585597E-2</v>
      </c>
      <c r="U46" s="478">
        <f t="shared" si="24"/>
        <v>5.0800925560278022E-2</v>
      </c>
      <c r="V46" s="478">
        <f t="shared" si="24"/>
        <v>0</v>
      </c>
      <c r="W46" s="478">
        <f t="shared" si="24"/>
        <v>0</v>
      </c>
      <c r="X46" s="478">
        <f t="shared" si="24"/>
        <v>0</v>
      </c>
      <c r="Y46" s="478">
        <f t="shared" si="9"/>
        <v>3.2805677744000978</v>
      </c>
      <c r="Z46" s="479">
        <f t="shared" ref="Z46:Z51" si="25">+N46-S46</f>
        <v>8.7791106651863626E-2</v>
      </c>
      <c r="AA46" s="412"/>
      <c r="AB46" s="412"/>
      <c r="AC46" s="412"/>
      <c r="AD46" s="412"/>
      <c r="AE46" s="412"/>
      <c r="AF46" s="412"/>
      <c r="AG46" s="412"/>
      <c r="AH46" s="412"/>
      <c r="AI46" s="412"/>
      <c r="AJ46" s="412"/>
      <c r="AK46" s="412"/>
      <c r="AL46" s="412"/>
      <c r="AM46" s="412"/>
      <c r="AN46" s="1"/>
    </row>
    <row r="47" spans="9:40" x14ac:dyDescent="0.25">
      <c r="I47" s="474" t="s">
        <v>817</v>
      </c>
      <c r="J47" s="475" t="s">
        <v>854</v>
      </c>
      <c r="K47" s="473">
        <v>21</v>
      </c>
      <c r="L47" s="476"/>
      <c r="M47" s="476" t="str">
        <f>+'5. ANH'!J28</f>
        <v>Medium Oil</v>
      </c>
      <c r="N47" s="477">
        <f t="shared" ref="N47:X47" si="26">+N20*365*$D$7/1000</f>
        <v>1.8634611370761611</v>
      </c>
      <c r="O47" s="477">
        <f t="shared" si="26"/>
        <v>0.96320856653031961</v>
      </c>
      <c r="P47" s="477">
        <f t="shared" si="26"/>
        <v>0.90025257054584151</v>
      </c>
      <c r="Q47" s="478">
        <f t="shared" si="26"/>
        <v>1.8635217105168129</v>
      </c>
      <c r="R47" s="478">
        <f t="shared" si="26"/>
        <v>0</v>
      </c>
      <c r="S47" s="478">
        <f t="shared" si="26"/>
        <v>0</v>
      </c>
      <c r="T47" s="478">
        <f t="shared" si="26"/>
        <v>0.8853716952922942</v>
      </c>
      <c r="U47" s="478">
        <f t="shared" si="26"/>
        <v>7.7836871238025379E-2</v>
      </c>
      <c r="V47" s="478">
        <f t="shared" si="26"/>
        <v>0</v>
      </c>
      <c r="W47" s="478">
        <f t="shared" si="26"/>
        <v>0</v>
      </c>
      <c r="X47" s="478">
        <f t="shared" si="26"/>
        <v>0.90025257054584151</v>
      </c>
      <c r="Y47" s="478">
        <f t="shared" si="9"/>
        <v>39.659458817161386</v>
      </c>
      <c r="Z47" s="479">
        <f t="shared" si="25"/>
        <v>1.8634611370761611</v>
      </c>
      <c r="AA47" s="412"/>
      <c r="AB47" s="412"/>
      <c r="AC47" s="412"/>
      <c r="AD47" s="412"/>
      <c r="AE47" s="412"/>
      <c r="AF47" s="412"/>
      <c r="AG47" s="412"/>
      <c r="AH47" s="412"/>
      <c r="AI47" s="412"/>
      <c r="AJ47" s="412"/>
      <c r="AK47" s="412"/>
      <c r="AL47" s="412"/>
      <c r="AM47" s="412"/>
      <c r="AN47" s="1"/>
    </row>
    <row r="48" spans="9:40" x14ac:dyDescent="0.25">
      <c r="I48" s="474" t="s">
        <v>817</v>
      </c>
      <c r="J48" s="475" t="s">
        <v>856</v>
      </c>
      <c r="K48" s="473">
        <f>20+(25-20)/2</f>
        <v>22.5</v>
      </c>
      <c r="L48" s="476"/>
      <c r="M48" s="476" t="str">
        <f>+'5. ANH'!J29</f>
        <v>Medium Oil</v>
      </c>
      <c r="N48" s="477">
        <f t="shared" ref="N48:X48" si="27">+N21*365*$D$7/1000</f>
        <v>2.497140090885289</v>
      </c>
      <c r="O48" s="477">
        <f t="shared" si="27"/>
        <v>1.1205177919039784</v>
      </c>
      <c r="P48" s="477">
        <f t="shared" si="27"/>
        <v>1.3766222989813104</v>
      </c>
      <c r="Q48" s="478">
        <f t="shared" si="27"/>
        <v>2.497140090885289</v>
      </c>
      <c r="R48" s="478">
        <f t="shared" si="27"/>
        <v>0</v>
      </c>
      <c r="S48" s="478">
        <f t="shared" si="27"/>
        <v>0</v>
      </c>
      <c r="T48" s="478">
        <f t="shared" si="27"/>
        <v>0.51468242964795996</v>
      </c>
      <c r="U48" s="478">
        <f t="shared" si="27"/>
        <v>0.60583536225601842</v>
      </c>
      <c r="V48" s="478">
        <f t="shared" si="27"/>
        <v>1.3766222989813104</v>
      </c>
      <c r="W48" s="478">
        <f t="shared" si="27"/>
        <v>0</v>
      </c>
      <c r="X48" s="478">
        <f t="shared" si="27"/>
        <v>0</v>
      </c>
      <c r="Y48" s="478">
        <f t="shared" si="9"/>
        <v>94.059349180277351</v>
      </c>
      <c r="Z48" s="479">
        <f t="shared" si="25"/>
        <v>2.497140090885289</v>
      </c>
      <c r="AA48" s="412"/>
      <c r="AB48" s="412"/>
      <c r="AC48" s="412"/>
      <c r="AD48" s="412"/>
      <c r="AE48" s="412"/>
      <c r="AF48" s="412"/>
      <c r="AG48" s="412"/>
      <c r="AH48" s="412"/>
      <c r="AI48" s="412"/>
      <c r="AJ48" s="412"/>
      <c r="AK48" s="412"/>
      <c r="AL48" s="412"/>
      <c r="AM48" s="412"/>
      <c r="AN48" s="1"/>
    </row>
    <row r="49" spans="9:127" x14ac:dyDescent="0.25">
      <c r="I49" s="474" t="s">
        <v>830</v>
      </c>
      <c r="J49" s="475" t="s">
        <v>831</v>
      </c>
      <c r="K49" s="473">
        <v>23</v>
      </c>
      <c r="L49" s="476"/>
      <c r="M49" s="476" t="str">
        <f>+'5. ANH'!J30</f>
        <v>Medium Oil</v>
      </c>
      <c r="N49" s="477">
        <f t="shared" ref="N49:X49" si="28">+N22*365*$D$7/1000</f>
        <v>0.71025387836690013</v>
      </c>
      <c r="O49" s="477">
        <f t="shared" si="28"/>
        <v>0.12213624750163826</v>
      </c>
      <c r="P49" s="477">
        <f t="shared" si="28"/>
        <v>0.38201649904628793</v>
      </c>
      <c r="Q49" s="478">
        <f t="shared" si="28"/>
        <v>0.71027406951378402</v>
      </c>
      <c r="R49" s="478">
        <f t="shared" si="28"/>
        <v>0</v>
      </c>
      <c r="S49" s="478">
        <f t="shared" si="28"/>
        <v>0</v>
      </c>
      <c r="T49" s="478">
        <f t="shared" si="28"/>
        <v>3.8100694170208539E-2</v>
      </c>
      <c r="U49" s="478">
        <f t="shared" si="28"/>
        <v>8.403555333142973E-2</v>
      </c>
      <c r="V49" s="478">
        <f t="shared" si="28"/>
        <v>0.58683549303812432</v>
      </c>
      <c r="W49" s="478">
        <f t="shared" si="28"/>
        <v>0.2061011318189738</v>
      </c>
      <c r="X49" s="478">
        <f t="shared" si="28"/>
        <v>1.2821378271373829E-3</v>
      </c>
      <c r="Y49" s="478">
        <f t="shared" si="9"/>
        <v>10.408512554584734</v>
      </c>
      <c r="Z49" s="479">
        <f t="shared" si="25"/>
        <v>0.71025387836690013</v>
      </c>
      <c r="AA49" s="412"/>
      <c r="AB49" s="412"/>
      <c r="AC49" s="412"/>
      <c r="AD49" s="412"/>
      <c r="AE49" s="412"/>
      <c r="AF49" s="412"/>
      <c r="AG49" s="412"/>
      <c r="AH49" s="412"/>
      <c r="AI49" s="412"/>
      <c r="AJ49" s="412"/>
      <c r="AK49" s="412"/>
      <c r="AL49" s="412"/>
      <c r="AM49" s="412"/>
      <c r="AN49" s="1"/>
    </row>
    <row r="50" spans="9:127" x14ac:dyDescent="0.25">
      <c r="I50" s="474" t="s">
        <v>830</v>
      </c>
      <c r="J50" s="475" t="s">
        <v>833</v>
      </c>
      <c r="K50" s="473">
        <v>25.5</v>
      </c>
      <c r="L50" s="476"/>
      <c r="M50" s="476" t="str">
        <f>+'5. ANH'!J31</f>
        <v>Medium Oil</v>
      </c>
      <c r="N50" s="477">
        <f t="shared" ref="N50:X50" si="29">+N23*365*$D$7/1000</f>
        <v>0.31949461271981699</v>
      </c>
      <c r="O50" s="477">
        <f t="shared" si="29"/>
        <v>0.31949461271981699</v>
      </c>
      <c r="P50" s="477">
        <f t="shared" si="29"/>
        <v>0</v>
      </c>
      <c r="Q50" s="478">
        <f t="shared" si="29"/>
        <v>0.31951480386670106</v>
      </c>
      <c r="R50" s="478">
        <f t="shared" si="29"/>
        <v>0</v>
      </c>
      <c r="S50" s="478">
        <f t="shared" si="29"/>
        <v>0</v>
      </c>
      <c r="T50" s="478">
        <f t="shared" si="29"/>
        <v>0.16765718815173636</v>
      </c>
      <c r="U50" s="478">
        <f t="shared" si="29"/>
        <v>0.15183742456808058</v>
      </c>
      <c r="V50" s="478">
        <f t="shared" si="29"/>
        <v>0</v>
      </c>
      <c r="W50" s="478">
        <f t="shared" si="29"/>
        <v>0</v>
      </c>
      <c r="X50" s="478">
        <f t="shared" si="29"/>
        <v>0</v>
      </c>
      <c r="Y50" s="478">
        <f t="shared" si="9"/>
        <v>9.2296903712167389</v>
      </c>
      <c r="Z50" s="479">
        <f t="shared" si="25"/>
        <v>0.31949461271981699</v>
      </c>
      <c r="AA50" s="412"/>
      <c r="AB50" s="412"/>
      <c r="AC50" s="412"/>
      <c r="AD50" s="412"/>
      <c r="AE50" s="412"/>
      <c r="AF50" s="412"/>
      <c r="AG50" s="412"/>
      <c r="AH50" s="412"/>
      <c r="AI50" s="412"/>
      <c r="AJ50" s="412"/>
      <c r="AK50" s="412"/>
      <c r="AL50" s="412"/>
      <c r="AM50" s="412"/>
      <c r="AN50" s="1"/>
    </row>
    <row r="51" spans="9:127" x14ac:dyDescent="0.25">
      <c r="I51" s="474" t="s">
        <v>830</v>
      </c>
      <c r="J51" s="480" t="s">
        <v>835</v>
      </c>
      <c r="K51" s="473">
        <v>21</v>
      </c>
      <c r="L51" s="476"/>
      <c r="M51" s="476" t="str">
        <f>+'5. ANH'!J32</f>
        <v>Medium Oil</v>
      </c>
      <c r="N51" s="477">
        <f t="shared" ref="N51:X51" si="30">+N24*365*$D$7/1000</f>
        <v>0.43874352621703561</v>
      </c>
      <c r="O51" s="477">
        <f t="shared" si="30"/>
        <v>5.7140945681870784E-3</v>
      </c>
      <c r="P51" s="477">
        <f t="shared" si="30"/>
        <v>0.23786180586758957</v>
      </c>
      <c r="Q51" s="478">
        <f t="shared" si="30"/>
        <v>0.4388141952311298</v>
      </c>
      <c r="R51" s="478">
        <f t="shared" si="30"/>
        <v>0</v>
      </c>
      <c r="S51" s="478">
        <f t="shared" si="30"/>
        <v>0</v>
      </c>
      <c r="T51" s="478">
        <f t="shared" si="30"/>
        <v>0</v>
      </c>
      <c r="U51" s="478">
        <f t="shared" si="30"/>
        <v>5.7140945681870784E-3</v>
      </c>
      <c r="V51" s="478">
        <f t="shared" si="30"/>
        <v>0.4330294316488485</v>
      </c>
      <c r="W51" s="478">
        <f t="shared" si="30"/>
        <v>0.19516762578125896</v>
      </c>
      <c r="X51" s="478">
        <f t="shared" si="30"/>
        <v>0</v>
      </c>
      <c r="Y51" s="478">
        <f t="shared" si="9"/>
        <v>8.7564836170076354</v>
      </c>
      <c r="Z51" s="479">
        <f t="shared" si="25"/>
        <v>0.43874352621703561</v>
      </c>
      <c r="AA51" s="412"/>
      <c r="AB51" s="412"/>
      <c r="AC51" s="412"/>
      <c r="AD51" s="412"/>
      <c r="AE51" s="412"/>
      <c r="AF51" s="412"/>
      <c r="AG51" s="412"/>
      <c r="AH51" s="412"/>
      <c r="AI51" s="412"/>
      <c r="AJ51" s="412"/>
      <c r="AK51" s="412"/>
      <c r="AL51" s="412"/>
      <c r="AM51" s="412"/>
      <c r="AN51" s="1"/>
    </row>
    <row r="52" spans="9:127" s="1" customFormat="1" x14ac:dyDescent="0.25">
      <c r="I52" s="564"/>
      <c r="J52" s="568"/>
      <c r="K52" s="565"/>
      <c r="L52" s="320"/>
      <c r="M52" s="320"/>
      <c r="N52" s="567"/>
      <c r="O52" s="567"/>
      <c r="P52" s="567"/>
      <c r="Q52" s="567"/>
      <c r="R52" s="567"/>
      <c r="S52" s="567"/>
      <c r="T52" s="567"/>
      <c r="U52" s="567"/>
      <c r="V52" s="567"/>
      <c r="W52" s="567"/>
      <c r="X52" s="567"/>
      <c r="Y52" s="567"/>
      <c r="Z52" s="569"/>
    </row>
    <row r="53" spans="9:127" s="1" customFormat="1" x14ac:dyDescent="0.25">
      <c r="I53" s="564"/>
      <c r="J53" s="568"/>
      <c r="K53" s="565"/>
      <c r="L53" s="320"/>
      <c r="M53" s="320"/>
      <c r="N53" s="567"/>
      <c r="O53" s="567"/>
      <c r="P53" s="567"/>
      <c r="Q53" s="567"/>
      <c r="R53" s="567"/>
      <c r="S53" s="567"/>
      <c r="T53" s="567"/>
      <c r="U53" s="567"/>
      <c r="V53" s="567"/>
      <c r="W53" s="567"/>
      <c r="X53" s="567"/>
      <c r="Y53" s="567"/>
      <c r="Z53" s="569"/>
    </row>
    <row r="54" spans="9:127" s="1" customFormat="1" x14ac:dyDescent="0.25">
      <c r="I54" s="564"/>
      <c r="J54" s="568"/>
      <c r="K54" s="565"/>
      <c r="L54" s="320"/>
      <c r="M54" s="320"/>
      <c r="N54" s="567"/>
      <c r="O54" s="567"/>
      <c r="P54" s="567"/>
      <c r="Q54" s="567"/>
      <c r="R54" s="567"/>
      <c r="S54" s="567"/>
      <c r="T54" s="567"/>
      <c r="U54" s="567"/>
      <c r="V54" s="567"/>
      <c r="W54" s="567"/>
      <c r="X54" s="567"/>
      <c r="Y54" s="567"/>
      <c r="Z54" s="569"/>
    </row>
    <row r="57" spans="9:127" x14ac:dyDescent="0.25">
      <c r="Y57" s="75"/>
      <c r="BL57" s="660"/>
      <c r="BM57" t="s">
        <v>1064</v>
      </c>
    </row>
    <row r="58" spans="9:127" x14ac:dyDescent="0.25">
      <c r="N58" s="75"/>
      <c r="R58" s="744" t="s">
        <v>1034</v>
      </c>
      <c r="S58" s="744"/>
      <c r="T58" s="744"/>
      <c r="U58" s="744"/>
      <c r="V58" s="744"/>
      <c r="W58" s="745" t="s">
        <v>1032</v>
      </c>
      <c r="X58" s="745"/>
      <c r="Y58" s="745"/>
      <c r="Z58" s="745"/>
      <c r="AA58" s="563" t="s">
        <v>1033</v>
      </c>
      <c r="AB58" t="s">
        <v>1047</v>
      </c>
      <c r="DH58" s="75"/>
      <c r="DN58" s="592" t="str">
        <f>R58</f>
        <v>USES</v>
      </c>
      <c r="DO58" s="592"/>
      <c r="DP58" s="592"/>
      <c r="DQ58" s="592"/>
      <c r="DR58" s="592"/>
      <c r="DS58" s="587" t="str">
        <f>W58</f>
        <v>Relative to Gfisc - Grei</v>
      </c>
      <c r="DT58" s="587"/>
      <c r="DU58" s="587"/>
      <c r="DV58" s="587"/>
      <c r="DW58" s="563" t="str">
        <f>AA58</f>
        <v>Relative to Gplant</v>
      </c>
    </row>
    <row r="59" spans="9:127" ht="15.75" x14ac:dyDescent="0.25">
      <c r="N59" s="19" t="str">
        <f t="shared" ref="N59:N80" si="31">Y30</f>
        <v>PJ</v>
      </c>
      <c r="O59" s="19" t="str">
        <f>Z30</f>
        <v>PJ</v>
      </c>
      <c r="P59" s="570" t="s">
        <v>930</v>
      </c>
      <c r="Q59" s="570" t="s">
        <v>9</v>
      </c>
      <c r="R59" s="557" t="str">
        <f>T30</f>
        <v>PJ</v>
      </c>
      <c r="S59" s="557" t="str">
        <f>U30</f>
        <v>PJ</v>
      </c>
      <c r="T59" s="557" t="str">
        <f>V30</f>
        <v>PJ</v>
      </c>
      <c r="U59" s="557" t="str">
        <f>W30</f>
        <v>PJ</v>
      </c>
      <c r="V59" s="557" t="str">
        <f>X30</f>
        <v>PJ</v>
      </c>
      <c r="W59" s="558" t="s">
        <v>930</v>
      </c>
      <c r="X59" s="558" t="s">
        <v>930</v>
      </c>
      <c r="Y59" s="558" t="s">
        <v>930</v>
      </c>
      <c r="Z59" s="558" t="s">
        <v>930</v>
      </c>
      <c r="AA59" s="270" t="s">
        <v>930</v>
      </c>
      <c r="AB59" s="588" t="s">
        <v>9</v>
      </c>
      <c r="AC59" s="588" t="s">
        <v>1044</v>
      </c>
      <c r="AD59" s="570" t="s">
        <v>9</v>
      </c>
      <c r="AE59" s="570" t="s">
        <v>1044</v>
      </c>
      <c r="AF59" s="570" t="s">
        <v>9</v>
      </c>
      <c r="AG59" s="570" t="s">
        <v>1044</v>
      </c>
      <c r="AH59" s="19" t="s">
        <v>9</v>
      </c>
      <c r="AI59" s="747" t="s">
        <v>1065</v>
      </c>
      <c r="AJ59" s="748"/>
      <c r="AK59" s="748"/>
      <c r="AL59" s="748"/>
      <c r="AM59" s="748"/>
      <c r="AN59" s="748"/>
      <c r="AO59" s="748"/>
      <c r="AP59" s="748"/>
      <c r="AQ59" s="748"/>
      <c r="AR59" s="748"/>
      <c r="AS59" s="748"/>
      <c r="AT59" s="748"/>
      <c r="AU59" s="748"/>
      <c r="AV59" s="749"/>
      <c r="AW59" s="747" t="s">
        <v>1066</v>
      </c>
      <c r="AX59" s="748"/>
      <c r="AY59" s="748"/>
      <c r="AZ59" s="748"/>
      <c r="BA59" s="748"/>
      <c r="BB59" s="748"/>
      <c r="BC59" s="748"/>
      <c r="BD59" s="748"/>
      <c r="BE59" s="748"/>
      <c r="BF59" s="748"/>
      <c r="BG59" s="748"/>
      <c r="BH59" s="748"/>
      <c r="BI59" s="748"/>
      <c r="BJ59" s="749"/>
      <c r="BK59" s="747" t="s">
        <v>1067</v>
      </c>
      <c r="BL59" s="748"/>
      <c r="BM59" s="748"/>
      <c r="BN59" s="748"/>
      <c r="BO59" s="748"/>
      <c r="BP59" s="748"/>
      <c r="BQ59" s="748"/>
      <c r="BR59" s="748"/>
      <c r="BS59" s="748"/>
      <c r="BT59" s="748"/>
      <c r="BU59" s="748"/>
      <c r="BV59" s="748"/>
      <c r="BW59" s="748"/>
      <c r="BX59" s="749"/>
      <c r="BY59" s="665"/>
      <c r="BZ59" s="665"/>
      <c r="CA59" s="665"/>
      <c r="CB59" s="665"/>
      <c r="CC59" s="665"/>
      <c r="CD59" s="665"/>
      <c r="CE59" s="665"/>
      <c r="CF59" s="665"/>
      <c r="CG59" s="665"/>
      <c r="CH59" s="665"/>
      <c r="CI59" s="665"/>
      <c r="CJ59" s="665"/>
      <c r="CK59" s="665"/>
      <c r="CL59" s="665"/>
      <c r="CM59" s="665"/>
      <c r="CN59" s="665"/>
      <c r="CO59" s="665"/>
      <c r="CP59" s="665"/>
      <c r="CQ59" s="665"/>
      <c r="CR59" s="665"/>
      <c r="CS59" s="665"/>
      <c r="CT59" s="665"/>
      <c r="CU59" s="665"/>
      <c r="CV59" s="665"/>
      <c r="CW59" s="665"/>
      <c r="DH59" s="19" t="str">
        <f t="shared" ref="DH59:DH80" si="32">N59</f>
        <v>PJ</v>
      </c>
      <c r="DI59" s="19" t="str">
        <f t="shared" ref="DI59:DI80" si="33">O59</f>
        <v>PJ</v>
      </c>
      <c r="DJ59" s="570" t="str">
        <f t="shared" ref="DJ59:DJ80" si="34">P59</f>
        <v>%</v>
      </c>
      <c r="DK59" s="570" t="str">
        <f t="shared" ref="DK59:DK80" si="35">Q59</f>
        <v>PJ</v>
      </c>
      <c r="DL59" s="588" t="str">
        <f t="shared" ref="DL59:DL80" si="36">AB59</f>
        <v>PJ</v>
      </c>
      <c r="DM59" s="588" t="str">
        <f t="shared" ref="DM59:DM80" si="37">AC59</f>
        <v>years</v>
      </c>
      <c r="DN59" s="557" t="str">
        <f>R59</f>
        <v>PJ</v>
      </c>
      <c r="DO59" s="557" t="str">
        <f>S59</f>
        <v>PJ</v>
      </c>
      <c r="DP59" s="557" t="str">
        <f>T59</f>
        <v>PJ</v>
      </c>
      <c r="DQ59" s="557" t="str">
        <f>U59</f>
        <v>PJ</v>
      </c>
      <c r="DR59" s="557" t="str">
        <f>V59</f>
        <v>PJ</v>
      </c>
      <c r="DS59" s="558" t="str">
        <f>W59</f>
        <v>%</v>
      </c>
      <c r="DT59" s="558" t="str">
        <f>X59</f>
        <v>%</v>
      </c>
      <c r="DU59" s="558" t="str">
        <f>Y59</f>
        <v>%</v>
      </c>
      <c r="DV59" s="558" t="str">
        <f>Z59</f>
        <v>%</v>
      </c>
      <c r="DW59" s="270" t="str">
        <f>AA59</f>
        <v>%</v>
      </c>
    </row>
    <row r="60" spans="9:127" s="18" customFormat="1" ht="56.25" x14ac:dyDescent="0.25">
      <c r="I60" s="470" t="s">
        <v>798</v>
      </c>
      <c r="J60" s="470" t="s">
        <v>799</v>
      </c>
      <c r="K60" s="470" t="s">
        <v>800</v>
      </c>
      <c r="L60" s="471"/>
      <c r="M60" s="470" t="str">
        <f t="shared" ref="M60:M80" si="38">M31</f>
        <v>Type of Oil producing</v>
      </c>
      <c r="N60" s="470" t="s">
        <v>813</v>
      </c>
      <c r="O60" s="470" t="s">
        <v>814</v>
      </c>
      <c r="P60" s="571" t="s">
        <v>1052</v>
      </c>
      <c r="Q60" s="571" t="s">
        <v>804</v>
      </c>
      <c r="R60" s="472" t="s">
        <v>808</v>
      </c>
      <c r="S60" s="472" t="s">
        <v>809</v>
      </c>
      <c r="T60" s="472" t="s">
        <v>810</v>
      </c>
      <c r="U60" s="472" t="s">
        <v>811</v>
      </c>
      <c r="V60" s="472" t="s">
        <v>812</v>
      </c>
      <c r="W60" s="559" t="s">
        <v>808</v>
      </c>
      <c r="X60" s="559" t="s">
        <v>809</v>
      </c>
      <c r="Y60" s="559" t="s">
        <v>810</v>
      </c>
      <c r="Z60" s="559" t="s">
        <v>812</v>
      </c>
      <c r="AA60" s="561" t="s">
        <v>811</v>
      </c>
      <c r="AB60" s="589" t="s">
        <v>1045</v>
      </c>
      <c r="AC60" s="589" t="s">
        <v>1043</v>
      </c>
      <c r="AD60" s="571" t="s">
        <v>1048</v>
      </c>
      <c r="AE60" s="571" t="s">
        <v>1049</v>
      </c>
      <c r="AF60" s="571" t="s">
        <v>1050</v>
      </c>
      <c r="AG60" s="571" t="s">
        <v>1051</v>
      </c>
      <c r="AH60" s="666" t="s">
        <v>1062</v>
      </c>
      <c r="AI60" s="667">
        <v>2019</v>
      </c>
      <c r="AJ60" s="649">
        <v>2020</v>
      </c>
      <c r="AK60" s="649">
        <v>2023</v>
      </c>
      <c r="AL60" s="649">
        <v>2025</v>
      </c>
      <c r="AM60" s="649">
        <v>2027</v>
      </c>
      <c r="AN60" s="649">
        <v>2030</v>
      </c>
      <c r="AO60" s="649">
        <v>2033</v>
      </c>
      <c r="AP60" s="649">
        <v>2035</v>
      </c>
      <c r="AQ60" s="649">
        <v>2037</v>
      </c>
      <c r="AR60" s="649">
        <v>2040</v>
      </c>
      <c r="AS60" s="649">
        <v>2043</v>
      </c>
      <c r="AT60" s="649">
        <v>2045</v>
      </c>
      <c r="AU60" s="649">
        <v>2047</v>
      </c>
      <c r="AV60" s="668">
        <v>2050</v>
      </c>
      <c r="AW60" s="667">
        <v>2019</v>
      </c>
      <c r="AX60" s="649">
        <v>2020</v>
      </c>
      <c r="AY60" s="649">
        <v>2023</v>
      </c>
      <c r="AZ60" s="649">
        <v>2025</v>
      </c>
      <c r="BA60" s="649">
        <v>2027</v>
      </c>
      <c r="BB60" s="649">
        <v>2030</v>
      </c>
      <c r="BC60" s="649">
        <v>2033</v>
      </c>
      <c r="BD60" s="649">
        <v>2035</v>
      </c>
      <c r="BE60" s="649">
        <v>2037</v>
      </c>
      <c r="BF60" s="649">
        <v>2040</v>
      </c>
      <c r="BG60" s="649">
        <v>2043</v>
      </c>
      <c r="BH60" s="649">
        <v>2045</v>
      </c>
      <c r="BI60" s="649">
        <v>2047</v>
      </c>
      <c r="BJ60" s="668">
        <v>2050</v>
      </c>
      <c r="BK60" s="667">
        <v>2019</v>
      </c>
      <c r="BL60" s="649">
        <v>2020</v>
      </c>
      <c r="BM60" s="649">
        <v>2023</v>
      </c>
      <c r="BN60" s="649">
        <v>2025</v>
      </c>
      <c r="BO60" s="649">
        <v>2027</v>
      </c>
      <c r="BP60" s="649">
        <v>2030</v>
      </c>
      <c r="BQ60" s="649">
        <v>2033</v>
      </c>
      <c r="BR60" s="649">
        <v>2035</v>
      </c>
      <c r="BS60" s="649">
        <v>2037</v>
      </c>
      <c r="BT60" s="649">
        <v>2040</v>
      </c>
      <c r="BU60" s="649">
        <v>2043</v>
      </c>
      <c r="BV60" s="649">
        <v>2045</v>
      </c>
      <c r="BW60" s="649">
        <v>2047</v>
      </c>
      <c r="BX60" s="668">
        <v>2050</v>
      </c>
      <c r="BY60" s="468"/>
      <c r="BZ60" s="468"/>
      <c r="CA60" s="468"/>
      <c r="CB60" s="468"/>
      <c r="CC60" s="15"/>
      <c r="CD60" s="746"/>
      <c r="CE60" s="746"/>
      <c r="CF60" s="746"/>
      <c r="CG60" s="746"/>
      <c r="CH60" s="746"/>
      <c r="CI60" s="746"/>
      <c r="CJ60" s="746"/>
      <c r="CK60" s="746"/>
      <c r="CL60" s="746"/>
      <c r="CM60" s="746"/>
      <c r="CN60" s="746"/>
      <c r="CO60" s="746"/>
      <c r="CP60" s="746"/>
      <c r="CQ60" s="746"/>
      <c r="CR60" s="468"/>
      <c r="CS60" s="468"/>
      <c r="CT60" s="468"/>
      <c r="CU60" s="468"/>
      <c r="CV60" s="468"/>
      <c r="CW60" s="468"/>
      <c r="CX60" s="1"/>
      <c r="CY60" s="1"/>
      <c r="CZ60" s="1"/>
      <c r="DA60" s="1"/>
      <c r="DB60" s="1"/>
      <c r="DC60" s="1"/>
      <c r="DD60" s="470" t="str">
        <f t="shared" ref="DD60:DD80" si="39">J60</f>
        <v>Oilfield</v>
      </c>
      <c r="DE60" s="470" t="str">
        <f t="shared" ref="DE60:DE80" si="40">K60</f>
        <v>API Gravity</v>
      </c>
      <c r="DF60" s="471"/>
      <c r="DG60" s="603" t="str">
        <f t="shared" ref="DG60:DG80" si="41">M60</f>
        <v>Type of Oil producing</v>
      </c>
      <c r="DH60" s="470" t="s">
        <v>813</v>
      </c>
      <c r="DI60" s="470" t="s">
        <v>814</v>
      </c>
      <c r="DJ60" s="571" t="str">
        <f t="shared" si="34"/>
        <v>"GOR"</v>
      </c>
      <c r="DK60" s="571" t="str">
        <f t="shared" si="35"/>
        <v>GCOMM</v>
      </c>
      <c r="DL60" s="589" t="str">
        <f t="shared" si="36"/>
        <v>Rtotal</v>
      </c>
      <c r="DM60" s="589" t="str">
        <f t="shared" si="37"/>
        <v>R/P</v>
      </c>
      <c r="DN60" s="472" t="s">
        <v>808</v>
      </c>
      <c r="DO60" s="472" t="s">
        <v>809</v>
      </c>
      <c r="DP60" s="472" t="s">
        <v>810</v>
      </c>
      <c r="DQ60" s="472" t="s">
        <v>811</v>
      </c>
      <c r="DR60" s="472" t="s">
        <v>812</v>
      </c>
      <c r="DS60" s="559" t="s">
        <v>808</v>
      </c>
      <c r="DT60" s="559" t="s">
        <v>809</v>
      </c>
      <c r="DU60" s="559" t="s">
        <v>810</v>
      </c>
      <c r="DV60" s="559" t="s">
        <v>812</v>
      </c>
      <c r="DW60" s="561" t="s">
        <v>811</v>
      </c>
    </row>
    <row r="61" spans="9:127" ht="18.75" x14ac:dyDescent="0.25">
      <c r="I61" s="474" t="s">
        <v>837</v>
      </c>
      <c r="J61" s="475" t="s">
        <v>838</v>
      </c>
      <c r="K61" s="473" t="s">
        <v>665</v>
      </c>
      <c r="L61" s="476" t="s">
        <v>51</v>
      </c>
      <c r="M61" s="476" t="str">
        <f t="shared" si="38"/>
        <v>Doesn't Apply</v>
      </c>
      <c r="N61" s="478">
        <f t="shared" si="31"/>
        <v>0</v>
      </c>
      <c r="O61" s="556">
        <f t="shared" ref="O61:O80" si="42">Z32</f>
        <v>60.04622961587031</v>
      </c>
      <c r="P61" s="615">
        <f t="shared" ref="P61:P80" si="43">+O61/(N61+O61)</f>
        <v>1</v>
      </c>
      <c r="Q61" s="572">
        <f>+V61+T61-U61</f>
        <v>57.556398720157048</v>
      </c>
      <c r="R61" s="477">
        <f t="shared" ref="R61:R80" si="44">T32</f>
        <v>2.4069462377542221</v>
      </c>
      <c r="S61" s="477">
        <f t="shared" ref="S61:S80" si="45">U32</f>
        <v>8.2884657959038696E-2</v>
      </c>
      <c r="T61" s="477">
        <f t="shared" ref="T61:T80" si="46">V32</f>
        <v>4.8961411123406373</v>
      </c>
      <c r="U61" s="477">
        <f t="shared" ref="U61:U80" si="47">W32</f>
        <v>0</v>
      </c>
      <c r="V61" s="477">
        <f t="shared" ref="V61:V80" si="48">X32</f>
        <v>52.660257607816412</v>
      </c>
      <c r="W61" s="560">
        <f t="shared" ref="W61:W80" si="49">+IF($O61=0,"-",R61/$O61)</f>
        <v>4.0084885481603369E-2</v>
      </c>
      <c r="X61" s="560">
        <f t="shared" ref="X61:X80" si="50">+IF($O61=0,"-",S61/$O61)</f>
        <v>1.3803474171362818E-3</v>
      </c>
      <c r="Y61" s="560">
        <f t="shared" ref="Y61:Y80" si="51">+IF($O61=0,"-",T61/$O61)</f>
        <v>8.1539526189444198E-2</v>
      </c>
      <c r="Z61" s="560">
        <f t="shared" ref="Z61:Z80" si="52">+IF($O61=0,"-",V61/$O61)</f>
        <v>0.87699524091181613</v>
      </c>
      <c r="AA61" s="562">
        <f t="shared" ref="AA61:AA80" si="53">+IF($T61=0,"-",U61/$T61)</f>
        <v>0</v>
      </c>
      <c r="AB61" s="590">
        <f>+'5. GlobalData'!K6*1000*$D$26/1000</f>
        <v>175.46031657600003</v>
      </c>
      <c r="AC61" s="591">
        <f t="shared" ref="AC61:AC80" si="54">+AB61/(Q61+N61)</f>
        <v>3.0484936597423249</v>
      </c>
      <c r="AD61" s="604">
        <f t="shared" ref="AD61:AD80" si="55">+AB61*(N61/(N61+O61))</f>
        <v>0</v>
      </c>
      <c r="AE61" s="619" t="str">
        <f t="shared" ref="AE61:AE80" si="56">+IF(N61=0,"-",AD61/N61)</f>
        <v>-</v>
      </c>
      <c r="AF61" s="604">
        <f>+AB61*(O61/(O61+N61))</f>
        <v>175.46031657600003</v>
      </c>
      <c r="AG61" s="621">
        <f t="shared" ref="AG61:AG80" si="57">+IF(O61=0,"-",AF61/O61)</f>
        <v>2.9220871601507783</v>
      </c>
      <c r="AH61" s="436">
        <f t="shared" ref="AH61:AH80" si="58">+N61+O61</f>
        <v>60.04622961587031</v>
      </c>
      <c r="AI61" s="669">
        <f>+IF('5. GlobalData'!K111="","",'5. GlobalData'!K111)</f>
        <v>1</v>
      </c>
      <c r="AJ61" s="670">
        <f>+IF('5. GlobalData'!L111="","",'5. GlobalData'!L111)</f>
        <v>0.71052932339295627</v>
      </c>
      <c r="AK61" s="670" t="str">
        <f>+IF('5. GlobalData'!M111="","",'5. GlobalData'!M111)</f>
        <v/>
      </c>
      <c r="AL61" s="670">
        <f>+IF('5. GlobalData'!N111="","",'5. GlobalData'!N111)</f>
        <v>0.46585162646401629</v>
      </c>
      <c r="AM61" s="670">
        <f>+IF('5. GlobalData'!O111="","",'5. GlobalData'!O111)</f>
        <v>0.36502891178716357</v>
      </c>
      <c r="AN61" s="670" t="str">
        <f>+IF('5. GlobalData'!P111="","",'5. GlobalData'!P111)</f>
        <v/>
      </c>
      <c r="AO61" s="670" t="str">
        <f>+IF('5. GlobalData'!Q111="","",'5. GlobalData'!Q111)</f>
        <v/>
      </c>
      <c r="AP61" s="670" t="str">
        <f>+IF('5. GlobalData'!R111="","",'5. GlobalData'!R111)</f>
        <v/>
      </c>
      <c r="AQ61" s="670" t="str">
        <f>+IF('5. GlobalData'!S111="","",'5. GlobalData'!S111)</f>
        <v/>
      </c>
      <c r="AR61" s="670" t="str">
        <f>+IF('5. GlobalData'!T111="","",'5. GlobalData'!T111)</f>
        <v/>
      </c>
      <c r="AS61" s="670" t="str">
        <f>+IF('5. GlobalData'!U111="","",'5. GlobalData'!U111)</f>
        <v/>
      </c>
      <c r="AT61" s="670" t="str">
        <f>+IF('5. GlobalData'!V111="","",'5. GlobalData'!V111)</f>
        <v/>
      </c>
      <c r="AU61" s="670" t="str">
        <f>+IF('5. GlobalData'!W111="","",'5. GlobalData'!W111)</f>
        <v/>
      </c>
      <c r="AV61" s="671" t="str">
        <f>+IF('5. GlobalData'!X111="","",'5. GlobalData'!X111)</f>
        <v/>
      </c>
      <c r="AW61" s="675">
        <f>+IF(AI61="","",AI61*$AH61)</f>
        <v>60.04622961587031</v>
      </c>
      <c r="AX61" s="676">
        <f t="shared" ref="AX61:BJ61" si="59">+IF(AJ61="","",AJ61*$AH61)</f>
        <v>42.664606901262424</v>
      </c>
      <c r="AY61" s="676" t="str">
        <f t="shared" si="59"/>
        <v/>
      </c>
      <c r="AZ61" s="676">
        <f t="shared" si="59"/>
        <v>27.972633729584967</v>
      </c>
      <c r="BA61" s="676">
        <f t="shared" si="59"/>
        <v>21.918609853603293</v>
      </c>
      <c r="BB61" s="676" t="str">
        <f t="shared" si="59"/>
        <v/>
      </c>
      <c r="BC61" s="676" t="str">
        <f t="shared" si="59"/>
        <v/>
      </c>
      <c r="BD61" s="676" t="str">
        <f t="shared" si="59"/>
        <v/>
      </c>
      <c r="BE61" s="676" t="str">
        <f t="shared" si="59"/>
        <v/>
      </c>
      <c r="BF61" s="676" t="str">
        <f t="shared" si="59"/>
        <v/>
      </c>
      <c r="BG61" s="676" t="str">
        <f t="shared" si="59"/>
        <v/>
      </c>
      <c r="BH61" s="676" t="str">
        <f t="shared" si="59"/>
        <v/>
      </c>
      <c r="BI61" s="676" t="str">
        <f t="shared" si="59"/>
        <v/>
      </c>
      <c r="BJ61" s="677" t="str">
        <f t="shared" si="59"/>
        <v/>
      </c>
      <c r="BK61" s="675">
        <v>60.04622961587031</v>
      </c>
      <c r="BL61" s="676">
        <v>42.664606901262424</v>
      </c>
      <c r="BM61" s="683">
        <f>+BL61+(BN61-BL61)*(2023-2020)/(2025-2020)</f>
        <v>33.849422998255946</v>
      </c>
      <c r="BN61" s="676">
        <v>27.972633729584967</v>
      </c>
      <c r="BO61" s="676">
        <v>21.918609853603293</v>
      </c>
      <c r="BP61" s="681" t="s">
        <v>1063</v>
      </c>
      <c r="BQ61" s="681" t="s">
        <v>1063</v>
      </c>
      <c r="BR61" s="681" t="s">
        <v>1063</v>
      </c>
      <c r="BS61" s="681" t="s">
        <v>1063</v>
      </c>
      <c r="BT61" s="681" t="s">
        <v>1063</v>
      </c>
      <c r="BU61" s="681" t="s">
        <v>1063</v>
      </c>
      <c r="BV61" s="681" t="s">
        <v>1063</v>
      </c>
      <c r="BW61" s="681" t="s">
        <v>1063</v>
      </c>
      <c r="BX61" s="682" t="s">
        <v>1063</v>
      </c>
      <c r="BY61" s="664"/>
      <c r="BZ61" s="664"/>
      <c r="CA61" s="664"/>
      <c r="CB61" s="664"/>
      <c r="CC61" s="470"/>
      <c r="CD61" s="468"/>
      <c r="CE61" s="468"/>
      <c r="CF61" s="468"/>
      <c r="CG61" s="468"/>
      <c r="CH61" s="468"/>
      <c r="CI61" s="468"/>
      <c r="CJ61" s="468"/>
      <c r="CK61" s="468"/>
      <c r="CL61" s="468"/>
      <c r="CM61" s="468"/>
      <c r="CN61" s="468"/>
      <c r="CO61" s="468"/>
      <c r="CP61" s="468"/>
      <c r="CQ61" s="468"/>
      <c r="CR61" s="664"/>
      <c r="CS61" s="664"/>
      <c r="CT61" s="664"/>
      <c r="CU61" s="664"/>
      <c r="CV61" s="664"/>
      <c r="CW61" s="664"/>
      <c r="CX61" s="651"/>
      <c r="CY61" s="651"/>
      <c r="CZ61" s="651"/>
      <c r="DA61" s="651"/>
      <c r="DB61" s="651"/>
      <c r="DC61" s="651"/>
      <c r="DD61" s="475" t="str">
        <f t="shared" si="39"/>
        <v>Chuchupa</v>
      </c>
      <c r="DE61" s="473" t="str">
        <f t="shared" si="40"/>
        <v>-</v>
      </c>
      <c r="DF61" s="476" t="str">
        <f t="shared" ref="DF61:DF80" si="60">L61</f>
        <v>GAS</v>
      </c>
      <c r="DG61" s="476" t="str">
        <f t="shared" si="41"/>
        <v>Doesn't Apply</v>
      </c>
      <c r="DH61" s="478">
        <f t="shared" si="32"/>
        <v>0</v>
      </c>
      <c r="DI61" s="556">
        <f t="shared" si="33"/>
        <v>60.04622961587031</v>
      </c>
      <c r="DJ61" s="572">
        <f t="shared" si="34"/>
        <v>1</v>
      </c>
      <c r="DK61" s="572">
        <f t="shared" si="35"/>
        <v>57.556398720157048</v>
      </c>
      <c r="DL61" s="590">
        <f t="shared" si="36"/>
        <v>175.46031657600003</v>
      </c>
      <c r="DM61" s="591">
        <f t="shared" si="37"/>
        <v>3.0484936597423249</v>
      </c>
      <c r="DN61" s="477">
        <f t="shared" ref="DN61:DN80" si="61">R61</f>
        <v>2.4069462377542221</v>
      </c>
      <c r="DO61" s="477">
        <f t="shared" ref="DO61:DO80" si="62">S61</f>
        <v>8.2884657959038696E-2</v>
      </c>
      <c r="DP61" s="477">
        <f t="shared" ref="DP61:DP80" si="63">T61</f>
        <v>4.8961411123406373</v>
      </c>
      <c r="DQ61" s="477">
        <f t="shared" ref="DQ61:DQ80" si="64">U61</f>
        <v>0</v>
      </c>
      <c r="DR61" s="477">
        <f t="shared" ref="DR61:DR80" si="65">V61</f>
        <v>52.660257607816412</v>
      </c>
      <c r="DS61" s="560">
        <f t="shared" ref="DS61:DS80" si="66">W61</f>
        <v>4.0084885481603369E-2</v>
      </c>
      <c r="DT61" s="560">
        <f t="shared" ref="DT61:DT80" si="67">X61</f>
        <v>1.3803474171362818E-3</v>
      </c>
      <c r="DU61" s="560">
        <f t="shared" ref="DU61:DU80" si="68">Y61</f>
        <v>8.1539526189444198E-2</v>
      </c>
      <c r="DV61" s="560">
        <f t="shared" ref="DV61:DV80" si="69">Z61</f>
        <v>0.87699524091181613</v>
      </c>
      <c r="DW61" s="562">
        <f t="shared" ref="DW61:DW80" si="70">AA61</f>
        <v>0</v>
      </c>
    </row>
    <row r="62" spans="9:127" x14ac:dyDescent="0.25">
      <c r="I62" s="474" t="s">
        <v>837</v>
      </c>
      <c r="J62" s="475" t="s">
        <v>839</v>
      </c>
      <c r="K62" s="473" t="s">
        <v>665</v>
      </c>
      <c r="L62" s="476" t="s">
        <v>51</v>
      </c>
      <c r="M62" s="476" t="str">
        <f t="shared" si="38"/>
        <v>Doesn't Apply</v>
      </c>
      <c r="N62" s="478">
        <f t="shared" si="31"/>
        <v>0</v>
      </c>
      <c r="O62" s="556">
        <f t="shared" si="42"/>
        <v>8.539502325113304</v>
      </c>
      <c r="P62" s="615">
        <f t="shared" si="43"/>
        <v>1</v>
      </c>
      <c r="Q62" s="572">
        <f t="shared" ref="Q62:Q80" si="71">+V62+T62-U62</f>
        <v>8.486450086675454</v>
      </c>
      <c r="R62" s="477">
        <f t="shared" si="44"/>
        <v>4.3098003024011712E-2</v>
      </c>
      <c r="S62" s="477">
        <f t="shared" si="45"/>
        <v>9.9542354138382663E-3</v>
      </c>
      <c r="T62" s="477">
        <f t="shared" si="46"/>
        <v>0.72254019124584645</v>
      </c>
      <c r="U62" s="477">
        <f t="shared" si="47"/>
        <v>0</v>
      </c>
      <c r="V62" s="477">
        <f t="shared" si="48"/>
        <v>7.7639098954296077</v>
      </c>
      <c r="W62" s="560">
        <f t="shared" si="49"/>
        <v>5.046898681351419E-3</v>
      </c>
      <c r="X62" s="560">
        <f t="shared" si="50"/>
        <v>1.1656692667632936E-3</v>
      </c>
      <c r="Y62" s="560">
        <f t="shared" si="51"/>
        <v>8.4611510570232168E-2</v>
      </c>
      <c r="Z62" s="560">
        <f t="shared" si="52"/>
        <v>0.90917592148165316</v>
      </c>
      <c r="AA62" s="562">
        <f t="shared" si="53"/>
        <v>0</v>
      </c>
      <c r="AB62" s="590">
        <f>+'5. GlobalData'!K7*1000*$D$26/1000</f>
        <v>91.278518944000012</v>
      </c>
      <c r="AC62" s="591">
        <f t="shared" si="54"/>
        <v>10.755795180757158</v>
      </c>
      <c r="AD62" s="604">
        <f t="shared" si="55"/>
        <v>0</v>
      </c>
      <c r="AE62" s="619" t="str">
        <f t="shared" si="56"/>
        <v>-</v>
      </c>
      <c r="AF62" s="604">
        <f t="shared" ref="AF62:AF80" si="72">+AB62*(O62/(O62+N62))</f>
        <v>91.278518944000012</v>
      </c>
      <c r="AG62" s="621">
        <f t="shared" si="57"/>
        <v>10.688974072360699</v>
      </c>
      <c r="AH62" s="436">
        <f t="shared" si="58"/>
        <v>8.539502325113304</v>
      </c>
      <c r="AI62" s="669">
        <f>+IF('5. GlobalData'!K112="","",'5. GlobalData'!K112)</f>
        <v>1</v>
      </c>
      <c r="AJ62" s="670">
        <f>+IF('5. GlobalData'!L112="","",'5. GlobalData'!L112)</f>
        <v>0.71685328526162295</v>
      </c>
      <c r="AK62" s="670">
        <f>+IF('5. GlobalData'!M112="","",'5. GlobalData'!M112)</f>
        <v>1.0757259540778876</v>
      </c>
      <c r="AL62" s="670">
        <f>+IF('5. GlobalData'!N112="","",'5. GlobalData'!N112)</f>
        <v>0.77263629352239904</v>
      </c>
      <c r="AM62" s="670">
        <f>+IF('5. GlobalData'!O112="","",'5. GlobalData'!O112)</f>
        <v>0.67891132441900459</v>
      </c>
      <c r="AN62" s="670">
        <f>+IF('5. GlobalData'!P112="","",'5. GlobalData'!P112)</f>
        <v>0.61682447940381147</v>
      </c>
      <c r="AO62" s="670">
        <f>+IF('5. GlobalData'!Q112="","",'5. GlobalData'!Q112)</f>
        <v>0.42940427627605338</v>
      </c>
      <c r="AP62" s="670">
        <f>+IF('5. GlobalData'!R112="","",'5. GlobalData'!R112)</f>
        <v>0.33576851240974936</v>
      </c>
      <c r="AQ62" s="670">
        <f>+IF('5. GlobalData'!S112="","",'5. GlobalData'!S112)</f>
        <v>0.27368166739455629</v>
      </c>
      <c r="AR62" s="670" t="str">
        <f>+IF('5. GlobalData'!T112="","",'5. GlobalData'!T112)</f>
        <v/>
      </c>
      <c r="AS62" s="670" t="str">
        <f>+IF('5. GlobalData'!U112="","",'5. GlobalData'!U112)</f>
        <v/>
      </c>
      <c r="AT62" s="670" t="str">
        <f>+IF('5. GlobalData'!V112="","",'5. GlobalData'!V112)</f>
        <v/>
      </c>
      <c r="AU62" s="670" t="str">
        <f>+IF('5. GlobalData'!W112="","",'5. GlobalData'!W112)</f>
        <v/>
      </c>
      <c r="AV62" s="671" t="str">
        <f>+IF('5. GlobalData'!X112="","",'5. GlobalData'!X112)</f>
        <v/>
      </c>
      <c r="AW62" s="675">
        <f t="shared" ref="AW62:AW80" si="73">+IF(AI62="","",AI62*$AH62)</f>
        <v>8.539502325113304</v>
      </c>
      <c r="AX62" s="676">
        <f t="shared" ref="AX62:AX80" si="74">+IF(AJ62="","",AJ62*$AH62)</f>
        <v>6.1215702962567402</v>
      </c>
      <c r="AY62" s="676">
        <f t="shared" ref="AY62:AY80" si="75">+IF(AK62="","",AK62*$AH62)</f>
        <v>9.1861642860328487</v>
      </c>
      <c r="AZ62" s="676">
        <f t="shared" ref="AZ62:AZ80" si="76">+IF(AL62="","",AL62*$AH62)</f>
        <v>6.5979294250014515</v>
      </c>
      <c r="BA62" s="676">
        <f t="shared" ref="BA62:BA80" si="77">+IF(AM62="","",AM62*$AH62)</f>
        <v>5.7975648334218421</v>
      </c>
      <c r="BB62" s="676">
        <f t="shared" ref="BB62:BB80" si="78">+IF(AN62="","",AN62*$AH62)</f>
        <v>5.2673740760556509</v>
      </c>
      <c r="BC62" s="676">
        <f t="shared" ref="BC62:BC80" si="79">+IF(AO62="","",AO62*$AH62)</f>
        <v>3.6668988156729534</v>
      </c>
      <c r="BD62" s="676">
        <f t="shared" ref="BD62:BD80" si="80">+IF(AP62="","",AP62*$AH62)</f>
        <v>2.86729599242289</v>
      </c>
      <c r="BE62" s="676">
        <f t="shared" ref="BE62:BE80" si="81">+IF(AQ62="","",AQ62*$AH62)</f>
        <v>2.3371052350566992</v>
      </c>
      <c r="BF62" s="676" t="str">
        <f t="shared" ref="BF62:BF80" si="82">+IF(AR62="","",AR62*$AH62)</f>
        <v/>
      </c>
      <c r="BG62" s="676" t="str">
        <f t="shared" ref="BG62:BG80" si="83">+IF(AS62="","",AS62*$AH62)</f>
        <v/>
      </c>
      <c r="BH62" s="676" t="str">
        <f t="shared" ref="BH62:BH80" si="84">+IF(AT62="","",AT62*$AH62)</f>
        <v/>
      </c>
      <c r="BI62" s="676" t="str">
        <f t="shared" ref="BI62:BI80" si="85">+IF(AU62="","",AU62*$AH62)</f>
        <v/>
      </c>
      <c r="BJ62" s="677" t="str">
        <f t="shared" ref="BJ62:BJ80" si="86">+IF(AV62="","",AV62*$AH62)</f>
        <v/>
      </c>
      <c r="BK62" s="675">
        <v>8.539502325113304</v>
      </c>
      <c r="BL62" s="676">
        <v>6.1215702962567402</v>
      </c>
      <c r="BM62" s="676">
        <v>9.1861642860328487</v>
      </c>
      <c r="BN62" s="676">
        <v>6.5979294250014515</v>
      </c>
      <c r="BO62" s="676">
        <v>5.7975648334218421</v>
      </c>
      <c r="BP62" s="676">
        <v>5.2673740760556509</v>
      </c>
      <c r="BQ62" s="676">
        <v>3.6668988156729534</v>
      </c>
      <c r="BR62" s="676">
        <v>2.86729599242289</v>
      </c>
      <c r="BS62" s="676">
        <v>2.3371052350566992</v>
      </c>
      <c r="BT62" s="681" t="s">
        <v>1063</v>
      </c>
      <c r="BU62" s="681" t="s">
        <v>1063</v>
      </c>
      <c r="BV62" s="681" t="s">
        <v>1063</v>
      </c>
      <c r="BW62" s="681" t="s">
        <v>1063</v>
      </c>
      <c r="BX62" s="682" t="s">
        <v>1063</v>
      </c>
      <c r="BY62" s="664"/>
      <c r="BZ62" s="664"/>
      <c r="CA62" s="664"/>
      <c r="CB62" s="664"/>
      <c r="CC62" s="568"/>
      <c r="CD62" s="691"/>
      <c r="CE62" s="691"/>
      <c r="CF62" s="691"/>
      <c r="CG62" s="691"/>
      <c r="CH62" s="691"/>
      <c r="CI62" s="691"/>
      <c r="CJ62" s="691"/>
      <c r="CK62" s="691"/>
      <c r="CL62" s="691"/>
      <c r="CM62" s="691"/>
      <c r="CN62" s="691"/>
      <c r="CO62" s="691"/>
      <c r="CP62" s="691"/>
      <c r="CQ62" s="691"/>
      <c r="CR62" s="664"/>
      <c r="CS62" s="664"/>
      <c r="CT62" s="664"/>
      <c r="CU62" s="664"/>
      <c r="CV62" s="664"/>
      <c r="CW62" s="664"/>
      <c r="CX62" s="663"/>
      <c r="CY62" s="663"/>
      <c r="CZ62" s="663"/>
      <c r="DA62" s="663"/>
      <c r="DB62" s="663"/>
      <c r="DC62" s="663"/>
      <c r="DD62" s="475" t="str">
        <f t="shared" si="39"/>
        <v>Ballena</v>
      </c>
      <c r="DE62" s="473" t="str">
        <f t="shared" si="40"/>
        <v>-</v>
      </c>
      <c r="DF62" s="476" t="str">
        <f t="shared" si="60"/>
        <v>GAS</v>
      </c>
      <c r="DG62" s="476" t="str">
        <f t="shared" si="41"/>
        <v>Doesn't Apply</v>
      </c>
      <c r="DH62" s="478">
        <f t="shared" si="32"/>
        <v>0</v>
      </c>
      <c r="DI62" s="556">
        <f t="shared" si="33"/>
        <v>8.539502325113304</v>
      </c>
      <c r="DJ62" s="572">
        <f t="shared" si="34"/>
        <v>1</v>
      </c>
      <c r="DK62" s="572">
        <f t="shared" si="35"/>
        <v>8.486450086675454</v>
      </c>
      <c r="DL62" s="590">
        <f t="shared" si="36"/>
        <v>91.278518944000012</v>
      </c>
      <c r="DM62" s="591">
        <f t="shared" si="37"/>
        <v>10.755795180757158</v>
      </c>
      <c r="DN62" s="477">
        <f t="shared" si="61"/>
        <v>4.3098003024011712E-2</v>
      </c>
      <c r="DO62" s="477">
        <f t="shared" si="62"/>
        <v>9.9542354138382663E-3</v>
      </c>
      <c r="DP62" s="477">
        <f t="shared" si="63"/>
        <v>0.72254019124584645</v>
      </c>
      <c r="DQ62" s="477">
        <f t="shared" si="64"/>
        <v>0</v>
      </c>
      <c r="DR62" s="477">
        <f t="shared" si="65"/>
        <v>7.7639098954296077</v>
      </c>
      <c r="DS62" s="560">
        <f t="shared" si="66"/>
        <v>5.046898681351419E-3</v>
      </c>
      <c r="DT62" s="560">
        <f t="shared" si="67"/>
        <v>1.1656692667632936E-3</v>
      </c>
      <c r="DU62" s="560">
        <f t="shared" si="68"/>
        <v>8.4611510570232168E-2</v>
      </c>
      <c r="DV62" s="560">
        <f t="shared" si="69"/>
        <v>0.90917592148165316</v>
      </c>
      <c r="DW62" s="562">
        <f t="shared" si="70"/>
        <v>0</v>
      </c>
    </row>
    <row r="63" spans="9:127" x14ac:dyDescent="0.25">
      <c r="I63" s="474" t="s">
        <v>822</v>
      </c>
      <c r="J63" s="475" t="s">
        <v>850</v>
      </c>
      <c r="K63" s="473" t="s">
        <v>665</v>
      </c>
      <c r="L63" s="476" t="s">
        <v>51</v>
      </c>
      <c r="M63" s="476" t="str">
        <f t="shared" si="38"/>
        <v>Doesn't Apply</v>
      </c>
      <c r="N63" s="478">
        <f t="shared" si="31"/>
        <v>0</v>
      </c>
      <c r="O63" s="556">
        <f t="shared" si="42"/>
        <v>13.106881088314344</v>
      </c>
      <c r="P63" s="615">
        <f t="shared" si="43"/>
        <v>1</v>
      </c>
      <c r="Q63" s="572">
        <f t="shared" si="71"/>
        <v>11.790499076061606</v>
      </c>
      <c r="R63" s="477">
        <f t="shared" si="44"/>
        <v>0</v>
      </c>
      <c r="S63" s="477">
        <f t="shared" si="45"/>
        <v>0</v>
      </c>
      <c r="T63" s="477">
        <f t="shared" si="46"/>
        <v>13.106881088314344</v>
      </c>
      <c r="U63" s="477">
        <f t="shared" si="47"/>
        <v>1.3163820122527377</v>
      </c>
      <c r="V63" s="477">
        <f t="shared" si="48"/>
        <v>0</v>
      </c>
      <c r="W63" s="560">
        <f t="shared" si="49"/>
        <v>0</v>
      </c>
      <c r="X63" s="560">
        <f t="shared" si="50"/>
        <v>0</v>
      </c>
      <c r="Y63" s="560">
        <f t="shared" si="51"/>
        <v>1</v>
      </c>
      <c r="Z63" s="560">
        <f t="shared" si="52"/>
        <v>0</v>
      </c>
      <c r="AA63" s="562">
        <f t="shared" si="53"/>
        <v>0.10043442092614846</v>
      </c>
      <c r="AB63" s="590">
        <f>+'5. GlobalData'!K8*1000*$D$26/1000</f>
        <v>23.492594688000001</v>
      </c>
      <c r="AC63" s="591">
        <f t="shared" si="54"/>
        <v>1.9925021440099429</v>
      </c>
      <c r="AD63" s="604">
        <f t="shared" si="55"/>
        <v>0</v>
      </c>
      <c r="AE63" s="619" t="str">
        <f t="shared" si="56"/>
        <v>-</v>
      </c>
      <c r="AF63" s="604">
        <f t="shared" si="72"/>
        <v>23.492594688000001</v>
      </c>
      <c r="AG63" s="621">
        <f t="shared" si="57"/>
        <v>1.7923863449821951</v>
      </c>
      <c r="AH63" s="436">
        <f t="shared" si="58"/>
        <v>13.106881088314344</v>
      </c>
      <c r="AI63" s="669">
        <f>+IF('5. GlobalData'!K113="","",'5. GlobalData'!K113)</f>
        <v>1</v>
      </c>
      <c r="AJ63" s="670">
        <f>+IF('5. GlobalData'!L113="","",'5. GlobalData'!L113)</f>
        <v>0.95820762096323608</v>
      </c>
      <c r="AK63" s="670">
        <f>+IF('5. GlobalData'!M113="","",'5. GlobalData'!M113)</f>
        <v>0.30506201810258143</v>
      </c>
      <c r="AL63" s="670">
        <f>+IF('5. GlobalData'!N113="","",'5. GlobalData'!N113)</f>
        <v>0.16426416359369764</v>
      </c>
      <c r="AM63" s="670">
        <f>+IF('5. GlobalData'!O113="","",'5. GlobalData'!O113)</f>
        <v>8.2132081796848902E-2</v>
      </c>
      <c r="AN63" s="670" t="str">
        <f>+IF('5. GlobalData'!P113="","",'5. GlobalData'!P113)</f>
        <v/>
      </c>
      <c r="AO63" s="670" t="str">
        <f>+IF('5. GlobalData'!Q113="","",'5. GlobalData'!Q113)</f>
        <v/>
      </c>
      <c r="AP63" s="670" t="str">
        <f>+IF('5. GlobalData'!R113="","",'5. GlobalData'!R113)</f>
        <v/>
      </c>
      <c r="AQ63" s="670" t="str">
        <f>+IF('5. GlobalData'!S113="","",'5. GlobalData'!S113)</f>
        <v/>
      </c>
      <c r="AR63" s="670" t="str">
        <f>+IF('5. GlobalData'!T113="","",'5. GlobalData'!T113)</f>
        <v/>
      </c>
      <c r="AS63" s="670" t="str">
        <f>+IF('5. GlobalData'!U113="","",'5. GlobalData'!U113)</f>
        <v/>
      </c>
      <c r="AT63" s="670" t="str">
        <f>+IF('5. GlobalData'!V113="","",'5. GlobalData'!V113)</f>
        <v/>
      </c>
      <c r="AU63" s="670" t="str">
        <f>+IF('5. GlobalData'!W113="","",'5. GlobalData'!W113)</f>
        <v/>
      </c>
      <c r="AV63" s="671" t="str">
        <f>+IF('5. GlobalData'!X113="","",'5. GlobalData'!X113)</f>
        <v/>
      </c>
      <c r="AW63" s="675">
        <f t="shared" si="73"/>
        <v>13.106881088314344</v>
      </c>
      <c r="AX63" s="676">
        <f t="shared" si="74"/>
        <v>12.559113345881718</v>
      </c>
      <c r="AY63" s="676">
        <f t="shared" si="75"/>
        <v>3.9984115958317328</v>
      </c>
      <c r="AZ63" s="676">
        <f t="shared" si="76"/>
        <v>2.1529908592940092</v>
      </c>
      <c r="BA63" s="676">
        <f t="shared" si="77"/>
        <v>1.0764954296470057</v>
      </c>
      <c r="BB63" s="676" t="str">
        <f t="shared" si="78"/>
        <v/>
      </c>
      <c r="BC63" s="676" t="str">
        <f t="shared" si="79"/>
        <v/>
      </c>
      <c r="BD63" s="676" t="str">
        <f t="shared" si="80"/>
        <v/>
      </c>
      <c r="BE63" s="676" t="str">
        <f t="shared" si="81"/>
        <v/>
      </c>
      <c r="BF63" s="676" t="str">
        <f t="shared" si="82"/>
        <v/>
      </c>
      <c r="BG63" s="676" t="str">
        <f t="shared" si="83"/>
        <v/>
      </c>
      <c r="BH63" s="676" t="str">
        <f t="shared" si="84"/>
        <v/>
      </c>
      <c r="BI63" s="676" t="str">
        <f t="shared" si="85"/>
        <v/>
      </c>
      <c r="BJ63" s="677" t="str">
        <f t="shared" si="86"/>
        <v/>
      </c>
      <c r="BK63" s="675">
        <v>13.106881088314344</v>
      </c>
      <c r="BL63" s="676">
        <v>12.559113345881718</v>
      </c>
      <c r="BM63" s="676">
        <v>3.9984115958317328</v>
      </c>
      <c r="BN63" s="676">
        <v>2.1529908592940092</v>
      </c>
      <c r="BO63" s="676">
        <v>1.0764954296470057</v>
      </c>
      <c r="BP63" s="681" t="s">
        <v>1063</v>
      </c>
      <c r="BQ63" s="681" t="s">
        <v>1063</v>
      </c>
      <c r="BR63" s="681" t="s">
        <v>1063</v>
      </c>
      <c r="BS63" s="681" t="s">
        <v>1063</v>
      </c>
      <c r="BT63" s="681" t="s">
        <v>1063</v>
      </c>
      <c r="BU63" s="681" t="s">
        <v>1063</v>
      </c>
      <c r="BV63" s="681" t="s">
        <v>1063</v>
      </c>
      <c r="BW63" s="681" t="s">
        <v>1063</v>
      </c>
      <c r="BX63" s="682" t="s">
        <v>1063</v>
      </c>
      <c r="BY63" s="664"/>
      <c r="BZ63" s="664"/>
      <c r="CA63" s="664"/>
      <c r="CB63" s="664"/>
      <c r="CC63" s="568"/>
      <c r="CD63" s="691"/>
      <c r="CE63" s="691"/>
      <c r="CF63" s="691"/>
      <c r="CG63" s="691"/>
      <c r="CH63" s="691"/>
      <c r="CI63" s="691"/>
      <c r="CJ63" s="691"/>
      <c r="CK63" s="691"/>
      <c r="CL63" s="691"/>
      <c r="CM63" s="691"/>
      <c r="CN63" s="691"/>
      <c r="CO63" s="691"/>
      <c r="CP63" s="691"/>
      <c r="CQ63" s="691"/>
      <c r="CR63" s="664"/>
      <c r="CS63" s="664"/>
      <c r="CT63" s="664"/>
      <c r="CU63" s="664"/>
      <c r="CV63" s="664"/>
      <c r="CW63" s="664"/>
      <c r="CX63" s="663"/>
      <c r="CY63" s="663"/>
      <c r="CZ63" s="663"/>
      <c r="DA63" s="663"/>
      <c r="DB63" s="663"/>
      <c r="DC63" s="663"/>
      <c r="DD63" s="475" t="str">
        <f t="shared" si="39"/>
        <v>Gibraltar</v>
      </c>
      <c r="DE63" s="473" t="str">
        <f t="shared" si="40"/>
        <v>-</v>
      </c>
      <c r="DF63" s="476" t="str">
        <f t="shared" si="60"/>
        <v>GAS</v>
      </c>
      <c r="DG63" s="476" t="str">
        <f t="shared" si="41"/>
        <v>Doesn't Apply</v>
      </c>
      <c r="DH63" s="478">
        <f t="shared" si="32"/>
        <v>0</v>
      </c>
      <c r="DI63" s="556">
        <f t="shared" si="33"/>
        <v>13.106881088314344</v>
      </c>
      <c r="DJ63" s="572">
        <f t="shared" si="34"/>
        <v>1</v>
      </c>
      <c r="DK63" s="572">
        <f t="shared" si="35"/>
        <v>11.790499076061606</v>
      </c>
      <c r="DL63" s="590">
        <f t="shared" si="36"/>
        <v>23.492594688000001</v>
      </c>
      <c r="DM63" s="591">
        <f t="shared" si="37"/>
        <v>1.9925021440099429</v>
      </c>
      <c r="DN63" s="477">
        <f t="shared" si="61"/>
        <v>0</v>
      </c>
      <c r="DO63" s="477">
        <f t="shared" si="62"/>
        <v>0</v>
      </c>
      <c r="DP63" s="477">
        <f t="shared" si="63"/>
        <v>13.106881088314344</v>
      </c>
      <c r="DQ63" s="477">
        <f t="shared" si="64"/>
        <v>1.3163820122527377</v>
      </c>
      <c r="DR63" s="477">
        <f t="shared" si="65"/>
        <v>0</v>
      </c>
      <c r="DS63" s="560">
        <f t="shared" si="66"/>
        <v>0</v>
      </c>
      <c r="DT63" s="560">
        <f t="shared" si="67"/>
        <v>0</v>
      </c>
      <c r="DU63" s="560">
        <f t="shared" si="68"/>
        <v>1</v>
      </c>
      <c r="DV63" s="560">
        <f t="shared" si="69"/>
        <v>0</v>
      </c>
      <c r="DW63" s="562">
        <f t="shared" si="70"/>
        <v>0.10043442092614846</v>
      </c>
    </row>
    <row r="64" spans="9:127" x14ac:dyDescent="0.25">
      <c r="I64" s="473" t="s">
        <v>822</v>
      </c>
      <c r="J64" s="476" t="s">
        <v>823</v>
      </c>
      <c r="K64" s="473">
        <v>48</v>
      </c>
      <c r="L64" s="476"/>
      <c r="M64" s="476" t="str">
        <f t="shared" si="38"/>
        <v>Light Oil</v>
      </c>
      <c r="N64" s="606">
        <f t="shared" si="31"/>
        <v>22.733323234776581</v>
      </c>
      <c r="O64" s="607">
        <f t="shared" si="42"/>
        <v>93.265320299494704</v>
      </c>
      <c r="P64" s="616">
        <f t="shared" si="43"/>
        <v>0.80402078384597564</v>
      </c>
      <c r="Q64" s="608">
        <f t="shared" si="71"/>
        <v>75.291444019366892</v>
      </c>
      <c r="R64" s="609">
        <f t="shared" si="44"/>
        <v>14.103990590462988</v>
      </c>
      <c r="S64" s="609">
        <f t="shared" si="45"/>
        <v>0.82481844578701846</v>
      </c>
      <c r="T64" s="609">
        <f t="shared" si="46"/>
        <v>6.0840367613967006</v>
      </c>
      <c r="U64" s="609">
        <f t="shared" si="47"/>
        <v>3.0450672438778423</v>
      </c>
      <c r="V64" s="609">
        <f t="shared" si="48"/>
        <v>72.252474501848027</v>
      </c>
      <c r="W64" s="610">
        <f t="shared" si="49"/>
        <v>0.15122438378136788</v>
      </c>
      <c r="X64" s="610">
        <f t="shared" si="50"/>
        <v>8.8437850547057762E-3</v>
      </c>
      <c r="Y64" s="610">
        <f t="shared" si="51"/>
        <v>6.5233644637251759E-2</v>
      </c>
      <c r="Z64" s="610">
        <f t="shared" si="52"/>
        <v>0.77469818652667488</v>
      </c>
      <c r="AA64" s="611">
        <f t="shared" si="53"/>
        <v>0.50050112504231359</v>
      </c>
      <c r="AB64" s="590">
        <f>+'5. GlobalData'!K9*1000*$D$26/1000</f>
        <v>1113.2063878720001</v>
      </c>
      <c r="AC64" s="591">
        <f t="shared" si="54"/>
        <v>11.356378791350258</v>
      </c>
      <c r="AD64" s="604">
        <f t="shared" si="55"/>
        <v>218.16531531280748</v>
      </c>
      <c r="AE64" s="620">
        <f t="shared" si="56"/>
        <v>9.5967190128659414</v>
      </c>
      <c r="AF64" s="604">
        <f t="shared" si="72"/>
        <v>895.04107255919268</v>
      </c>
      <c r="AG64" s="621">
        <f t="shared" si="57"/>
        <v>9.5967190128659414</v>
      </c>
      <c r="AH64" s="436">
        <f t="shared" si="58"/>
        <v>115.99864353427128</v>
      </c>
      <c r="AI64" s="669">
        <f>+IF('5. GlobalData'!K114="","",'5. GlobalData'!K114)</f>
        <v>1</v>
      </c>
      <c r="AJ64" s="670">
        <f>+IF('5. GlobalData'!L114="","",'5. GlobalData'!L114)</f>
        <v>1.1460583239097806</v>
      </c>
      <c r="AK64" s="670">
        <f>+IF('5. GlobalData'!M114="","",'5. GlobalData'!M114)</f>
        <v>1.0267765189182025</v>
      </c>
      <c r="AL64" s="670">
        <f>+IF('5. GlobalData'!N114="","",'5. GlobalData'!N114)</f>
        <v>0.79637254256474788</v>
      </c>
      <c r="AM64" s="670" t="str">
        <f>+IF('5. GlobalData'!O114="","",'5. GlobalData'!O114)</f>
        <v/>
      </c>
      <c r="AN64" s="670">
        <f>+IF('5. GlobalData'!P114="","",'5. GlobalData'!P114)</f>
        <v>0.47344007604199378</v>
      </c>
      <c r="AO64" s="670" t="str">
        <f>+IF('5. GlobalData'!Q114="","",'5. GlobalData'!Q114)</f>
        <v/>
      </c>
      <c r="AP64" s="670">
        <f>+IF('5. GlobalData'!R114="","",'5. GlobalData'!R114)</f>
        <v>0.27316919469874357</v>
      </c>
      <c r="AQ64" s="670" t="str">
        <f>+IF('5. GlobalData'!S114="","",'5. GlobalData'!S114)</f>
        <v/>
      </c>
      <c r="AR64" s="670">
        <f>+IF('5. GlobalData'!T114="","",'5. GlobalData'!T114)</f>
        <v>0.10260539330343703</v>
      </c>
      <c r="AS64" s="670" t="str">
        <f>+IF('5. GlobalData'!U114="","",'5. GlobalData'!U114)</f>
        <v/>
      </c>
      <c r="AT64" s="670">
        <f>+IF('5. GlobalData'!V114="","",'5. GlobalData'!V114)</f>
        <v>6.9465448498731056E-2</v>
      </c>
      <c r="AU64" s="670" t="str">
        <f>+IF('5. GlobalData'!W114="","",'5. GlobalData'!W114)</f>
        <v/>
      </c>
      <c r="AV64" s="671">
        <f>+IF('5. GlobalData'!X114="","",'5. GlobalData'!X114)</f>
        <v>5.1421873655740524E-2</v>
      </c>
      <c r="AW64" s="675">
        <f t="shared" si="73"/>
        <v>115.99864353427128</v>
      </c>
      <c r="AX64" s="676">
        <f t="shared" si="74"/>
        <v>132.94121098469506</v>
      </c>
      <c r="AY64" s="676">
        <f t="shared" si="75"/>
        <v>119.10468340735252</v>
      </c>
      <c r="AZ64" s="676">
        <f t="shared" si="76"/>
        <v>92.378134685449467</v>
      </c>
      <c r="BA64" s="676" t="str">
        <f t="shared" si="77"/>
        <v/>
      </c>
      <c r="BB64" s="676">
        <f t="shared" si="78"/>
        <v>54.918406615633529</v>
      </c>
      <c r="BC64" s="676" t="str">
        <f t="shared" si="79"/>
        <v/>
      </c>
      <c r="BD64" s="676">
        <f t="shared" si="80"/>
        <v>31.687256040403504</v>
      </c>
      <c r="BE64" s="676" t="str">
        <f t="shared" si="81"/>
        <v/>
      </c>
      <c r="BF64" s="676">
        <f t="shared" si="82"/>
        <v>11.902086442499098</v>
      </c>
      <c r="BG64" s="676" t="str">
        <f t="shared" si="83"/>
        <v/>
      </c>
      <c r="BH64" s="676">
        <f t="shared" si="84"/>
        <v>8.0578977983525846</v>
      </c>
      <c r="BI64" s="676" t="str">
        <f t="shared" si="85"/>
        <v/>
      </c>
      <c r="BJ64" s="677">
        <f t="shared" si="86"/>
        <v>5.9648675920565806</v>
      </c>
      <c r="BK64" s="675">
        <v>115.99864353427128</v>
      </c>
      <c r="BL64" s="676">
        <v>132.94121098469506</v>
      </c>
      <c r="BM64" s="676">
        <v>119.10468340735252</v>
      </c>
      <c r="BN64" s="676">
        <v>92.378134685449467</v>
      </c>
      <c r="BO64" s="683">
        <f>+BN64+(BP64-BN64)*(2027-2025)/(2030-2025)</f>
        <v>77.394243457523089</v>
      </c>
      <c r="BP64" s="676">
        <v>54.918406615633529</v>
      </c>
      <c r="BQ64" s="683">
        <f>+BP64+(BR64-BP64)*(2033-2030)/(2035-2030)</f>
        <v>40.979716270495516</v>
      </c>
      <c r="BR64" s="676">
        <v>31.687256040403504</v>
      </c>
      <c r="BS64" s="683">
        <f>+BR64+(BT64-BR64)*(2037-2035)/(2040-2035)</f>
        <v>23.773188201241741</v>
      </c>
      <c r="BT64" s="676">
        <v>11.902086442499098</v>
      </c>
      <c r="BU64" s="683">
        <f>+BT64+(BV64-BT64)*(2043-2040)/(2045-2040)</f>
        <v>9.595573256011189</v>
      </c>
      <c r="BV64" s="676">
        <v>8.0578977983525846</v>
      </c>
      <c r="BW64" s="683">
        <f>+BV64+(BX64-BV64)*(2047-2045)/(2050-2045)</f>
        <v>7.2206857158341826</v>
      </c>
      <c r="BX64" s="677">
        <v>5.9648675920565806</v>
      </c>
      <c r="BY64" s="664"/>
      <c r="BZ64" s="664"/>
      <c r="CA64" s="664"/>
      <c r="CB64" s="664"/>
      <c r="CC64" s="568"/>
      <c r="CD64" s="691"/>
      <c r="CE64" s="691"/>
      <c r="CF64" s="691"/>
      <c r="CG64" s="691"/>
      <c r="CH64" s="691"/>
      <c r="CI64" s="691"/>
      <c r="CJ64" s="691"/>
      <c r="CK64" s="691"/>
      <c r="CL64" s="691"/>
      <c r="CM64" s="691"/>
      <c r="CN64" s="691"/>
      <c r="CO64" s="691"/>
      <c r="CP64" s="691"/>
      <c r="CQ64" s="691"/>
      <c r="CR64" s="664"/>
      <c r="CS64" s="664"/>
      <c r="CT64" s="664"/>
      <c r="CU64" s="664"/>
      <c r="CV64" s="664"/>
      <c r="CW64" s="664"/>
      <c r="CX64" s="663"/>
      <c r="CY64" s="663"/>
      <c r="CZ64" s="663"/>
      <c r="DA64" s="663"/>
      <c r="DB64" s="663"/>
      <c r="DC64" s="663"/>
      <c r="DD64" s="476" t="str">
        <f t="shared" si="39"/>
        <v>Cupiagua (Cupiagua + Liria + Sur)</v>
      </c>
      <c r="DE64" s="473">
        <f t="shared" si="40"/>
        <v>48</v>
      </c>
      <c r="DF64" s="476">
        <f t="shared" si="60"/>
        <v>0</v>
      </c>
      <c r="DG64" s="476" t="str">
        <f t="shared" si="41"/>
        <v>Light Oil</v>
      </c>
      <c r="DH64" s="606">
        <f t="shared" si="32"/>
        <v>22.733323234776581</v>
      </c>
      <c r="DI64" s="607">
        <f t="shared" si="33"/>
        <v>93.265320299494704</v>
      </c>
      <c r="DJ64" s="608">
        <f t="shared" si="34"/>
        <v>0.80402078384597564</v>
      </c>
      <c r="DK64" s="608">
        <f t="shared" si="35"/>
        <v>75.291444019366892</v>
      </c>
      <c r="DL64" s="590">
        <f t="shared" si="36"/>
        <v>1113.2063878720001</v>
      </c>
      <c r="DM64" s="591">
        <f t="shared" si="37"/>
        <v>11.356378791350258</v>
      </c>
      <c r="DN64" s="609">
        <f t="shared" si="61"/>
        <v>14.103990590462988</v>
      </c>
      <c r="DO64" s="609">
        <f t="shared" si="62"/>
        <v>0.82481844578701846</v>
      </c>
      <c r="DP64" s="609">
        <f t="shared" si="63"/>
        <v>6.0840367613967006</v>
      </c>
      <c r="DQ64" s="609">
        <f t="shared" si="64"/>
        <v>3.0450672438778423</v>
      </c>
      <c r="DR64" s="609">
        <f t="shared" si="65"/>
        <v>72.252474501848027</v>
      </c>
      <c r="DS64" s="610">
        <f t="shared" si="66"/>
        <v>0.15122438378136788</v>
      </c>
      <c r="DT64" s="610">
        <f t="shared" si="67"/>
        <v>8.8437850547057762E-3</v>
      </c>
      <c r="DU64" s="610">
        <f t="shared" si="68"/>
        <v>6.5233644637251759E-2</v>
      </c>
      <c r="DV64" s="610">
        <f t="shared" si="69"/>
        <v>0.77469818652667488</v>
      </c>
      <c r="DW64" s="611">
        <f t="shared" si="70"/>
        <v>0.50050112504231359</v>
      </c>
    </row>
    <row r="65" spans="9:127" x14ac:dyDescent="0.25">
      <c r="I65" s="473" t="s">
        <v>822</v>
      </c>
      <c r="J65" s="476" t="s">
        <v>825</v>
      </c>
      <c r="K65" s="473">
        <v>52</v>
      </c>
      <c r="L65" s="476"/>
      <c r="M65" s="476" t="str">
        <f t="shared" si="38"/>
        <v>Light Oil</v>
      </c>
      <c r="N65" s="606">
        <f t="shared" si="31"/>
        <v>7.0712088472532377</v>
      </c>
      <c r="O65" s="607">
        <f t="shared" si="42"/>
        <v>83.600151440022017</v>
      </c>
      <c r="P65" s="616">
        <f t="shared" si="43"/>
        <v>0.92201276318289005</v>
      </c>
      <c r="Q65" s="608">
        <f t="shared" si="71"/>
        <v>60.807849771910234</v>
      </c>
      <c r="R65" s="609">
        <f t="shared" si="44"/>
        <v>11.187076555858232</v>
      </c>
      <c r="S65" s="609">
        <f t="shared" si="45"/>
        <v>0.42083397893088031</v>
      </c>
      <c r="T65" s="609">
        <f t="shared" si="46"/>
        <v>11.193699252036202</v>
      </c>
      <c r="U65" s="609">
        <f t="shared" si="47"/>
        <v>11.184391133322654</v>
      </c>
      <c r="V65" s="609">
        <f t="shared" si="48"/>
        <v>60.798541653196693</v>
      </c>
      <c r="W65" s="610">
        <f t="shared" si="49"/>
        <v>0.13381646280729853</v>
      </c>
      <c r="X65" s="610">
        <f t="shared" si="50"/>
        <v>5.0338901506991034E-3</v>
      </c>
      <c r="Y65" s="610">
        <f t="shared" si="51"/>
        <v>0.13389568151759862</v>
      </c>
      <c r="Z65" s="610">
        <f t="shared" si="52"/>
        <v>0.72725396552440358</v>
      </c>
      <c r="AA65" s="611">
        <f t="shared" si="53"/>
        <v>0.99916845016969213</v>
      </c>
      <c r="AB65" s="590">
        <f>+'5. GlobalData'!K10*1000*$D$26/1000</f>
        <v>170.99427644000002</v>
      </c>
      <c r="AC65" s="591">
        <f t="shared" si="54"/>
        <v>2.519102060612922</v>
      </c>
      <c r="AD65" s="604">
        <f t="shared" si="55"/>
        <v>13.335371131096654</v>
      </c>
      <c r="AE65" s="620">
        <f t="shared" si="56"/>
        <v>1.8858686568530199</v>
      </c>
      <c r="AF65" s="604">
        <f t="shared" si="72"/>
        <v>157.65890530890337</v>
      </c>
      <c r="AG65" s="621">
        <f t="shared" si="57"/>
        <v>1.8858686568530199</v>
      </c>
      <c r="AH65" s="436">
        <f t="shared" si="58"/>
        <v>90.671360287275249</v>
      </c>
      <c r="AI65" s="669">
        <f>+IF('5. GlobalData'!K115="","",'5. GlobalData'!K115)</f>
        <v>1</v>
      </c>
      <c r="AJ65" s="670">
        <f>+IF('5. GlobalData'!L115="","",'5. GlobalData'!L115)</f>
        <v>0.86406008870132311</v>
      </c>
      <c r="AK65" s="670" t="str">
        <f>+IF('5. GlobalData'!M115="","",'5. GlobalData'!M115)</f>
        <v/>
      </c>
      <c r="AL65" s="670">
        <f>+IF('5. GlobalData'!N115="","",'5. GlobalData'!N115)</f>
        <v>0.45558055767282019</v>
      </c>
      <c r="AM65" s="670" t="str">
        <f>+IF('5. GlobalData'!O115="","",'5. GlobalData'!O115)</f>
        <v/>
      </c>
      <c r="AN65" s="670" t="str">
        <f>+IF('5. GlobalData'!P115="","",'5. GlobalData'!P115)</f>
        <v/>
      </c>
      <c r="AO65" s="670" t="str">
        <f>+IF('5. GlobalData'!Q115="","",'5. GlobalData'!Q115)</f>
        <v/>
      </c>
      <c r="AP65" s="670" t="str">
        <f>+IF('5. GlobalData'!R115="","",'5. GlobalData'!R115)</f>
        <v/>
      </c>
      <c r="AQ65" s="670" t="str">
        <f>+IF('5. GlobalData'!S115="","",'5. GlobalData'!S115)</f>
        <v/>
      </c>
      <c r="AR65" s="670" t="str">
        <f>+IF('5. GlobalData'!T115="","",'5. GlobalData'!T115)</f>
        <v/>
      </c>
      <c r="AS65" s="670" t="str">
        <f>+IF('5. GlobalData'!U115="","",'5. GlobalData'!U115)</f>
        <v/>
      </c>
      <c r="AT65" s="670" t="str">
        <f>+IF('5. GlobalData'!V115="","",'5. GlobalData'!V115)</f>
        <v/>
      </c>
      <c r="AU65" s="670" t="str">
        <f>+IF('5. GlobalData'!W115="","",'5. GlobalData'!W115)</f>
        <v/>
      </c>
      <c r="AV65" s="671" t="str">
        <f>+IF('5. GlobalData'!X115="","",'5. GlobalData'!X115)</f>
        <v/>
      </c>
      <c r="AW65" s="675">
        <f t="shared" si="73"/>
        <v>90.671360287275249</v>
      </c>
      <c r="AX65" s="676">
        <f t="shared" si="74"/>
        <v>78.345503612492678</v>
      </c>
      <c r="AY65" s="676" t="str">
        <f t="shared" si="75"/>
        <v/>
      </c>
      <c r="AZ65" s="676">
        <f t="shared" si="76"/>
        <v>41.308108884630059</v>
      </c>
      <c r="BA65" s="676" t="str">
        <f t="shared" si="77"/>
        <v/>
      </c>
      <c r="BB65" s="676" t="str">
        <f t="shared" si="78"/>
        <v/>
      </c>
      <c r="BC65" s="676" t="str">
        <f t="shared" si="79"/>
        <v/>
      </c>
      <c r="BD65" s="676" t="str">
        <f t="shared" si="80"/>
        <v/>
      </c>
      <c r="BE65" s="676" t="str">
        <f t="shared" si="81"/>
        <v/>
      </c>
      <c r="BF65" s="676" t="str">
        <f t="shared" si="82"/>
        <v/>
      </c>
      <c r="BG65" s="676" t="str">
        <f t="shared" si="83"/>
        <v/>
      </c>
      <c r="BH65" s="676" t="str">
        <f t="shared" si="84"/>
        <v/>
      </c>
      <c r="BI65" s="676" t="str">
        <f t="shared" si="85"/>
        <v/>
      </c>
      <c r="BJ65" s="677" t="str">
        <f t="shared" si="86"/>
        <v/>
      </c>
      <c r="BK65" s="675">
        <v>90.671360287275249</v>
      </c>
      <c r="BL65" s="676">
        <v>78.345503612492678</v>
      </c>
      <c r="BM65" s="683">
        <f>+BL65+(BN65-BL65)*(2023-2020)/(2025-2020)</f>
        <v>56.123066775775108</v>
      </c>
      <c r="BN65" s="676">
        <v>41.308108884630059</v>
      </c>
      <c r="BO65" s="681" t="s">
        <v>1063</v>
      </c>
      <c r="BP65" s="681" t="s">
        <v>1063</v>
      </c>
      <c r="BQ65" s="681" t="s">
        <v>1063</v>
      </c>
      <c r="BR65" s="681" t="s">
        <v>1063</v>
      </c>
      <c r="BS65" s="681" t="s">
        <v>1063</v>
      </c>
      <c r="BT65" s="681" t="s">
        <v>1063</v>
      </c>
      <c r="BU65" s="681" t="s">
        <v>1063</v>
      </c>
      <c r="BV65" s="681" t="s">
        <v>1063</v>
      </c>
      <c r="BW65" s="681" t="s">
        <v>1063</v>
      </c>
      <c r="BX65" s="682" t="s">
        <v>1063</v>
      </c>
      <c r="BY65" s="664"/>
      <c r="BZ65" s="664"/>
      <c r="CA65" s="664"/>
      <c r="CB65" s="664"/>
      <c r="CC65" s="320"/>
      <c r="CD65" s="691"/>
      <c r="CE65" s="691"/>
      <c r="CF65" s="691"/>
      <c r="CG65" s="691"/>
      <c r="CH65" s="691"/>
      <c r="CI65" s="691"/>
      <c r="CJ65" s="691"/>
      <c r="CK65" s="691"/>
      <c r="CL65" s="691"/>
      <c r="CM65" s="691"/>
      <c r="CN65" s="691"/>
      <c r="CO65" s="691"/>
      <c r="CP65" s="691"/>
      <c r="CQ65" s="691"/>
      <c r="CR65" s="664"/>
      <c r="CS65" s="664"/>
      <c r="CT65" s="664"/>
      <c r="CU65" s="664"/>
      <c r="CV65" s="664"/>
      <c r="CW65" s="664"/>
      <c r="CX65" s="663"/>
      <c r="CY65" s="663"/>
      <c r="CZ65" s="663"/>
      <c r="DA65" s="663"/>
      <c r="DB65" s="663"/>
      <c r="DC65" s="663"/>
      <c r="DD65" s="476" t="str">
        <f t="shared" si="39"/>
        <v>Cusiana (Cusiana + Norte)</v>
      </c>
      <c r="DE65" s="473">
        <f t="shared" si="40"/>
        <v>52</v>
      </c>
      <c r="DF65" s="476">
        <f t="shared" si="60"/>
        <v>0</v>
      </c>
      <c r="DG65" s="476" t="str">
        <f t="shared" si="41"/>
        <v>Light Oil</v>
      </c>
      <c r="DH65" s="606">
        <f t="shared" si="32"/>
        <v>7.0712088472532377</v>
      </c>
      <c r="DI65" s="607">
        <f t="shared" si="33"/>
        <v>83.600151440022017</v>
      </c>
      <c r="DJ65" s="608">
        <f t="shared" si="34"/>
        <v>0.92201276318289005</v>
      </c>
      <c r="DK65" s="608">
        <f t="shared" si="35"/>
        <v>60.807849771910234</v>
      </c>
      <c r="DL65" s="590">
        <f t="shared" si="36"/>
        <v>170.99427644000002</v>
      </c>
      <c r="DM65" s="591">
        <f t="shared" si="37"/>
        <v>2.519102060612922</v>
      </c>
      <c r="DN65" s="609">
        <f t="shared" si="61"/>
        <v>11.187076555858232</v>
      </c>
      <c r="DO65" s="609">
        <f t="shared" si="62"/>
        <v>0.42083397893088031</v>
      </c>
      <c r="DP65" s="609">
        <f t="shared" si="63"/>
        <v>11.193699252036202</v>
      </c>
      <c r="DQ65" s="609">
        <f t="shared" si="64"/>
        <v>11.184391133322654</v>
      </c>
      <c r="DR65" s="609">
        <f t="shared" si="65"/>
        <v>60.798541653196693</v>
      </c>
      <c r="DS65" s="610">
        <f t="shared" si="66"/>
        <v>0.13381646280729853</v>
      </c>
      <c r="DT65" s="610">
        <f t="shared" si="67"/>
        <v>5.0338901506991034E-3</v>
      </c>
      <c r="DU65" s="610">
        <f t="shared" si="68"/>
        <v>0.13389568151759862</v>
      </c>
      <c r="DV65" s="610">
        <f t="shared" si="69"/>
        <v>0.72725396552440358</v>
      </c>
      <c r="DW65" s="611">
        <f t="shared" si="70"/>
        <v>0.99916845016969213</v>
      </c>
    </row>
    <row r="66" spans="9:127" x14ac:dyDescent="0.25">
      <c r="I66" s="473" t="s">
        <v>822</v>
      </c>
      <c r="J66" s="476" t="s">
        <v>827</v>
      </c>
      <c r="K66" s="473">
        <v>46</v>
      </c>
      <c r="L66" s="476"/>
      <c r="M66" s="476" t="str">
        <f t="shared" si="38"/>
        <v>Light Oil</v>
      </c>
      <c r="N66" s="606">
        <f t="shared" si="31"/>
        <v>60.007782289723188</v>
      </c>
      <c r="O66" s="607">
        <f t="shared" si="42"/>
        <v>77.441558868755962</v>
      </c>
      <c r="P66" s="616">
        <f t="shared" si="43"/>
        <v>0.56341891649713927</v>
      </c>
      <c r="Q66" s="608">
        <f t="shared" si="71"/>
        <v>73.646794341073218</v>
      </c>
      <c r="R66" s="609">
        <f t="shared" si="44"/>
        <v>3.345117782148316</v>
      </c>
      <c r="S66" s="609">
        <f t="shared" si="45"/>
        <v>0.44964674553442446</v>
      </c>
      <c r="T66" s="609">
        <f t="shared" si="46"/>
        <v>52.360166687252182</v>
      </c>
      <c r="U66" s="609">
        <f t="shared" si="47"/>
        <v>0</v>
      </c>
      <c r="V66" s="609">
        <f t="shared" si="48"/>
        <v>21.286627653821029</v>
      </c>
      <c r="W66" s="610">
        <f t="shared" si="49"/>
        <v>4.3195382828197612E-2</v>
      </c>
      <c r="X66" s="610">
        <f t="shared" si="50"/>
        <v>5.8062718791141981E-3</v>
      </c>
      <c r="Y66" s="610">
        <f t="shared" si="51"/>
        <v>0.67612490569810901</v>
      </c>
      <c r="Z66" s="610">
        <f t="shared" si="52"/>
        <v>0.27487343959457905</v>
      </c>
      <c r="AA66" s="611">
        <f t="shared" si="53"/>
        <v>0</v>
      </c>
      <c r="AB66" s="590">
        <f>+'5. GlobalData'!K11*1000*$D$26/1000</f>
        <v>800.21650656000008</v>
      </c>
      <c r="AC66" s="591">
        <f t="shared" si="54"/>
        <v>5.9871986933189376</v>
      </c>
      <c r="AD66" s="604">
        <f t="shared" si="55"/>
        <v>349.35938947083901</v>
      </c>
      <c r="AE66" s="620">
        <f t="shared" si="56"/>
        <v>5.8219013624616087</v>
      </c>
      <c r="AF66" s="604">
        <f t="shared" si="72"/>
        <v>450.85711708916119</v>
      </c>
      <c r="AG66" s="621">
        <f t="shared" si="57"/>
        <v>5.8219013624616087</v>
      </c>
      <c r="AH66" s="436">
        <f t="shared" si="58"/>
        <v>137.44934115847914</v>
      </c>
      <c r="AI66" s="669">
        <f>+IF('5. GlobalData'!K116="","",'5. GlobalData'!K116)</f>
        <v>1</v>
      </c>
      <c r="AJ66" s="670">
        <f>+IF('5. GlobalData'!L116="","",'5. GlobalData'!L116)</f>
        <v>0.96044449526690401</v>
      </c>
      <c r="AK66" s="670">
        <f>+IF('5. GlobalData'!M116="","",'5. GlobalData'!M116)</f>
        <v>0.76403745377837917</v>
      </c>
      <c r="AL66" s="670">
        <f>+IF('5. GlobalData'!N116="","",'5. GlobalData'!N116)</f>
        <v>0.56021621253703868</v>
      </c>
      <c r="AM66" s="670">
        <f>+IF('5. GlobalData'!O116="","",'5. GlobalData'!O116)</f>
        <v>0.34268343632583909</v>
      </c>
      <c r="AN66" s="670">
        <f>+IF('5. GlobalData'!P116="","",'5. GlobalData'!P116)</f>
        <v>0.2529654007733238</v>
      </c>
      <c r="AO66" s="670">
        <f>+IF('5. GlobalData'!Q116="","",'5. GlobalData'!Q116)</f>
        <v>0.17520746156244088</v>
      </c>
      <c r="AP66" s="670">
        <f>+IF('5. GlobalData'!R116="","",'5. GlobalData'!R116)</f>
        <v>0.130609198619274</v>
      </c>
      <c r="AQ66" s="670">
        <f>+IF('5. GlobalData'!S116="","",'5. GlobalData'!S116)</f>
        <v>9.8753296517011979E-2</v>
      </c>
      <c r="AR66" s="670">
        <f>+IF('5. GlobalData'!T116="","",'5. GlobalData'!T116)</f>
        <v>7.3268574835202507E-2</v>
      </c>
      <c r="AS66" s="670" t="str">
        <f>+IF('5. GlobalData'!U116="","",'5. GlobalData'!U116)</f>
        <v/>
      </c>
      <c r="AT66" s="670" t="str">
        <f>+IF('5. GlobalData'!V116="","",'5. GlobalData'!V116)</f>
        <v/>
      </c>
      <c r="AU66" s="670" t="str">
        <f>+IF('5. GlobalData'!W116="","",'5. GlobalData'!W116)</f>
        <v/>
      </c>
      <c r="AV66" s="671" t="str">
        <f>+IF('5. GlobalData'!X116="","",'5. GlobalData'!X116)</f>
        <v/>
      </c>
      <c r="AW66" s="675">
        <f t="shared" si="73"/>
        <v>137.44934115847914</v>
      </c>
      <c r="AX66" s="676">
        <f t="shared" si="74"/>
        <v>132.01246309372399</v>
      </c>
      <c r="AY66" s="676">
        <f t="shared" si="75"/>
        <v>105.01644464224017</v>
      </c>
      <c r="AZ66" s="676">
        <f t="shared" si="76"/>
        <v>77.001349319514489</v>
      </c>
      <c r="BA66" s="676">
        <f t="shared" si="77"/>
        <v>47.101612548910218</v>
      </c>
      <c r="BB66" s="676">
        <f t="shared" si="78"/>
        <v>34.769927672183989</v>
      </c>
      <c r="BC66" s="676">
        <f t="shared" si="79"/>
        <v>24.082150157807057</v>
      </c>
      <c r="BD66" s="676">
        <f t="shared" si="80"/>
        <v>17.952148299456155</v>
      </c>
      <c r="BE66" s="676">
        <f t="shared" si="81"/>
        <v>13.573575543491229</v>
      </c>
      <c r="BF66" s="676">
        <f t="shared" si="82"/>
        <v>10.070717338719309</v>
      </c>
      <c r="BG66" s="676" t="str">
        <f t="shared" si="83"/>
        <v/>
      </c>
      <c r="BH66" s="676" t="str">
        <f t="shared" si="84"/>
        <v/>
      </c>
      <c r="BI66" s="676" t="str">
        <f t="shared" si="85"/>
        <v/>
      </c>
      <c r="BJ66" s="677" t="str">
        <f t="shared" si="86"/>
        <v/>
      </c>
      <c r="BK66" s="675">
        <v>137.44934115847914</v>
      </c>
      <c r="BL66" s="676">
        <v>132.01246309372399</v>
      </c>
      <c r="BM66" s="676">
        <v>105.01644464224017</v>
      </c>
      <c r="BN66" s="676">
        <v>77.001349319514489</v>
      </c>
      <c r="BO66" s="676">
        <v>47.101612548910218</v>
      </c>
      <c r="BP66" s="676">
        <v>34.769927672183989</v>
      </c>
      <c r="BQ66" s="676">
        <v>24.082150157807057</v>
      </c>
      <c r="BR66" s="676">
        <v>17.952148299456155</v>
      </c>
      <c r="BS66" s="676">
        <v>13.573575543491229</v>
      </c>
      <c r="BT66" s="676">
        <v>10.070717338719309</v>
      </c>
      <c r="BU66" s="681" t="s">
        <v>1063</v>
      </c>
      <c r="BV66" s="681" t="s">
        <v>1063</v>
      </c>
      <c r="BW66" s="681" t="s">
        <v>1063</v>
      </c>
      <c r="BX66" s="682" t="s">
        <v>1063</v>
      </c>
      <c r="BY66" s="664"/>
      <c r="BZ66" s="664"/>
      <c r="CA66" s="664"/>
      <c r="CB66" s="664"/>
      <c r="CC66" s="320"/>
      <c r="CD66" s="691"/>
      <c r="CE66" s="691"/>
      <c r="CF66" s="691"/>
      <c r="CG66" s="691"/>
      <c r="CH66" s="691"/>
      <c r="CI66" s="691"/>
      <c r="CJ66" s="691"/>
      <c r="CK66" s="691"/>
      <c r="CL66" s="691"/>
      <c r="CM66" s="691"/>
      <c r="CN66" s="691"/>
      <c r="CO66" s="691"/>
      <c r="CP66" s="691"/>
      <c r="CQ66" s="691"/>
      <c r="CR66" s="664"/>
      <c r="CS66" s="664"/>
      <c r="CT66" s="664"/>
      <c r="CU66" s="664"/>
      <c r="CV66" s="664"/>
      <c r="CW66" s="664"/>
      <c r="CX66" s="663"/>
      <c r="CY66" s="663"/>
      <c r="CZ66" s="663"/>
      <c r="DA66" s="663"/>
      <c r="DB66" s="663"/>
      <c r="DC66" s="663"/>
      <c r="DD66" s="476" t="str">
        <f t="shared" si="39"/>
        <v>Pauto Sur (Sur + Recetor)</v>
      </c>
      <c r="DE66" s="473">
        <f t="shared" si="40"/>
        <v>46</v>
      </c>
      <c r="DF66" s="476">
        <f t="shared" si="60"/>
        <v>0</v>
      </c>
      <c r="DG66" s="476" t="str">
        <f t="shared" si="41"/>
        <v>Light Oil</v>
      </c>
      <c r="DH66" s="606">
        <f t="shared" si="32"/>
        <v>60.007782289723188</v>
      </c>
      <c r="DI66" s="607">
        <f t="shared" si="33"/>
        <v>77.441558868755962</v>
      </c>
      <c r="DJ66" s="608">
        <f t="shared" si="34"/>
        <v>0.56341891649713927</v>
      </c>
      <c r="DK66" s="608">
        <f t="shared" si="35"/>
        <v>73.646794341073218</v>
      </c>
      <c r="DL66" s="590">
        <f t="shared" si="36"/>
        <v>800.21650656000008</v>
      </c>
      <c r="DM66" s="591">
        <f t="shared" si="37"/>
        <v>5.9871986933189376</v>
      </c>
      <c r="DN66" s="609">
        <f t="shared" si="61"/>
        <v>3.345117782148316</v>
      </c>
      <c r="DO66" s="609">
        <f t="shared" si="62"/>
        <v>0.44964674553442446</v>
      </c>
      <c r="DP66" s="609">
        <f t="shared" si="63"/>
        <v>52.360166687252182</v>
      </c>
      <c r="DQ66" s="609">
        <f t="shared" si="64"/>
        <v>0</v>
      </c>
      <c r="DR66" s="609">
        <f t="shared" si="65"/>
        <v>21.286627653821029</v>
      </c>
      <c r="DS66" s="610">
        <f t="shared" si="66"/>
        <v>4.3195382828197612E-2</v>
      </c>
      <c r="DT66" s="610">
        <f t="shared" si="67"/>
        <v>5.8062718791141981E-3</v>
      </c>
      <c r="DU66" s="610">
        <f t="shared" si="68"/>
        <v>0.67612490569810901</v>
      </c>
      <c r="DV66" s="610">
        <f t="shared" si="69"/>
        <v>0.27487343959457905</v>
      </c>
      <c r="DW66" s="611">
        <f t="shared" si="70"/>
        <v>0</v>
      </c>
    </row>
    <row r="67" spans="9:127" x14ac:dyDescent="0.25">
      <c r="I67" s="473" t="s">
        <v>822</v>
      </c>
      <c r="J67" s="476" t="s">
        <v>828</v>
      </c>
      <c r="K67" s="473">
        <f>44+((47-44)/2)</f>
        <v>45.5</v>
      </c>
      <c r="L67" s="476"/>
      <c r="M67" s="476" t="str">
        <f t="shared" si="38"/>
        <v>Light Oil</v>
      </c>
      <c r="N67" s="606">
        <f t="shared" si="31"/>
        <v>17.796808939248596</v>
      </c>
      <c r="O67" s="612">
        <f t="shared" si="42"/>
        <v>1.7694814439043327</v>
      </c>
      <c r="P67" s="616">
        <f t="shared" si="43"/>
        <v>9.0435203058618671E-2</v>
      </c>
      <c r="Q67" s="608">
        <f t="shared" si="71"/>
        <v>0</v>
      </c>
      <c r="R67" s="614">
        <f t="shared" si="44"/>
        <v>0.2018105131061125</v>
      </c>
      <c r="S67" s="614">
        <f t="shared" si="45"/>
        <v>1.5676709307982222</v>
      </c>
      <c r="T67" s="609">
        <f t="shared" si="46"/>
        <v>0</v>
      </c>
      <c r="U67" s="609">
        <f t="shared" si="47"/>
        <v>0</v>
      </c>
      <c r="V67" s="609">
        <f t="shared" si="48"/>
        <v>0</v>
      </c>
      <c r="W67" s="610">
        <f t="shared" si="49"/>
        <v>0.11405065241081071</v>
      </c>
      <c r="X67" s="610">
        <f t="shared" si="50"/>
        <v>0.88594934758919042</v>
      </c>
      <c r="Y67" s="610">
        <f t="shared" si="51"/>
        <v>0</v>
      </c>
      <c r="Z67" s="610">
        <f t="shared" si="52"/>
        <v>0</v>
      </c>
      <c r="AA67" s="611" t="str">
        <f t="shared" si="53"/>
        <v>-</v>
      </c>
      <c r="AB67" s="590">
        <f>+'5. GlobalData'!K12*1000*$D$26/1000</f>
        <v>97.824632567999998</v>
      </c>
      <c r="AC67" s="591">
        <f t="shared" si="54"/>
        <v>5.4967512941188144</v>
      </c>
      <c r="AD67" s="604">
        <f t="shared" si="55"/>
        <v>88.977842057578158</v>
      </c>
      <c r="AE67" s="620">
        <f t="shared" si="56"/>
        <v>4.9996514746724543</v>
      </c>
      <c r="AF67" s="604">
        <f t="shared" si="72"/>
        <v>8.8467905104218403</v>
      </c>
      <c r="AG67" s="621">
        <f t="shared" si="57"/>
        <v>4.9996514746724543</v>
      </c>
      <c r="AH67" s="436">
        <f t="shared" si="58"/>
        <v>19.566290383152928</v>
      </c>
      <c r="AI67" s="669">
        <f>+IF('5. GlobalData'!K117="","",'5. GlobalData'!K117)</f>
        <v>1</v>
      </c>
      <c r="AJ67" s="670">
        <f>+IF('5. GlobalData'!L117="","",'5. GlobalData'!L117)</f>
        <v>0.7022515504416712</v>
      </c>
      <c r="AK67" s="670">
        <f>+IF('5. GlobalData'!M117="","",'5. GlobalData'!M117)</f>
        <v>0.58616858919918358</v>
      </c>
      <c r="AL67" s="670">
        <f>+IF('5. GlobalData'!N117="","",'5. GlobalData'!N117)</f>
        <v>0.42817637636521416</v>
      </c>
      <c r="AM67" s="670">
        <f>+IF('5. GlobalData'!O117="","",'5. GlobalData'!O117)</f>
        <v>9.1480351034879059E-2</v>
      </c>
      <c r="AN67" s="670">
        <f>+IF('5. GlobalData'!P117="","",'5. GlobalData'!P117)</f>
        <v>0.21313263520085107</v>
      </c>
      <c r="AO67" s="670" t="str">
        <f>+IF('5. GlobalData'!Q117="","",'5. GlobalData'!Q117)</f>
        <v/>
      </c>
      <c r="AP67" s="670">
        <f>+IF('5. GlobalData'!R117="","",'5. GlobalData'!R117)</f>
        <v>0.10189613777718962</v>
      </c>
      <c r="AQ67" s="670" t="str">
        <f>+IF('5. GlobalData'!S117="","",'5. GlobalData'!S117)</f>
        <v/>
      </c>
      <c r="AR67" s="670">
        <f>+IF('5. GlobalData'!T117="","",'5. GlobalData'!T117)</f>
        <v>7.2782955555135476E-2</v>
      </c>
      <c r="AS67" s="670" t="str">
        <f>+IF('5. GlobalData'!U117="","",'5. GlobalData'!U117)</f>
        <v/>
      </c>
      <c r="AT67" s="670">
        <f>+IF('5. GlobalData'!V117="","",'5. GlobalData'!V117)</f>
        <v>5.2933058585553035E-2</v>
      </c>
      <c r="AU67" s="670" t="str">
        <f>+IF('5. GlobalData'!W117="","",'5. GlobalData'!W117)</f>
        <v/>
      </c>
      <c r="AV67" s="671">
        <f>+IF('5. GlobalData'!X117="","",'5. GlobalData'!X117)</f>
        <v>3.7053141009887144E-2</v>
      </c>
      <c r="AW67" s="675">
        <f t="shared" si="73"/>
        <v>19.566290383152928</v>
      </c>
      <c r="AX67" s="676">
        <f t="shared" si="74"/>
        <v>13.740457757961105</v>
      </c>
      <c r="AY67" s="676">
        <f t="shared" si="75"/>
        <v>11.469144829754304</v>
      </c>
      <c r="AZ67" s="676">
        <f t="shared" si="76"/>
        <v>8.3778233151679586</v>
      </c>
      <c r="BA67" s="676">
        <f t="shared" si="77"/>
        <v>1.7899311127012081</v>
      </c>
      <c r="BB67" s="676">
        <f t="shared" si="78"/>
        <v>4.170215030466454</v>
      </c>
      <c r="BC67" s="676" t="str">
        <f t="shared" si="79"/>
        <v/>
      </c>
      <c r="BD67" s="676">
        <f t="shared" si="80"/>
        <v>1.9937294206702509</v>
      </c>
      <c r="BE67" s="676" t="str">
        <f t="shared" si="81"/>
        <v/>
      </c>
      <c r="BF67" s="676">
        <f t="shared" si="82"/>
        <v>1.4240924433358944</v>
      </c>
      <c r="BG67" s="676" t="str">
        <f t="shared" si="83"/>
        <v/>
      </c>
      <c r="BH67" s="676">
        <f t="shared" si="84"/>
        <v>1.0357035951533768</v>
      </c>
      <c r="BI67" s="676" t="str">
        <f t="shared" si="85"/>
        <v/>
      </c>
      <c r="BJ67" s="677">
        <f t="shared" si="86"/>
        <v>0.72499251660736419</v>
      </c>
      <c r="BK67" s="675">
        <v>19.566290383152928</v>
      </c>
      <c r="BL67" s="676">
        <v>13.740457757961105</v>
      </c>
      <c r="BM67" s="676">
        <v>11.469144829754304</v>
      </c>
      <c r="BN67" s="676">
        <v>8.3778233151679586</v>
      </c>
      <c r="BO67" s="676">
        <v>1.7899311127012081</v>
      </c>
      <c r="BP67" s="676">
        <v>4.170215030466454</v>
      </c>
      <c r="BQ67" s="683">
        <f>+BP67+(BR67-BP67)*(2033-2030)/(2035-2030)</f>
        <v>2.8643236645887322</v>
      </c>
      <c r="BR67" s="676">
        <v>1.9937294206702509</v>
      </c>
      <c r="BS67" s="683">
        <f>+BR67+(BT67-BR67)*(2037-2035)/(2040-2035)</f>
        <v>1.7658746297365082</v>
      </c>
      <c r="BT67" s="676">
        <v>1.4240924433358944</v>
      </c>
      <c r="BU67" s="683">
        <f>+BT67+(BV67-BT67)*(2043-2040)/(2045-2040)</f>
        <v>1.1910591344263839</v>
      </c>
      <c r="BV67" s="676">
        <v>1.0357035951533768</v>
      </c>
      <c r="BW67" s="683">
        <f>+BV67+(BX67-BV67)*(2047-2045)/(2050-2045)</f>
        <v>0.91141916373497178</v>
      </c>
      <c r="BX67" s="677">
        <v>0.72499251660736419</v>
      </c>
      <c r="BY67" s="664"/>
      <c r="BZ67" s="664"/>
      <c r="CA67" s="664"/>
      <c r="CB67" s="664"/>
      <c r="CC67" s="320"/>
      <c r="CD67" s="691"/>
      <c r="CE67" s="691"/>
      <c r="CF67" s="691"/>
      <c r="CG67" s="691"/>
      <c r="CH67" s="691"/>
      <c r="CI67" s="691"/>
      <c r="CJ67" s="691"/>
      <c r="CK67" s="691"/>
      <c r="CL67" s="691"/>
      <c r="CM67" s="691"/>
      <c r="CN67" s="691"/>
      <c r="CO67" s="691"/>
      <c r="CP67" s="691"/>
      <c r="CQ67" s="691"/>
      <c r="CR67" s="664"/>
      <c r="CS67" s="664"/>
      <c r="CT67" s="664"/>
      <c r="CU67" s="664"/>
      <c r="CV67" s="664"/>
      <c r="CW67" s="664"/>
      <c r="CX67" s="663"/>
      <c r="CY67" s="663"/>
      <c r="CZ67" s="663"/>
      <c r="DA67" s="663"/>
      <c r="DB67" s="663"/>
      <c r="DC67" s="663"/>
      <c r="DD67" s="476" t="str">
        <f t="shared" si="39"/>
        <v>Floreña (Floreña + Mirador)</v>
      </c>
      <c r="DE67" s="473">
        <f t="shared" si="40"/>
        <v>45.5</v>
      </c>
      <c r="DF67" s="476">
        <f t="shared" si="60"/>
        <v>0</v>
      </c>
      <c r="DG67" s="476" t="str">
        <f t="shared" si="41"/>
        <v>Light Oil</v>
      </c>
      <c r="DH67" s="606">
        <f t="shared" si="32"/>
        <v>17.796808939248596</v>
      </c>
      <c r="DI67" s="612">
        <f t="shared" si="33"/>
        <v>1.7694814439043327</v>
      </c>
      <c r="DJ67" s="613">
        <f t="shared" si="34"/>
        <v>9.0435203058618671E-2</v>
      </c>
      <c r="DK67" s="608">
        <f t="shared" si="35"/>
        <v>0</v>
      </c>
      <c r="DL67" s="590">
        <f t="shared" si="36"/>
        <v>97.824632567999998</v>
      </c>
      <c r="DM67" s="591">
        <f t="shared" si="37"/>
        <v>5.4967512941188144</v>
      </c>
      <c r="DN67" s="614">
        <f t="shared" si="61"/>
        <v>0.2018105131061125</v>
      </c>
      <c r="DO67" s="614">
        <f t="shared" si="62"/>
        <v>1.5676709307982222</v>
      </c>
      <c r="DP67" s="609">
        <f t="shared" si="63"/>
        <v>0</v>
      </c>
      <c r="DQ67" s="609">
        <f t="shared" si="64"/>
        <v>0</v>
      </c>
      <c r="DR67" s="609">
        <f t="shared" si="65"/>
        <v>0</v>
      </c>
      <c r="DS67" s="610">
        <f t="shared" si="66"/>
        <v>0.11405065241081071</v>
      </c>
      <c r="DT67" s="610">
        <f t="shared" si="67"/>
        <v>0.88594934758919042</v>
      </c>
      <c r="DU67" s="610">
        <f t="shared" si="68"/>
        <v>0</v>
      </c>
      <c r="DV67" s="610">
        <f t="shared" si="69"/>
        <v>0</v>
      </c>
      <c r="DW67" s="611" t="str">
        <f t="shared" si="70"/>
        <v>-</v>
      </c>
    </row>
    <row r="68" spans="9:127" x14ac:dyDescent="0.25">
      <c r="I68" s="473" t="s">
        <v>822</v>
      </c>
      <c r="J68" s="476" t="s">
        <v>841</v>
      </c>
      <c r="K68" s="473">
        <f>11.3+(14.4-11.3)/2</f>
        <v>12.850000000000001</v>
      </c>
      <c r="L68" s="476"/>
      <c r="M68" s="476" t="str">
        <f t="shared" si="38"/>
        <v>Heavy Oil</v>
      </c>
      <c r="N68" s="606">
        <f t="shared" si="31"/>
        <v>265.08224689210181</v>
      </c>
      <c r="O68" s="607">
        <f t="shared" si="42"/>
        <v>0</v>
      </c>
      <c r="P68" s="616">
        <f t="shared" si="43"/>
        <v>0</v>
      </c>
      <c r="Q68" s="608">
        <f t="shared" si="71"/>
        <v>0</v>
      </c>
      <c r="R68" s="609">
        <f t="shared" si="44"/>
        <v>0</v>
      </c>
      <c r="S68" s="609">
        <f t="shared" si="45"/>
        <v>0</v>
      </c>
      <c r="T68" s="609">
        <f t="shared" si="46"/>
        <v>0</v>
      </c>
      <c r="U68" s="609">
        <f t="shared" si="47"/>
        <v>0</v>
      </c>
      <c r="V68" s="609">
        <f t="shared" si="48"/>
        <v>0</v>
      </c>
      <c r="W68" s="610" t="str">
        <f t="shared" si="49"/>
        <v>-</v>
      </c>
      <c r="X68" s="610" t="str">
        <f t="shared" si="50"/>
        <v>-</v>
      </c>
      <c r="Y68" s="610" t="str">
        <f t="shared" si="51"/>
        <v>-</v>
      </c>
      <c r="Z68" s="610" t="str">
        <f t="shared" si="52"/>
        <v>-</v>
      </c>
      <c r="AA68" s="611" t="str">
        <f t="shared" si="53"/>
        <v>-</v>
      </c>
      <c r="AB68" s="590">
        <f>+'5. GlobalData'!K13*1000*$D$26/1000</f>
        <v>1669.56486728</v>
      </c>
      <c r="AC68" s="591">
        <f t="shared" si="54"/>
        <v>6.2982900094383689</v>
      </c>
      <c r="AD68" s="604">
        <f t="shared" si="55"/>
        <v>1669.56486728</v>
      </c>
      <c r="AE68" s="620">
        <f t="shared" si="56"/>
        <v>6.2982900094383689</v>
      </c>
      <c r="AF68" s="604">
        <f t="shared" si="72"/>
        <v>0</v>
      </c>
      <c r="AG68" s="621" t="str">
        <f t="shared" si="57"/>
        <v>-</v>
      </c>
      <c r="AH68" s="436">
        <f t="shared" si="58"/>
        <v>265.08224689210181</v>
      </c>
      <c r="AI68" s="669">
        <f>+IF('5. GlobalData'!K118="","",'5. GlobalData'!K118)</f>
        <v>1</v>
      </c>
      <c r="AJ68" s="670">
        <f>+IF('5. GlobalData'!L118="","",'5. GlobalData'!L118)</f>
        <v>0.94294294294294301</v>
      </c>
      <c r="AK68" s="670" t="str">
        <f>+IF('5. GlobalData'!M118="","",'5. GlobalData'!M118)</f>
        <v/>
      </c>
      <c r="AL68" s="670">
        <f>+IF('5. GlobalData'!N118="","",'5. GlobalData'!N118)</f>
        <v>0.63063063063063063</v>
      </c>
      <c r="AM68" s="670" t="str">
        <f>+IF('5. GlobalData'!O118="","",'5. GlobalData'!O118)</f>
        <v/>
      </c>
      <c r="AN68" s="670">
        <f>+IF('5. GlobalData'!P118="","",'5. GlobalData'!P118)</f>
        <v>0.33033033033033032</v>
      </c>
      <c r="AO68" s="670" t="str">
        <f>+IF('5. GlobalData'!Q118="","",'5. GlobalData'!Q118)</f>
        <v/>
      </c>
      <c r="AP68" s="670">
        <f>+IF('5. GlobalData'!R118="","",'5. GlobalData'!R118)</f>
        <v>0.21021021021021014</v>
      </c>
      <c r="AQ68" s="670" t="str">
        <f>+IF('5. GlobalData'!S118="","",'5. GlobalData'!S118)</f>
        <v/>
      </c>
      <c r="AR68" s="670" t="str">
        <f>+IF('5. GlobalData'!T118="","",'5. GlobalData'!T118)</f>
        <v/>
      </c>
      <c r="AS68" s="670" t="str">
        <f>+IF('5. GlobalData'!U118="","",'5. GlobalData'!U118)</f>
        <v/>
      </c>
      <c r="AT68" s="670" t="str">
        <f>+IF('5. GlobalData'!V118="","",'5. GlobalData'!V118)</f>
        <v/>
      </c>
      <c r="AU68" s="670" t="str">
        <f>+IF('5. GlobalData'!W118="","",'5. GlobalData'!W118)</f>
        <v/>
      </c>
      <c r="AV68" s="671" t="str">
        <f>+IF('5. GlobalData'!X118="","",'5. GlobalData'!X118)</f>
        <v/>
      </c>
      <c r="AW68" s="675">
        <f t="shared" si="73"/>
        <v>265.08224689210181</v>
      </c>
      <c r="AX68" s="676">
        <f t="shared" si="74"/>
        <v>249.9574340063663</v>
      </c>
      <c r="AY68" s="676" t="str">
        <f t="shared" si="75"/>
        <v/>
      </c>
      <c r="AZ68" s="676">
        <f t="shared" si="76"/>
        <v>167.1689845265507</v>
      </c>
      <c r="BA68" s="676" t="str">
        <f t="shared" si="77"/>
        <v/>
      </c>
      <c r="BB68" s="676">
        <f t="shared" si="78"/>
        <v>87.564706180574163</v>
      </c>
      <c r="BC68" s="676" t="str">
        <f t="shared" si="79"/>
        <v/>
      </c>
      <c r="BD68" s="676">
        <f t="shared" si="80"/>
        <v>55.722994842183546</v>
      </c>
      <c r="BE68" s="676" t="str">
        <f t="shared" si="81"/>
        <v/>
      </c>
      <c r="BF68" s="676" t="str">
        <f t="shared" si="82"/>
        <v/>
      </c>
      <c r="BG68" s="676" t="str">
        <f t="shared" si="83"/>
        <v/>
      </c>
      <c r="BH68" s="676" t="str">
        <f t="shared" si="84"/>
        <v/>
      </c>
      <c r="BI68" s="676" t="str">
        <f t="shared" si="85"/>
        <v/>
      </c>
      <c r="BJ68" s="677" t="str">
        <f t="shared" si="86"/>
        <v/>
      </c>
      <c r="BK68" s="675">
        <v>265.08224689210181</v>
      </c>
      <c r="BL68" s="676">
        <v>249.9574340063663</v>
      </c>
      <c r="BM68" s="683">
        <f>+BL68+(BN68-BL68)*(2023-2020)/(2025-2020)</f>
        <v>200.28436431847695</v>
      </c>
      <c r="BN68" s="676">
        <v>167.1689845265507</v>
      </c>
      <c r="BO68" s="683">
        <f t="shared" ref="BO68:BO74" si="87">+BN68+(BP68-BN68)*(2027-2025)/(2030-2025)</f>
        <v>135.32727318816009</v>
      </c>
      <c r="BP68" s="676">
        <v>87.564706180574163</v>
      </c>
      <c r="BQ68" s="683">
        <f>+BP68+(BR68-BP68)*(2033-2030)/(2035-2030)</f>
        <v>68.4596793775398</v>
      </c>
      <c r="BR68" s="676">
        <v>55.722994842183546</v>
      </c>
      <c r="BS68" s="681" t="s">
        <v>1063</v>
      </c>
      <c r="BT68" s="681" t="s">
        <v>1063</v>
      </c>
      <c r="BU68" s="681" t="s">
        <v>1063</v>
      </c>
      <c r="BV68" s="681" t="s">
        <v>1063</v>
      </c>
      <c r="BW68" s="681" t="s">
        <v>1063</v>
      </c>
      <c r="BX68" s="682" t="s">
        <v>1063</v>
      </c>
      <c r="BY68" s="664"/>
      <c r="BZ68" s="664"/>
      <c r="CA68" s="664"/>
      <c r="CB68" s="664"/>
      <c r="CC68" s="320"/>
      <c r="CD68" s="691"/>
      <c r="CE68" s="691"/>
      <c r="CF68" s="691"/>
      <c r="CG68" s="691"/>
      <c r="CH68" s="691"/>
      <c r="CI68" s="691"/>
      <c r="CJ68" s="691"/>
      <c r="CK68" s="691"/>
      <c r="CL68" s="691"/>
      <c r="CM68" s="691"/>
      <c r="CN68" s="691"/>
      <c r="CO68" s="691"/>
      <c r="CP68" s="691"/>
      <c r="CQ68" s="691"/>
      <c r="CR68" s="664"/>
      <c r="CS68" s="664"/>
      <c r="CT68" s="664"/>
      <c r="CU68" s="664"/>
      <c r="CV68" s="664"/>
      <c r="CW68" s="664"/>
      <c r="CX68" s="663"/>
      <c r="CY68" s="663"/>
      <c r="CZ68" s="663"/>
      <c r="DA68" s="663"/>
      <c r="DB68" s="663"/>
      <c r="DC68" s="663"/>
      <c r="DD68" s="476" t="str">
        <f t="shared" si="39"/>
        <v>Rubiales</v>
      </c>
      <c r="DE68" s="473">
        <f t="shared" si="40"/>
        <v>12.850000000000001</v>
      </c>
      <c r="DF68" s="476">
        <f t="shared" si="60"/>
        <v>0</v>
      </c>
      <c r="DG68" s="476" t="str">
        <f t="shared" si="41"/>
        <v>Heavy Oil</v>
      </c>
      <c r="DH68" s="606">
        <f t="shared" si="32"/>
        <v>265.08224689210181</v>
      </c>
      <c r="DI68" s="607">
        <f t="shared" si="33"/>
        <v>0</v>
      </c>
      <c r="DJ68" s="608">
        <f t="shared" si="34"/>
        <v>0</v>
      </c>
      <c r="DK68" s="608">
        <f t="shared" si="35"/>
        <v>0</v>
      </c>
      <c r="DL68" s="590">
        <f t="shared" si="36"/>
        <v>1669.56486728</v>
      </c>
      <c r="DM68" s="591">
        <f t="shared" si="37"/>
        <v>6.2982900094383689</v>
      </c>
      <c r="DN68" s="609">
        <f t="shared" si="61"/>
        <v>0</v>
      </c>
      <c r="DO68" s="609">
        <f t="shared" si="62"/>
        <v>0</v>
      </c>
      <c r="DP68" s="609">
        <f t="shared" si="63"/>
        <v>0</v>
      </c>
      <c r="DQ68" s="609">
        <f t="shared" si="64"/>
        <v>0</v>
      </c>
      <c r="DR68" s="609">
        <f t="shared" si="65"/>
        <v>0</v>
      </c>
      <c r="DS68" s="610" t="str">
        <f t="shared" si="66"/>
        <v>-</v>
      </c>
      <c r="DT68" s="610" t="str">
        <f t="shared" si="67"/>
        <v>-</v>
      </c>
      <c r="DU68" s="610" t="str">
        <f t="shared" si="68"/>
        <v>-</v>
      </c>
      <c r="DV68" s="610" t="str">
        <f t="shared" si="69"/>
        <v>-</v>
      </c>
      <c r="DW68" s="611" t="str">
        <f t="shared" si="70"/>
        <v>-</v>
      </c>
    </row>
    <row r="69" spans="9:127" x14ac:dyDescent="0.25">
      <c r="I69" s="473" t="s">
        <v>822</v>
      </c>
      <c r="J69" s="476" t="s">
        <v>843</v>
      </c>
      <c r="K69" s="473">
        <v>13.7</v>
      </c>
      <c r="L69" s="476"/>
      <c r="M69" s="476" t="str">
        <f t="shared" si="38"/>
        <v>Heavy Oil</v>
      </c>
      <c r="N69" s="606">
        <f t="shared" si="31"/>
        <v>253.41187670697005</v>
      </c>
      <c r="O69" s="607">
        <f t="shared" si="42"/>
        <v>0</v>
      </c>
      <c r="P69" s="616">
        <f t="shared" si="43"/>
        <v>0</v>
      </c>
      <c r="Q69" s="608">
        <f t="shared" si="71"/>
        <v>0</v>
      </c>
      <c r="R69" s="609">
        <f t="shared" si="44"/>
        <v>0</v>
      </c>
      <c r="S69" s="609">
        <f t="shared" si="45"/>
        <v>0</v>
      </c>
      <c r="T69" s="609">
        <f t="shared" si="46"/>
        <v>0</v>
      </c>
      <c r="U69" s="609">
        <f t="shared" si="47"/>
        <v>0</v>
      </c>
      <c r="V69" s="609">
        <f t="shared" si="48"/>
        <v>0</v>
      </c>
      <c r="W69" s="610" t="str">
        <f t="shared" si="49"/>
        <v>-</v>
      </c>
      <c r="X69" s="610" t="str">
        <f t="shared" si="50"/>
        <v>-</v>
      </c>
      <c r="Y69" s="610" t="str">
        <f t="shared" si="51"/>
        <v>-</v>
      </c>
      <c r="Z69" s="610" t="str">
        <f t="shared" si="52"/>
        <v>-</v>
      </c>
      <c r="AA69" s="611" t="str">
        <f t="shared" si="53"/>
        <v>-</v>
      </c>
      <c r="AB69" s="590">
        <f>+'5. GlobalData'!K14*1000*$D$26/1000</f>
        <v>4270.0237990719988</v>
      </c>
      <c r="AC69" s="591">
        <f t="shared" si="54"/>
        <v>16.850132892585744</v>
      </c>
      <c r="AD69" s="604">
        <f t="shared" si="55"/>
        <v>4270.0237990719988</v>
      </c>
      <c r="AE69" s="620">
        <f t="shared" si="56"/>
        <v>16.850132892585744</v>
      </c>
      <c r="AF69" s="604">
        <f t="shared" si="72"/>
        <v>0</v>
      </c>
      <c r="AG69" s="621" t="str">
        <f t="shared" si="57"/>
        <v>-</v>
      </c>
      <c r="AH69" s="436">
        <f t="shared" si="58"/>
        <v>253.41187670697005</v>
      </c>
      <c r="AI69" s="669">
        <f>+IF('5. GlobalData'!K119="","",'5. GlobalData'!K119)</f>
        <v>1</v>
      </c>
      <c r="AJ69" s="670">
        <f>+IF('5. GlobalData'!L119="","",'5. GlobalData'!L119)</f>
        <v>1.0012894214427195</v>
      </c>
      <c r="AK69" s="670">
        <f>+IF('5. GlobalData'!M119="","",'5. GlobalData'!M119)</f>
        <v>0.35607871645765971</v>
      </c>
      <c r="AL69" s="670">
        <f>+IF('5. GlobalData'!N119="","",'5. GlobalData'!N119)</f>
        <v>0.33763385686230518</v>
      </c>
      <c r="AM69" s="670" t="str">
        <f>+IF('5. GlobalData'!O119="","",'5. GlobalData'!O119)</f>
        <v/>
      </c>
      <c r="AN69" s="670">
        <f>+IF('5. GlobalData'!P119="","",'5. GlobalData'!P119)</f>
        <v>0.49761789504066278</v>
      </c>
      <c r="AO69" s="670" t="str">
        <f>+IF('5. GlobalData'!Q119="","",'5. GlobalData'!Q119)</f>
        <v/>
      </c>
      <c r="AP69" s="670">
        <f>+IF('5. GlobalData'!R119="","",'5. GlobalData'!R119)</f>
        <v>0.12629478276421213</v>
      </c>
      <c r="AQ69" s="670">
        <f>+IF('5. GlobalData'!S119="","",'5. GlobalData'!S119)</f>
        <v>6.1426571134911363E-4</v>
      </c>
      <c r="AR69" s="670">
        <f>+IF('5. GlobalData'!T119="","",'5. GlobalData'!T119)</f>
        <v>0.23507508782112307</v>
      </c>
      <c r="AS69" s="670" t="str">
        <f>+IF('5. GlobalData'!U119="","",'5. GlobalData'!U119)</f>
        <v/>
      </c>
      <c r="AT69" s="670" t="str">
        <f>+IF('5. GlobalData'!V119="","",'5. GlobalData'!V119)</f>
        <v/>
      </c>
      <c r="AU69" s="670" t="str">
        <f>+IF('5. GlobalData'!W119="","",'5. GlobalData'!W119)</f>
        <v/>
      </c>
      <c r="AV69" s="671">
        <f>+IF('5. GlobalData'!X119="","",'5. GlobalData'!X119)</f>
        <v>0.18857198140150916</v>
      </c>
      <c r="AW69" s="675">
        <f t="shared" si="73"/>
        <v>253.41187670697005</v>
      </c>
      <c r="AX69" s="676">
        <f t="shared" si="74"/>
        <v>253.73863141463579</v>
      </c>
      <c r="AY69" s="676">
        <f t="shared" si="75"/>
        <v>90.234575792944611</v>
      </c>
      <c r="AZ69" s="676">
        <f t="shared" si="76"/>
        <v>85.560429307289255</v>
      </c>
      <c r="BA69" s="676" t="str">
        <f t="shared" si="77"/>
        <v/>
      </c>
      <c r="BB69" s="676">
        <f t="shared" si="78"/>
        <v>126.10228466522641</v>
      </c>
      <c r="BC69" s="676" t="str">
        <f t="shared" si="79"/>
        <v/>
      </c>
      <c r="BD69" s="676">
        <f t="shared" si="80"/>
        <v>32.004597918578092</v>
      </c>
      <c r="BE69" s="676">
        <f t="shared" si="81"/>
        <v>0.15566222670972082</v>
      </c>
      <c r="BF69" s="676">
        <f t="shared" si="82"/>
        <v>59.570819171806598</v>
      </c>
      <c r="BG69" s="676" t="str">
        <f t="shared" si="83"/>
        <v/>
      </c>
      <c r="BH69" s="676" t="str">
        <f t="shared" si="84"/>
        <v/>
      </c>
      <c r="BI69" s="676" t="str">
        <f t="shared" si="85"/>
        <v/>
      </c>
      <c r="BJ69" s="677">
        <f t="shared" si="86"/>
        <v>47.786379701308284</v>
      </c>
      <c r="BK69" s="675">
        <v>253.41187670697005</v>
      </c>
      <c r="BL69" s="676">
        <v>253.73863141463579</v>
      </c>
      <c r="BM69" s="676">
        <v>90.234575792944611</v>
      </c>
      <c r="BN69" s="676">
        <v>85.560429307289255</v>
      </c>
      <c r="BO69" s="683">
        <f t="shared" si="87"/>
        <v>101.77717145046412</v>
      </c>
      <c r="BP69" s="676">
        <v>126.10228466522641</v>
      </c>
      <c r="BQ69" s="683">
        <f>+BP69+(BR69-BP69)*(2033-2030)/(2035-2030)</f>
        <v>69.643672617237414</v>
      </c>
      <c r="BR69" s="676">
        <v>32.004597918578092</v>
      </c>
      <c r="BS69" s="676">
        <v>0.15566222670972082</v>
      </c>
      <c r="BT69" s="676">
        <v>59.570819171806598</v>
      </c>
      <c r="BU69" s="683">
        <f>+BT69+(BX69-BT69)*(2043-2040)/(2050-2040)</f>
        <v>56.035487330657105</v>
      </c>
      <c r="BV69" s="683">
        <f>+BT69+(BX69-BT69)*(2045-2040)/(2050-2040)</f>
        <v>53.678599436557441</v>
      </c>
      <c r="BW69" s="683">
        <f>+BT69+(BX69-BT69)*(2047-2040)/(2050-2040)</f>
        <v>51.321711542457777</v>
      </c>
      <c r="BX69" s="677">
        <v>47.786379701308284</v>
      </c>
      <c r="BY69" s="664"/>
      <c r="BZ69" s="664"/>
      <c r="CA69" s="664"/>
      <c r="CB69" s="664"/>
      <c r="CC69" s="320"/>
      <c r="CD69" s="691"/>
      <c r="CE69" s="691"/>
      <c r="CF69" s="691"/>
      <c r="CG69" s="691"/>
      <c r="CH69" s="691"/>
      <c r="CI69" s="691"/>
      <c r="CJ69" s="691"/>
      <c r="CK69" s="691"/>
      <c r="CL69" s="691"/>
      <c r="CM69" s="691"/>
      <c r="CN69" s="691"/>
      <c r="CO69" s="691"/>
      <c r="CP69" s="691"/>
      <c r="CQ69" s="691"/>
      <c r="CR69" s="664"/>
      <c r="CS69" s="664"/>
      <c r="CT69" s="664"/>
      <c r="CU69" s="664"/>
      <c r="CV69" s="664"/>
      <c r="CW69" s="664"/>
      <c r="CX69" s="663"/>
      <c r="CY69" s="663"/>
      <c r="CZ69" s="663"/>
      <c r="DA69" s="663"/>
      <c r="DB69" s="663"/>
      <c r="DC69" s="663"/>
      <c r="DD69" s="476" t="str">
        <f t="shared" si="39"/>
        <v>Castilla (c, e, n, n)</v>
      </c>
      <c r="DE69" s="473">
        <f t="shared" si="40"/>
        <v>13.7</v>
      </c>
      <c r="DF69" s="476">
        <f t="shared" si="60"/>
        <v>0</v>
      </c>
      <c r="DG69" s="476" t="str">
        <f t="shared" si="41"/>
        <v>Heavy Oil</v>
      </c>
      <c r="DH69" s="606">
        <f t="shared" si="32"/>
        <v>253.41187670697005</v>
      </c>
      <c r="DI69" s="607">
        <f t="shared" si="33"/>
        <v>0</v>
      </c>
      <c r="DJ69" s="608">
        <f t="shared" si="34"/>
        <v>0</v>
      </c>
      <c r="DK69" s="608">
        <f t="shared" si="35"/>
        <v>0</v>
      </c>
      <c r="DL69" s="590">
        <f t="shared" si="36"/>
        <v>4270.0237990719988</v>
      </c>
      <c r="DM69" s="591">
        <f t="shared" si="37"/>
        <v>16.850132892585744</v>
      </c>
      <c r="DN69" s="609">
        <f t="shared" si="61"/>
        <v>0</v>
      </c>
      <c r="DO69" s="609">
        <f t="shared" si="62"/>
        <v>0</v>
      </c>
      <c r="DP69" s="609">
        <f t="shared" si="63"/>
        <v>0</v>
      </c>
      <c r="DQ69" s="609">
        <f t="shared" si="64"/>
        <v>0</v>
      </c>
      <c r="DR69" s="609">
        <f t="shared" si="65"/>
        <v>0</v>
      </c>
      <c r="DS69" s="610" t="str">
        <f t="shared" si="66"/>
        <v>-</v>
      </c>
      <c r="DT69" s="610" t="str">
        <f t="shared" si="67"/>
        <v>-</v>
      </c>
      <c r="DU69" s="610" t="str">
        <f t="shared" si="68"/>
        <v>-</v>
      </c>
      <c r="DV69" s="610" t="str">
        <f t="shared" si="69"/>
        <v>-</v>
      </c>
      <c r="DW69" s="611" t="str">
        <f t="shared" si="70"/>
        <v>-</v>
      </c>
    </row>
    <row r="70" spans="9:127" x14ac:dyDescent="0.25">
      <c r="I70" s="473" t="s">
        <v>822</v>
      </c>
      <c r="J70" s="476" t="s">
        <v>845</v>
      </c>
      <c r="K70" s="473">
        <f>7+(20-7)/2</f>
        <v>13.5</v>
      </c>
      <c r="L70" s="476"/>
      <c r="M70" s="476" t="str">
        <f t="shared" si="38"/>
        <v>Heavy Oil</v>
      </c>
      <c r="N70" s="606">
        <f t="shared" si="31"/>
        <v>153.50718826671843</v>
      </c>
      <c r="O70" s="607">
        <f t="shared" si="42"/>
        <v>1.3978936722236606</v>
      </c>
      <c r="P70" s="616">
        <f t="shared" si="43"/>
        <v>9.0241950407712185E-3</v>
      </c>
      <c r="Q70" s="608">
        <f t="shared" si="71"/>
        <v>0</v>
      </c>
      <c r="R70" s="609">
        <f t="shared" si="44"/>
        <v>0.32109980889709927</v>
      </c>
      <c r="S70" s="609">
        <f t="shared" si="45"/>
        <v>1.0767938633265612</v>
      </c>
      <c r="T70" s="609">
        <f t="shared" si="46"/>
        <v>0</v>
      </c>
      <c r="U70" s="609">
        <f t="shared" si="47"/>
        <v>0</v>
      </c>
      <c r="V70" s="609">
        <f t="shared" si="48"/>
        <v>0</v>
      </c>
      <c r="W70" s="610">
        <f t="shared" si="49"/>
        <v>0.22970259847182703</v>
      </c>
      <c r="X70" s="610">
        <f t="shared" si="50"/>
        <v>0.77029740152817294</v>
      </c>
      <c r="Y70" s="610">
        <f t="shared" si="51"/>
        <v>0</v>
      </c>
      <c r="Z70" s="610">
        <f t="shared" si="52"/>
        <v>0</v>
      </c>
      <c r="AA70" s="611" t="str">
        <f t="shared" si="53"/>
        <v>-</v>
      </c>
      <c r="AB70" s="590">
        <f>+'5. GlobalData'!K15*1000*$D$26/1000</f>
        <v>1445.2840023680001</v>
      </c>
      <c r="AC70" s="591">
        <f t="shared" si="54"/>
        <v>9.4150900598662659</v>
      </c>
      <c r="AD70" s="604">
        <f t="shared" si="55"/>
        <v>1432.2414776413248</v>
      </c>
      <c r="AE70" s="620">
        <f t="shared" si="56"/>
        <v>9.3301264508396056</v>
      </c>
      <c r="AF70" s="604">
        <f t="shared" si="72"/>
        <v>13.042524726675284</v>
      </c>
      <c r="AG70" s="621">
        <f t="shared" si="57"/>
        <v>9.3301264508396038</v>
      </c>
      <c r="AH70" s="436">
        <f t="shared" si="58"/>
        <v>154.90508193894209</v>
      </c>
      <c r="AI70" s="669">
        <f>+IF('5. GlobalData'!K120="","",'5. GlobalData'!K120)</f>
        <v>1</v>
      </c>
      <c r="AJ70" s="670">
        <f>+IF('5. GlobalData'!L120="","",'5. GlobalData'!L120)</f>
        <v>0.99883325263017586</v>
      </c>
      <c r="AK70" s="670">
        <f>+IF('5. GlobalData'!M120="","",'5. GlobalData'!M120)</f>
        <v>0.31004372934454411</v>
      </c>
      <c r="AL70" s="670">
        <f>+IF('5. GlobalData'!N120="","",'5. GlobalData'!N120)</f>
        <v>0.75559988665176769</v>
      </c>
      <c r="AM70" s="670" t="str">
        <f>+IF('5. GlobalData'!O120="","",'5. GlobalData'!O120)</f>
        <v/>
      </c>
      <c r="AN70" s="670">
        <f>+IF('5. GlobalData'!P120="","",'5. GlobalData'!P120)</f>
        <v>0.44844083318521072</v>
      </c>
      <c r="AO70" s="670">
        <f>+IF('5. GlobalData'!Q120="","",'5. GlobalData'!Q120)</f>
        <v>0.23566011593627384</v>
      </c>
      <c r="AP70" s="670">
        <f>+IF('5. GlobalData'!R120="","",'5. GlobalData'!R120)</f>
        <v>0.29475321316119518</v>
      </c>
      <c r="AQ70" s="670">
        <f>+IF('5. GlobalData'!S120="","",'5. GlobalData'!S120)</f>
        <v>0.12183883735686001</v>
      </c>
      <c r="AR70" s="670">
        <f>+IF('5. GlobalData'!T120="","",'5. GlobalData'!T120)</f>
        <v>8.2698295562446456E-2</v>
      </c>
      <c r="AS70" s="670">
        <f>+IF('5. GlobalData'!U120="","",'5. GlobalData'!U120)</f>
        <v>6.2815527422288242E-2</v>
      </c>
      <c r="AT70" s="670" t="str">
        <f>+IF('5. GlobalData'!V120="","",'5. GlobalData'!V120)</f>
        <v/>
      </c>
      <c r="AU70" s="670" t="str">
        <f>+IF('5. GlobalData'!W120="","",'5. GlobalData'!W120)</f>
        <v/>
      </c>
      <c r="AV70" s="671" t="str">
        <f>+IF('5. GlobalData'!X120="","",'5. GlobalData'!X120)</f>
        <v/>
      </c>
      <c r="AW70" s="675">
        <f t="shared" si="73"/>
        <v>154.90508193894209</v>
      </c>
      <c r="AX70" s="676">
        <f t="shared" si="74"/>
        <v>154.72434684201744</v>
      </c>
      <c r="AY70" s="676">
        <f t="shared" si="75"/>
        <v>48.027349298771789</v>
      </c>
      <c r="AZ70" s="676">
        <f t="shared" si="76"/>
        <v>117.04626235484743</v>
      </c>
      <c r="BA70" s="676" t="str">
        <f t="shared" si="77"/>
        <v/>
      </c>
      <c r="BB70" s="676">
        <f t="shared" si="78"/>
        <v>69.465764009322527</v>
      </c>
      <c r="BC70" s="676">
        <f t="shared" si="79"/>
        <v>36.504949568849092</v>
      </c>
      <c r="BD70" s="676">
        <f t="shared" si="80"/>
        <v>45.658770636501401</v>
      </c>
      <c r="BE70" s="676">
        <f t="shared" si="81"/>
        <v>18.873455084109839</v>
      </c>
      <c r="BF70" s="676">
        <f t="shared" si="82"/>
        <v>12.81038625031162</v>
      </c>
      <c r="BG70" s="676">
        <f t="shared" si="83"/>
        <v>9.7304444223874231</v>
      </c>
      <c r="BH70" s="676" t="str">
        <f t="shared" si="84"/>
        <v/>
      </c>
      <c r="BI70" s="676" t="str">
        <f t="shared" si="85"/>
        <v/>
      </c>
      <c r="BJ70" s="677" t="str">
        <f t="shared" si="86"/>
        <v/>
      </c>
      <c r="BK70" s="675">
        <v>154.90508193894209</v>
      </c>
      <c r="BL70" s="676">
        <v>154.72434684201744</v>
      </c>
      <c r="BM70" s="676">
        <v>48.027349298771789</v>
      </c>
      <c r="BN70" s="676">
        <v>117.04626235484743</v>
      </c>
      <c r="BO70" s="683">
        <f t="shared" si="87"/>
        <v>98.014063016637465</v>
      </c>
      <c r="BP70" s="676">
        <v>69.465764009322527</v>
      </c>
      <c r="BQ70" s="676">
        <v>36.504949568849092</v>
      </c>
      <c r="BR70" s="676">
        <v>45.658770636501401</v>
      </c>
      <c r="BS70" s="676">
        <v>18.873455084109839</v>
      </c>
      <c r="BT70" s="676">
        <v>12.81038625031162</v>
      </c>
      <c r="BU70" s="676">
        <v>9.7304444223874231</v>
      </c>
      <c r="BV70" s="681" t="s">
        <v>1063</v>
      </c>
      <c r="BW70" s="681" t="s">
        <v>1063</v>
      </c>
      <c r="BX70" s="682" t="s">
        <v>1063</v>
      </c>
      <c r="BY70" s="664"/>
      <c r="BZ70" s="664"/>
      <c r="CA70" s="664"/>
      <c r="CB70" s="664"/>
      <c r="CC70" s="320"/>
      <c r="CD70" s="691"/>
      <c r="CE70" s="691"/>
      <c r="CF70" s="691"/>
      <c r="CG70" s="691"/>
      <c r="CH70" s="691"/>
      <c r="CI70" s="691"/>
      <c r="CJ70" s="691"/>
      <c r="CK70" s="691"/>
      <c r="CL70" s="691"/>
      <c r="CM70" s="691"/>
      <c r="CN70" s="691"/>
      <c r="CO70" s="691"/>
      <c r="CP70" s="691"/>
      <c r="CQ70" s="691"/>
      <c r="CR70" s="664"/>
      <c r="CS70" s="664"/>
      <c r="CT70" s="664"/>
      <c r="CU70" s="664"/>
      <c r="CV70" s="664"/>
      <c r="CW70" s="664"/>
      <c r="CX70" s="663"/>
      <c r="CY70" s="663"/>
      <c r="CZ70" s="663"/>
      <c r="DA70" s="663"/>
      <c r="DB70" s="663"/>
      <c r="DC70" s="663"/>
      <c r="DD70" s="476" t="str">
        <f t="shared" si="39"/>
        <v>Chichimene</v>
      </c>
      <c r="DE70" s="473">
        <f t="shared" si="40"/>
        <v>13.5</v>
      </c>
      <c r="DF70" s="476">
        <f t="shared" si="60"/>
        <v>0</v>
      </c>
      <c r="DG70" s="476" t="str">
        <f t="shared" si="41"/>
        <v>Heavy Oil</v>
      </c>
      <c r="DH70" s="606">
        <f t="shared" si="32"/>
        <v>153.50718826671843</v>
      </c>
      <c r="DI70" s="607">
        <f t="shared" si="33"/>
        <v>1.3978936722236606</v>
      </c>
      <c r="DJ70" s="608">
        <f t="shared" si="34"/>
        <v>9.0241950407712185E-3</v>
      </c>
      <c r="DK70" s="608">
        <f t="shared" si="35"/>
        <v>0</v>
      </c>
      <c r="DL70" s="590">
        <f t="shared" si="36"/>
        <v>1445.2840023680001</v>
      </c>
      <c r="DM70" s="591">
        <f t="shared" si="37"/>
        <v>9.4150900598662659</v>
      </c>
      <c r="DN70" s="609">
        <f t="shared" si="61"/>
        <v>0.32109980889709927</v>
      </c>
      <c r="DO70" s="609">
        <f t="shared" si="62"/>
        <v>1.0767938633265612</v>
      </c>
      <c r="DP70" s="609">
        <f t="shared" si="63"/>
        <v>0</v>
      </c>
      <c r="DQ70" s="609">
        <f t="shared" si="64"/>
        <v>0</v>
      </c>
      <c r="DR70" s="609">
        <f t="shared" si="65"/>
        <v>0</v>
      </c>
      <c r="DS70" s="610">
        <f t="shared" si="66"/>
        <v>0.22970259847182703</v>
      </c>
      <c r="DT70" s="610">
        <f t="shared" si="67"/>
        <v>0.77029740152817294</v>
      </c>
      <c r="DU70" s="610">
        <f t="shared" si="68"/>
        <v>0</v>
      </c>
      <c r="DV70" s="610">
        <f t="shared" si="69"/>
        <v>0</v>
      </c>
      <c r="DW70" s="611" t="str">
        <f t="shared" si="70"/>
        <v>-</v>
      </c>
    </row>
    <row r="71" spans="9:127" x14ac:dyDescent="0.25">
      <c r="I71" s="473" t="s">
        <v>822</v>
      </c>
      <c r="J71" s="476" t="s">
        <v>846</v>
      </c>
      <c r="K71" s="473">
        <v>8</v>
      </c>
      <c r="L71" s="476"/>
      <c r="M71" s="476" t="str">
        <f t="shared" si="38"/>
        <v>Heavy Oil</v>
      </c>
      <c r="N71" s="606">
        <f t="shared" si="31"/>
        <v>43.895597705669182</v>
      </c>
      <c r="O71" s="607">
        <f t="shared" si="42"/>
        <v>0.21448045777585595</v>
      </c>
      <c r="P71" s="616">
        <f t="shared" si="43"/>
        <v>4.8623912426797849E-3</v>
      </c>
      <c r="Q71" s="608">
        <f t="shared" si="71"/>
        <v>0</v>
      </c>
      <c r="R71" s="609">
        <f t="shared" si="44"/>
        <v>0</v>
      </c>
      <c r="S71" s="609">
        <f t="shared" si="45"/>
        <v>0.21448045777585595</v>
      </c>
      <c r="T71" s="609">
        <f t="shared" si="46"/>
        <v>0</v>
      </c>
      <c r="U71" s="609">
        <f t="shared" si="47"/>
        <v>0</v>
      </c>
      <c r="V71" s="609">
        <f t="shared" si="48"/>
        <v>0</v>
      </c>
      <c r="W71" s="610">
        <f t="shared" si="49"/>
        <v>0</v>
      </c>
      <c r="X71" s="610">
        <f t="shared" si="50"/>
        <v>1</v>
      </c>
      <c r="Y71" s="610">
        <f t="shared" si="51"/>
        <v>0</v>
      </c>
      <c r="Z71" s="610">
        <f t="shared" si="52"/>
        <v>0</v>
      </c>
      <c r="AA71" s="611" t="str">
        <f t="shared" si="53"/>
        <v>-</v>
      </c>
      <c r="AB71" s="590">
        <f>+'5. GlobalData'!K16*1000*$D$26/1000</f>
        <v>549.81236578400001</v>
      </c>
      <c r="AC71" s="591">
        <f t="shared" si="54"/>
        <v>12.525455729538702</v>
      </c>
      <c r="AD71" s="604">
        <f t="shared" si="55"/>
        <v>547.13896295149482</v>
      </c>
      <c r="AE71" s="620">
        <f t="shared" si="56"/>
        <v>12.464552063288821</v>
      </c>
      <c r="AF71" s="604">
        <f t="shared" si="72"/>
        <v>2.6734028325051762</v>
      </c>
      <c r="AG71" s="621">
        <f t="shared" si="57"/>
        <v>12.464552063288821</v>
      </c>
      <c r="AH71" s="436">
        <f t="shared" si="58"/>
        <v>44.110078163445039</v>
      </c>
      <c r="AI71" s="669">
        <f>+IF('5. GlobalData'!K121="","",'5. GlobalData'!K121)</f>
        <v>1</v>
      </c>
      <c r="AJ71" s="670">
        <f>+IF('5. GlobalData'!L121="","",'5. GlobalData'!L121)</f>
        <v>0.50474547023295946</v>
      </c>
      <c r="AK71" s="670">
        <f>+IF('5. GlobalData'!M121="","",'5. GlobalData'!M121)</f>
        <v>1.0008628127696291</v>
      </c>
      <c r="AL71" s="670">
        <f>+IF('5. GlobalData'!N121="","",'5. GlobalData'!N121)</f>
        <v>0.84555651423641076</v>
      </c>
      <c r="AM71" s="670" t="str">
        <f>+IF('5. GlobalData'!O121="","",'5. GlobalData'!O121)</f>
        <v/>
      </c>
      <c r="AN71" s="670">
        <f>+IF('5. GlobalData'!P121="","",'5. GlobalData'!P121)</f>
        <v>0.58239861949956873</v>
      </c>
      <c r="AO71" s="670" t="str">
        <f>+IF('5. GlobalData'!Q121="","",'5. GlobalData'!Q121)</f>
        <v/>
      </c>
      <c r="AP71" s="670">
        <f>+IF('5. GlobalData'!R121="","",'5. GlobalData'!R121)</f>
        <v>0.40983606557377061</v>
      </c>
      <c r="AQ71" s="670" t="str">
        <f>+IF('5. GlobalData'!S121="","",'5. GlobalData'!S121)</f>
        <v/>
      </c>
      <c r="AR71" s="670">
        <f>+IF('5. GlobalData'!T121="","",'5. GlobalData'!T121)</f>
        <v>0.28472821397756687</v>
      </c>
      <c r="AS71" s="670" t="str">
        <f>+IF('5. GlobalData'!U121="","",'5. GlobalData'!U121)</f>
        <v/>
      </c>
      <c r="AT71" s="670">
        <f>+IF('5. GlobalData'!V121="","",'5. GlobalData'!V121)</f>
        <v>0.20276100086281287</v>
      </c>
      <c r="AU71" s="670">
        <f>+IF('5. GlobalData'!W121="","",'5. GlobalData'!W121)</f>
        <v>0.16393442622950821</v>
      </c>
      <c r="AV71" s="671" t="str">
        <f>+IF('5. GlobalData'!X121="","",'5. GlobalData'!X121)</f>
        <v/>
      </c>
      <c r="AW71" s="675">
        <f t="shared" si="73"/>
        <v>44.110078163445039</v>
      </c>
      <c r="AX71" s="676">
        <f t="shared" si="74"/>
        <v>22.264362144620662</v>
      </c>
      <c r="AY71" s="676">
        <f t="shared" si="75"/>
        <v>44.148136902153794</v>
      </c>
      <c r="AZ71" s="676">
        <f t="shared" si="76"/>
        <v>37.297563934578207</v>
      </c>
      <c r="BA71" s="676" t="str">
        <f t="shared" si="77"/>
        <v/>
      </c>
      <c r="BB71" s="676">
        <f t="shared" si="78"/>
        <v>25.689648628408463</v>
      </c>
      <c r="BC71" s="676" t="str">
        <f t="shared" si="79"/>
        <v/>
      </c>
      <c r="BD71" s="676">
        <f t="shared" si="80"/>
        <v>18.077900886657808</v>
      </c>
      <c r="BE71" s="676" t="str">
        <f t="shared" si="81"/>
        <v/>
      </c>
      <c r="BF71" s="676">
        <f t="shared" si="82"/>
        <v>12.559383773888579</v>
      </c>
      <c r="BG71" s="676" t="str">
        <f t="shared" si="83"/>
        <v/>
      </c>
      <c r="BH71" s="676">
        <f t="shared" si="84"/>
        <v>8.9438035965570233</v>
      </c>
      <c r="BI71" s="676">
        <f t="shared" si="85"/>
        <v>7.231160354663122</v>
      </c>
      <c r="BJ71" s="677" t="str">
        <f t="shared" si="86"/>
        <v/>
      </c>
      <c r="BK71" s="675">
        <v>44.110078163445039</v>
      </c>
      <c r="BL71" s="676">
        <v>22.264362144620662</v>
      </c>
      <c r="BM71" s="676">
        <v>44.148136902153794</v>
      </c>
      <c r="BN71" s="676">
        <v>37.297563934578207</v>
      </c>
      <c r="BO71" s="683">
        <f t="shared" si="87"/>
        <v>32.654397812110311</v>
      </c>
      <c r="BP71" s="676">
        <v>25.689648628408463</v>
      </c>
      <c r="BQ71" s="683">
        <f>+BP71+(BR71-BP71)*(2033-2030)/(2035-2030)</f>
        <v>21.122599983358072</v>
      </c>
      <c r="BR71" s="676">
        <v>18.077900886657808</v>
      </c>
      <c r="BS71" s="683">
        <f t="shared" ref="BS71:BS77" si="88">+BR71+(BT71-BR71)*(2037-2035)/(2040-2035)</f>
        <v>15.870494041550117</v>
      </c>
      <c r="BT71" s="676">
        <v>12.559383773888579</v>
      </c>
      <c r="BU71" s="683">
        <f>+BT71+(BV71-BT71)*(2043-2040)/(2045-2040)</f>
        <v>10.390035667489645</v>
      </c>
      <c r="BV71" s="676">
        <v>8.9438035965570233</v>
      </c>
      <c r="BW71" s="676">
        <v>7.231160354663122</v>
      </c>
      <c r="BX71" s="682" t="s">
        <v>1063</v>
      </c>
      <c r="BY71" s="664"/>
      <c r="BZ71" s="664"/>
      <c r="CA71" s="664"/>
      <c r="CB71" s="664"/>
      <c r="CC71" s="320"/>
      <c r="CD71" s="691"/>
      <c r="CE71" s="691"/>
      <c r="CF71" s="691"/>
      <c r="CG71" s="691"/>
      <c r="CH71" s="691"/>
      <c r="CI71" s="691"/>
      <c r="CJ71" s="691"/>
      <c r="CK71" s="691"/>
      <c r="CL71" s="691"/>
      <c r="CM71" s="691"/>
      <c r="CN71" s="691"/>
      <c r="CO71" s="691"/>
      <c r="CP71" s="691"/>
      <c r="CQ71" s="691"/>
      <c r="CR71" s="664"/>
      <c r="CS71" s="664"/>
      <c r="CT71" s="664"/>
      <c r="CU71" s="664"/>
      <c r="CV71" s="664"/>
      <c r="CW71" s="664"/>
      <c r="CX71" s="663"/>
      <c r="CY71" s="663"/>
      <c r="CZ71" s="663"/>
      <c r="DA71" s="663"/>
      <c r="DB71" s="663"/>
      <c r="DC71" s="663"/>
      <c r="DD71" s="476" t="str">
        <f t="shared" si="39"/>
        <v>Akacias</v>
      </c>
      <c r="DE71" s="473">
        <f t="shared" si="40"/>
        <v>8</v>
      </c>
      <c r="DF71" s="476">
        <f t="shared" si="60"/>
        <v>0</v>
      </c>
      <c r="DG71" s="476" t="str">
        <f t="shared" si="41"/>
        <v>Heavy Oil</v>
      </c>
      <c r="DH71" s="606">
        <f t="shared" si="32"/>
        <v>43.895597705669182</v>
      </c>
      <c r="DI71" s="607">
        <f t="shared" si="33"/>
        <v>0.21448045777585595</v>
      </c>
      <c r="DJ71" s="608">
        <f t="shared" si="34"/>
        <v>4.8623912426797849E-3</v>
      </c>
      <c r="DK71" s="608">
        <f t="shared" si="35"/>
        <v>0</v>
      </c>
      <c r="DL71" s="590">
        <f t="shared" si="36"/>
        <v>549.81236578400001</v>
      </c>
      <c r="DM71" s="591">
        <f t="shared" si="37"/>
        <v>12.525455729538702</v>
      </c>
      <c r="DN71" s="609">
        <f t="shared" si="61"/>
        <v>0</v>
      </c>
      <c r="DO71" s="609">
        <f t="shared" si="62"/>
        <v>0.21448045777585595</v>
      </c>
      <c r="DP71" s="609">
        <f t="shared" si="63"/>
        <v>0</v>
      </c>
      <c r="DQ71" s="609">
        <f t="shared" si="64"/>
        <v>0</v>
      </c>
      <c r="DR71" s="609">
        <f t="shared" si="65"/>
        <v>0</v>
      </c>
      <c r="DS71" s="610">
        <f t="shared" si="66"/>
        <v>0</v>
      </c>
      <c r="DT71" s="610">
        <f t="shared" si="67"/>
        <v>1</v>
      </c>
      <c r="DU71" s="610">
        <f t="shared" si="68"/>
        <v>0</v>
      </c>
      <c r="DV71" s="610">
        <f t="shared" si="69"/>
        <v>0</v>
      </c>
      <c r="DW71" s="611" t="str">
        <f t="shared" si="70"/>
        <v>-</v>
      </c>
    </row>
    <row r="72" spans="9:127" x14ac:dyDescent="0.25">
      <c r="I72" s="473" t="s">
        <v>822</v>
      </c>
      <c r="J72" s="476" t="s">
        <v>848</v>
      </c>
      <c r="K72" s="473">
        <v>13.5</v>
      </c>
      <c r="L72" s="476"/>
      <c r="M72" s="476" t="str">
        <f t="shared" si="38"/>
        <v>Heavy Oil</v>
      </c>
      <c r="N72" s="606">
        <f t="shared" si="31"/>
        <v>8.7564836170076354</v>
      </c>
      <c r="O72" s="607">
        <f t="shared" si="42"/>
        <v>0.43874352621703561</v>
      </c>
      <c r="P72" s="616">
        <f t="shared" si="43"/>
        <v>4.771426734578444E-2</v>
      </c>
      <c r="Q72" s="608">
        <f t="shared" si="71"/>
        <v>0.23786180586758954</v>
      </c>
      <c r="R72" s="609">
        <f t="shared" si="44"/>
        <v>5.7140945681870784E-3</v>
      </c>
      <c r="S72" s="609">
        <f t="shared" si="45"/>
        <v>0</v>
      </c>
      <c r="T72" s="609">
        <f t="shared" si="46"/>
        <v>0.4330294316488485</v>
      </c>
      <c r="U72" s="609">
        <f t="shared" si="47"/>
        <v>0.19516762578125896</v>
      </c>
      <c r="V72" s="609">
        <f t="shared" si="48"/>
        <v>0</v>
      </c>
      <c r="W72" s="610">
        <f t="shared" si="49"/>
        <v>1.302376952990175E-2</v>
      </c>
      <c r="X72" s="610">
        <f t="shared" si="50"/>
        <v>0</v>
      </c>
      <c r="Y72" s="610">
        <f t="shared" si="51"/>
        <v>0.98697623047009819</v>
      </c>
      <c r="Z72" s="610">
        <f t="shared" si="52"/>
        <v>0</v>
      </c>
      <c r="AA72" s="611">
        <f t="shared" si="53"/>
        <v>0.4507029118970462</v>
      </c>
      <c r="AB72" s="590">
        <f>+'5. GlobalData'!K17*1000*$D$26/1000</f>
        <v>23.676130584000003</v>
      </c>
      <c r="AC72" s="591">
        <f t="shared" si="54"/>
        <v>2.6323350361644713</v>
      </c>
      <c r="AD72" s="604">
        <f t="shared" si="55"/>
        <v>22.546441359601324</v>
      </c>
      <c r="AE72" s="620">
        <f t="shared" si="56"/>
        <v>2.5748282467872818</v>
      </c>
      <c r="AF72" s="604">
        <f t="shared" si="72"/>
        <v>1.1296892243986796</v>
      </c>
      <c r="AG72" s="621">
        <f t="shared" si="57"/>
        <v>2.5748282467872818</v>
      </c>
      <c r="AH72" s="436">
        <f t="shared" si="58"/>
        <v>9.1952271432246704</v>
      </c>
      <c r="AI72" s="669">
        <f>+IF('5. GlobalData'!K122="","",'5. GlobalData'!K122)</f>
        <v>1</v>
      </c>
      <c r="AJ72" s="670">
        <f>+IF('5. GlobalData'!L122="","",'5. GlobalData'!L122)</f>
        <v>0.78056545109387754</v>
      </c>
      <c r="AK72" s="670">
        <f>+IF('5. GlobalData'!M122="","",'5. GlobalData'!M122)</f>
        <v>0.34412371581696649</v>
      </c>
      <c r="AL72" s="670">
        <f>+IF('5. GlobalData'!N122="","",'5. GlobalData'!N122)</f>
        <v>0.21704492141316459</v>
      </c>
      <c r="AM72" s="670" t="str">
        <f>+IF('5. GlobalData'!O122="","",'5. GlobalData'!O122)</f>
        <v/>
      </c>
      <c r="AN72" s="670">
        <f>+IF('5. GlobalData'!P122="","",'5. GlobalData'!P122)</f>
        <v>0.10534422246412935</v>
      </c>
      <c r="AO72" s="670" t="str">
        <f>+IF('5. GlobalData'!Q122="","",'5. GlobalData'!Q122)</f>
        <v/>
      </c>
      <c r="AP72" s="670">
        <f>+IF('5. GlobalData'!R122="","",'5. GlobalData'!R122)</f>
        <v>2.9297241699206451E-2</v>
      </c>
      <c r="AQ72" s="670" t="str">
        <f>+IF('5. GlobalData'!S122="","",'5. GlobalData'!S122)</f>
        <v/>
      </c>
      <c r="AR72" s="670">
        <f>+IF('5. GlobalData'!T122="","",'5. GlobalData'!T122)</f>
        <v>1.4232365375775069E-2</v>
      </c>
      <c r="AS72" s="670" t="str">
        <f>+IF('5. GlobalData'!U122="","",'5. GlobalData'!U122)</f>
        <v/>
      </c>
      <c r="AT72" s="670" t="str">
        <f>+IF('5. GlobalData'!V122="","",'5. GlobalData'!V122)</f>
        <v/>
      </c>
      <c r="AU72" s="670" t="str">
        <f>+IF('5. GlobalData'!W122="","",'5. GlobalData'!W122)</f>
        <v/>
      </c>
      <c r="AV72" s="671" t="str">
        <f>+IF('5. GlobalData'!X122="","",'5. GlobalData'!X122)</f>
        <v/>
      </c>
      <c r="AW72" s="675">
        <f t="shared" si="73"/>
        <v>9.1952271432246704</v>
      </c>
      <c r="AX72" s="676">
        <f t="shared" si="74"/>
        <v>7.1774766229618319</v>
      </c>
      <c r="AY72" s="676">
        <f t="shared" si="75"/>
        <v>3.1642957323075032</v>
      </c>
      <c r="AZ72" s="676">
        <f t="shared" si="76"/>
        <v>1.9957773526773965</v>
      </c>
      <c r="BA72" s="676" t="str">
        <f t="shared" si="77"/>
        <v/>
      </c>
      <c r="BB72" s="676">
        <f t="shared" si="78"/>
        <v>0.96866405378406029</v>
      </c>
      <c r="BC72" s="676" t="str">
        <f t="shared" si="79"/>
        <v/>
      </c>
      <c r="BD72" s="676">
        <f t="shared" si="80"/>
        <v>0.26939479209415684</v>
      </c>
      <c r="BE72" s="676" t="str">
        <f t="shared" si="81"/>
        <v/>
      </c>
      <c r="BF72" s="676">
        <f t="shared" si="82"/>
        <v>0.13086983241561789</v>
      </c>
      <c r="BG72" s="676" t="str">
        <f t="shared" si="83"/>
        <v/>
      </c>
      <c r="BH72" s="676" t="str">
        <f t="shared" si="84"/>
        <v/>
      </c>
      <c r="BI72" s="676" t="str">
        <f t="shared" si="85"/>
        <v/>
      </c>
      <c r="BJ72" s="677" t="str">
        <f t="shared" si="86"/>
        <v/>
      </c>
      <c r="BK72" s="675">
        <v>9.1952271432246704</v>
      </c>
      <c r="BL72" s="676">
        <v>7.1774766229618319</v>
      </c>
      <c r="BM72" s="676">
        <v>3.1642957323075032</v>
      </c>
      <c r="BN72" s="676">
        <v>1.9957773526773965</v>
      </c>
      <c r="BO72" s="683">
        <f t="shared" si="87"/>
        <v>1.584932033120062</v>
      </c>
      <c r="BP72" s="676">
        <v>0.96866405378406029</v>
      </c>
      <c r="BQ72" s="683">
        <f>+BP72+(BR72-BP72)*(2033-2030)/(2035-2030)</f>
        <v>0.54910249677011824</v>
      </c>
      <c r="BR72" s="676">
        <v>0.26939479209415684</v>
      </c>
      <c r="BS72" s="683">
        <f t="shared" si="88"/>
        <v>0.21398480822274127</v>
      </c>
      <c r="BT72" s="676">
        <v>0.13086983241561789</v>
      </c>
      <c r="BU72" s="681" t="s">
        <v>1063</v>
      </c>
      <c r="BV72" s="681" t="s">
        <v>1063</v>
      </c>
      <c r="BW72" s="681" t="s">
        <v>1063</v>
      </c>
      <c r="BX72" s="682" t="s">
        <v>1063</v>
      </c>
      <c r="BY72" s="664"/>
      <c r="BZ72" s="664"/>
      <c r="CA72" s="664"/>
      <c r="CB72" s="664"/>
      <c r="CC72" s="320"/>
      <c r="CD72" s="691"/>
      <c r="CE72" s="691"/>
      <c r="CF72" s="691"/>
      <c r="CG72" s="691"/>
      <c r="CH72" s="691"/>
      <c r="CI72" s="691"/>
      <c r="CJ72" s="691"/>
      <c r="CK72" s="691"/>
      <c r="CL72" s="691"/>
      <c r="CM72" s="691"/>
      <c r="CN72" s="691"/>
      <c r="CO72" s="691"/>
      <c r="CP72" s="691"/>
      <c r="CQ72" s="691"/>
      <c r="CR72" s="664"/>
      <c r="CS72" s="664"/>
      <c r="CT72" s="664"/>
      <c r="CU72" s="664"/>
      <c r="CV72" s="664"/>
      <c r="CW72" s="664"/>
      <c r="CX72" s="663"/>
      <c r="CY72" s="663"/>
      <c r="CZ72" s="663"/>
      <c r="DA72" s="663"/>
      <c r="DB72" s="663"/>
      <c r="DC72" s="663"/>
      <c r="DD72" s="476" t="str">
        <f t="shared" si="39"/>
        <v>Apiay</v>
      </c>
      <c r="DE72" s="473">
        <f t="shared" si="40"/>
        <v>13.5</v>
      </c>
      <c r="DF72" s="476">
        <f t="shared" si="60"/>
        <v>0</v>
      </c>
      <c r="DG72" s="476" t="str">
        <f t="shared" si="41"/>
        <v>Heavy Oil</v>
      </c>
      <c r="DH72" s="606">
        <f t="shared" si="32"/>
        <v>8.7564836170076354</v>
      </c>
      <c r="DI72" s="607">
        <f t="shared" si="33"/>
        <v>0.43874352621703561</v>
      </c>
      <c r="DJ72" s="608">
        <f t="shared" si="34"/>
        <v>4.771426734578444E-2</v>
      </c>
      <c r="DK72" s="608">
        <f t="shared" si="35"/>
        <v>0.23786180586758954</v>
      </c>
      <c r="DL72" s="590">
        <f t="shared" si="36"/>
        <v>23.676130584000003</v>
      </c>
      <c r="DM72" s="591">
        <f t="shared" si="37"/>
        <v>2.6323350361644713</v>
      </c>
      <c r="DN72" s="609">
        <f t="shared" si="61"/>
        <v>5.7140945681870784E-3</v>
      </c>
      <c r="DO72" s="609">
        <f t="shared" si="62"/>
        <v>0</v>
      </c>
      <c r="DP72" s="609">
        <f t="shared" si="63"/>
        <v>0.4330294316488485</v>
      </c>
      <c r="DQ72" s="609">
        <f t="shared" si="64"/>
        <v>0.19516762578125896</v>
      </c>
      <c r="DR72" s="609">
        <f t="shared" si="65"/>
        <v>0</v>
      </c>
      <c r="DS72" s="610">
        <f t="shared" si="66"/>
        <v>1.302376952990175E-2</v>
      </c>
      <c r="DT72" s="610">
        <f t="shared" si="67"/>
        <v>0</v>
      </c>
      <c r="DU72" s="610">
        <f t="shared" si="68"/>
        <v>0.98697623047009819</v>
      </c>
      <c r="DV72" s="610">
        <f t="shared" si="69"/>
        <v>0</v>
      </c>
      <c r="DW72" s="611">
        <f t="shared" si="70"/>
        <v>0.4507029118970462</v>
      </c>
    </row>
    <row r="73" spans="9:127" x14ac:dyDescent="0.25">
      <c r="I73" s="473" t="s">
        <v>852</v>
      </c>
      <c r="J73" s="476" t="s">
        <v>851</v>
      </c>
      <c r="K73" s="473">
        <v>35</v>
      </c>
      <c r="L73" s="476"/>
      <c r="M73" s="476" t="str">
        <f t="shared" si="38"/>
        <v>Light Oil</v>
      </c>
      <c r="N73" s="606">
        <f t="shared" si="31"/>
        <v>4.3593517548323124</v>
      </c>
      <c r="O73" s="607">
        <f t="shared" si="42"/>
        <v>1.2759391450439788</v>
      </c>
      <c r="P73" s="616">
        <f t="shared" si="43"/>
        <v>0.2264193930205074</v>
      </c>
      <c r="Q73" s="608">
        <f t="shared" si="71"/>
        <v>0</v>
      </c>
      <c r="R73" s="609">
        <f t="shared" si="44"/>
        <v>0</v>
      </c>
      <c r="S73" s="609">
        <f t="shared" si="45"/>
        <v>1.2759391450439788</v>
      </c>
      <c r="T73" s="609">
        <f t="shared" si="46"/>
        <v>0</v>
      </c>
      <c r="U73" s="609">
        <f t="shared" si="47"/>
        <v>0</v>
      </c>
      <c r="V73" s="609">
        <f t="shared" si="48"/>
        <v>0</v>
      </c>
      <c r="W73" s="610">
        <f t="shared" si="49"/>
        <v>0</v>
      </c>
      <c r="X73" s="610">
        <f t="shared" si="50"/>
        <v>1</v>
      </c>
      <c r="Y73" s="610">
        <f t="shared" si="51"/>
        <v>0</v>
      </c>
      <c r="Z73" s="610">
        <f t="shared" si="52"/>
        <v>0</v>
      </c>
      <c r="AA73" s="611" t="str">
        <f t="shared" si="53"/>
        <v>-</v>
      </c>
      <c r="AB73" s="590">
        <f>+'5. GlobalData'!K18*1000*$D$26/1000</f>
        <v>44.660401360000002</v>
      </c>
      <c r="AC73" s="591">
        <f t="shared" si="54"/>
        <v>10.244734509091689</v>
      </c>
      <c r="AD73" s="604">
        <f t="shared" si="55"/>
        <v>34.54842039201656</v>
      </c>
      <c r="AE73" s="620">
        <f t="shared" si="56"/>
        <v>7.9251279398869032</v>
      </c>
      <c r="AF73" s="604">
        <f t="shared" si="72"/>
        <v>10.111980967983444</v>
      </c>
      <c r="AG73" s="621">
        <f t="shared" si="57"/>
        <v>7.9251279398869032</v>
      </c>
      <c r="AH73" s="436">
        <f t="shared" si="58"/>
        <v>5.6352908998762912</v>
      </c>
      <c r="AI73" s="669">
        <f>+IF('5. GlobalData'!K123="","",'5. GlobalData'!K123)</f>
        <v>1</v>
      </c>
      <c r="AJ73" s="670">
        <f>+IF('5. GlobalData'!L123="","",'5. GlobalData'!L123)</f>
        <v>0.94496365524402925</v>
      </c>
      <c r="AK73" s="670" t="str">
        <f>+IF('5. GlobalData'!M123="","",'5. GlobalData'!M123)</f>
        <v/>
      </c>
      <c r="AL73" s="670">
        <f>+IF('5. GlobalData'!N123="","",'5. GlobalData'!N123)</f>
        <v>0.73727933541017676</v>
      </c>
      <c r="AM73" s="670" t="str">
        <f>+IF('5. GlobalData'!O123="","",'5. GlobalData'!O123)</f>
        <v/>
      </c>
      <c r="AN73" s="670">
        <f>+IF('5. GlobalData'!P123="","",'5. GlobalData'!P123)</f>
        <v>0.44652128764278304</v>
      </c>
      <c r="AO73" s="670" t="str">
        <f>+IF('5. GlobalData'!Q123="","",'5. GlobalData'!Q123)</f>
        <v/>
      </c>
      <c r="AP73" s="670">
        <f>+IF('5. GlobalData'!R123="","",'5. GlobalData'!R123)</f>
        <v>0.30114226375908659</v>
      </c>
      <c r="AQ73" s="670" t="str">
        <f>+IF('5. GlobalData'!S123="","",'5. GlobalData'!S123)</f>
        <v/>
      </c>
      <c r="AR73" s="670">
        <f>+IF('5. GlobalData'!T123="","",'5. GlobalData'!T123)</f>
        <v>0.1973001038421604</v>
      </c>
      <c r="AS73" s="670">
        <f>+IF('5. GlobalData'!U123="","",'5. GlobalData'!U123)</f>
        <v>0.17653167185877508</v>
      </c>
      <c r="AT73" s="670" t="str">
        <f>+IF('5. GlobalData'!V123="","",'5. GlobalData'!V123)</f>
        <v/>
      </c>
      <c r="AU73" s="670" t="str">
        <f>+IF('5. GlobalData'!W123="","",'5. GlobalData'!W123)</f>
        <v/>
      </c>
      <c r="AV73" s="671" t="str">
        <f>+IF('5. GlobalData'!X123="","",'5. GlobalData'!X123)</f>
        <v/>
      </c>
      <c r="AW73" s="675">
        <f t="shared" si="73"/>
        <v>5.6352908998762912</v>
      </c>
      <c r="AX73" s="676">
        <f t="shared" si="74"/>
        <v>5.3251450871105153</v>
      </c>
      <c r="AY73" s="676" t="str">
        <f t="shared" si="75"/>
        <v/>
      </c>
      <c r="AZ73" s="676">
        <f t="shared" si="76"/>
        <v>4.1547835295038089</v>
      </c>
      <c r="BA73" s="676" t="str">
        <f t="shared" si="77"/>
        <v/>
      </c>
      <c r="BB73" s="676">
        <f t="shared" si="78"/>
        <v>2.5162773488544192</v>
      </c>
      <c r="BC73" s="676" t="str">
        <f t="shared" si="79"/>
        <v/>
      </c>
      <c r="BD73" s="676">
        <f t="shared" si="80"/>
        <v>1.6970242585297266</v>
      </c>
      <c r="BE73" s="676" t="str">
        <f t="shared" si="81"/>
        <v/>
      </c>
      <c r="BF73" s="676">
        <f t="shared" si="82"/>
        <v>1.1118434797263739</v>
      </c>
      <c r="BG73" s="676">
        <f t="shared" si="83"/>
        <v>0.99480732396570282</v>
      </c>
      <c r="BH73" s="676" t="str">
        <f t="shared" si="84"/>
        <v/>
      </c>
      <c r="BI73" s="676" t="str">
        <f t="shared" si="85"/>
        <v/>
      </c>
      <c r="BJ73" s="677" t="str">
        <f t="shared" si="86"/>
        <v/>
      </c>
      <c r="BK73" s="675">
        <v>5.6352908998762912</v>
      </c>
      <c r="BL73" s="676">
        <v>5.3251450871105153</v>
      </c>
      <c r="BM73" s="683">
        <f>+BL73+(BN73-BL73)*(2023-2020)/(2025-2020)</f>
        <v>4.6229281525464918</v>
      </c>
      <c r="BN73" s="676">
        <v>4.1547835295038089</v>
      </c>
      <c r="BO73" s="683">
        <f t="shared" si="87"/>
        <v>3.4993810572440531</v>
      </c>
      <c r="BP73" s="676">
        <v>2.5162773488544192</v>
      </c>
      <c r="BQ73" s="683">
        <f>+BP73+(BR73-BP73)*(2033-2030)/(2035-2030)</f>
        <v>2.0247254946596036</v>
      </c>
      <c r="BR73" s="676">
        <v>1.6970242585297266</v>
      </c>
      <c r="BS73" s="683">
        <f t="shared" si="88"/>
        <v>1.4629519470083856</v>
      </c>
      <c r="BT73" s="676">
        <v>1.1118434797263739</v>
      </c>
      <c r="BU73" s="676">
        <v>0.99480732396570282</v>
      </c>
      <c r="BV73" s="681" t="s">
        <v>1063</v>
      </c>
      <c r="BW73" s="681" t="s">
        <v>1063</v>
      </c>
      <c r="BX73" s="682" t="s">
        <v>1063</v>
      </c>
      <c r="BY73" s="664"/>
      <c r="BZ73" s="664"/>
      <c r="CA73" s="664"/>
      <c r="CB73" s="664"/>
      <c r="CC73" s="320"/>
      <c r="CD73" s="691"/>
      <c r="CE73" s="691"/>
      <c r="CF73" s="691"/>
      <c r="CG73" s="691"/>
      <c r="CH73" s="691"/>
      <c r="CI73" s="691"/>
      <c r="CJ73" s="691"/>
      <c r="CK73" s="691"/>
      <c r="CL73" s="691"/>
      <c r="CM73" s="691"/>
      <c r="CN73" s="691"/>
      <c r="CO73" s="691"/>
      <c r="CP73" s="691"/>
      <c r="CQ73" s="691"/>
      <c r="CR73" s="664"/>
      <c r="CS73" s="664"/>
      <c r="CT73" s="664"/>
      <c r="CU73" s="664"/>
      <c r="CV73" s="664"/>
      <c r="CW73" s="664"/>
      <c r="CX73" s="663"/>
      <c r="CY73" s="663"/>
      <c r="CZ73" s="663"/>
      <c r="DA73" s="663"/>
      <c r="DB73" s="663"/>
      <c r="DC73" s="663"/>
      <c r="DD73" s="476" t="str">
        <f t="shared" si="39"/>
        <v>Orito</v>
      </c>
      <c r="DE73" s="473">
        <f t="shared" si="40"/>
        <v>35</v>
      </c>
      <c r="DF73" s="476">
        <f t="shared" si="60"/>
        <v>0</v>
      </c>
      <c r="DG73" s="476" t="str">
        <f t="shared" si="41"/>
        <v>Light Oil</v>
      </c>
      <c r="DH73" s="606">
        <f t="shared" si="32"/>
        <v>4.3593517548323124</v>
      </c>
      <c r="DI73" s="607">
        <f t="shared" si="33"/>
        <v>1.2759391450439788</v>
      </c>
      <c r="DJ73" s="608">
        <f t="shared" si="34"/>
        <v>0.2264193930205074</v>
      </c>
      <c r="DK73" s="608">
        <f t="shared" si="35"/>
        <v>0</v>
      </c>
      <c r="DL73" s="590">
        <f t="shared" si="36"/>
        <v>44.660401360000002</v>
      </c>
      <c r="DM73" s="591">
        <f t="shared" si="37"/>
        <v>10.244734509091689</v>
      </c>
      <c r="DN73" s="609">
        <f t="shared" si="61"/>
        <v>0</v>
      </c>
      <c r="DO73" s="609">
        <f t="shared" si="62"/>
        <v>1.2759391450439788</v>
      </c>
      <c r="DP73" s="609">
        <f t="shared" si="63"/>
        <v>0</v>
      </c>
      <c r="DQ73" s="609">
        <f t="shared" si="64"/>
        <v>0</v>
      </c>
      <c r="DR73" s="609">
        <f t="shared" si="65"/>
        <v>0</v>
      </c>
      <c r="DS73" s="610">
        <f t="shared" si="66"/>
        <v>0</v>
      </c>
      <c r="DT73" s="610">
        <f t="shared" si="67"/>
        <v>1</v>
      </c>
      <c r="DU73" s="610">
        <f t="shared" si="68"/>
        <v>0</v>
      </c>
      <c r="DV73" s="610">
        <f t="shared" si="69"/>
        <v>0</v>
      </c>
      <c r="DW73" s="611" t="str">
        <f t="shared" si="70"/>
        <v>-</v>
      </c>
    </row>
    <row r="74" spans="9:127" x14ac:dyDescent="0.25">
      <c r="I74" s="473" t="s">
        <v>817</v>
      </c>
      <c r="J74" s="476" t="s">
        <v>818</v>
      </c>
      <c r="K74" s="473">
        <v>21</v>
      </c>
      <c r="L74" s="476"/>
      <c r="M74" s="476" t="str">
        <f t="shared" si="38"/>
        <v>Medium Oil</v>
      </c>
      <c r="N74" s="606">
        <f t="shared" si="31"/>
        <v>26.927100382560717</v>
      </c>
      <c r="O74" s="607">
        <f t="shared" si="42"/>
        <v>0.43827912983870243</v>
      </c>
      <c r="P74" s="616">
        <f t="shared" si="43"/>
        <v>1.601582501861944E-2</v>
      </c>
      <c r="Q74" s="608">
        <f t="shared" si="71"/>
        <v>0</v>
      </c>
      <c r="R74" s="609">
        <f t="shared" si="44"/>
        <v>0.35206293264379496</v>
      </c>
      <c r="S74" s="609">
        <f t="shared" si="45"/>
        <v>8.621619719490746E-2</v>
      </c>
      <c r="T74" s="609">
        <f t="shared" si="46"/>
        <v>0</v>
      </c>
      <c r="U74" s="609">
        <f t="shared" si="47"/>
        <v>0</v>
      </c>
      <c r="V74" s="609">
        <f t="shared" si="48"/>
        <v>0</v>
      </c>
      <c r="W74" s="610">
        <f t="shared" si="49"/>
        <v>0.8032847303803009</v>
      </c>
      <c r="X74" s="610">
        <f t="shared" si="50"/>
        <v>0.1967152696196991</v>
      </c>
      <c r="Y74" s="610">
        <f t="shared" si="51"/>
        <v>0</v>
      </c>
      <c r="Z74" s="610">
        <f t="shared" si="52"/>
        <v>0</v>
      </c>
      <c r="AA74" s="611" t="str">
        <f t="shared" si="53"/>
        <v>-</v>
      </c>
      <c r="AB74" s="590">
        <f>+'5. GlobalData'!K19*1000*$D$26/1000</f>
        <v>188.18547203199998</v>
      </c>
      <c r="AC74" s="591">
        <f t="shared" si="54"/>
        <v>6.9887016930303396</v>
      </c>
      <c r="AD74" s="604">
        <f t="shared" si="55"/>
        <v>185.17152644088918</v>
      </c>
      <c r="AE74" s="620">
        <f t="shared" si="56"/>
        <v>6.8767718696074365</v>
      </c>
      <c r="AF74" s="604">
        <f t="shared" si="72"/>
        <v>3.0139455911108142</v>
      </c>
      <c r="AG74" s="621">
        <f t="shared" si="57"/>
        <v>6.8767718696074365</v>
      </c>
      <c r="AH74" s="436">
        <f t="shared" si="58"/>
        <v>27.365379512399418</v>
      </c>
      <c r="AI74" s="669">
        <f>+IF('5. GlobalData'!K124="","",'5. GlobalData'!K124)</f>
        <v>1</v>
      </c>
      <c r="AJ74" s="670">
        <f>+IF('5. GlobalData'!L124="","",'5. GlobalData'!L124)</f>
        <v>1.0310255469146412</v>
      </c>
      <c r="AK74" s="670">
        <f>+IF('5. GlobalData'!M124="","",'5. GlobalData'!M124)</f>
        <v>0.17577819018199156</v>
      </c>
      <c r="AL74" s="670">
        <f>+IF('5. GlobalData'!N124="","",'5. GlobalData'!N124)</f>
        <v>0.66092218511717382</v>
      </c>
      <c r="AM74" s="670" t="str">
        <f>+IF('5. GlobalData'!O124="","",'5. GlobalData'!O124)</f>
        <v/>
      </c>
      <c r="AN74" s="670">
        <f>+IF('5. GlobalData'!P124="","",'5. GlobalData'!P124)</f>
        <v>0.33463958697627877</v>
      </c>
      <c r="AO74" s="670" t="str">
        <f>+IF('5. GlobalData'!Q124="","",'5. GlobalData'!Q124)</f>
        <v/>
      </c>
      <c r="AP74" s="670">
        <f>+IF('5. GlobalData'!R124="","",'5. GlobalData'!R124)</f>
        <v>0.20370091380627384</v>
      </c>
      <c r="AQ74" s="670" t="str">
        <f>+IF('5. GlobalData'!S124="","",'5. GlobalData'!S124)</f>
        <v/>
      </c>
      <c r="AR74" s="670">
        <f>+IF('5. GlobalData'!T124="","",'5. GlobalData'!T124)</f>
        <v>3.7499258540915723E-2</v>
      </c>
      <c r="AS74" s="670" t="str">
        <f>+IF('5. GlobalData'!U124="","",'5. GlobalData'!U124)</f>
        <v/>
      </c>
      <c r="AT74" s="670">
        <f>+IF('5. GlobalData'!V124="","",'5. GlobalData'!V124)</f>
        <v>2.3808736263604358E-2</v>
      </c>
      <c r="AU74" s="670">
        <f>+IF('5. GlobalData'!W124="","",'5. GlobalData'!W124)</f>
        <v>1.3910049602457838E-2</v>
      </c>
      <c r="AV74" s="671" t="str">
        <f>+IF('5. GlobalData'!X124="","",'5. GlobalData'!X124)</f>
        <v/>
      </c>
      <c r="AW74" s="675">
        <f t="shared" si="73"/>
        <v>27.365379512399418</v>
      </c>
      <c r="AX74" s="676">
        <f t="shared" si="74"/>
        <v>28.214405378298327</v>
      </c>
      <c r="AY74" s="676">
        <f t="shared" si="75"/>
        <v>4.8102368843329204</v>
      </c>
      <c r="AZ74" s="676">
        <f t="shared" si="76"/>
        <v>18.086386423895764</v>
      </c>
      <c r="BA74" s="676" t="str">
        <f t="shared" si="77"/>
        <v/>
      </c>
      <c r="BB74" s="676">
        <f t="shared" si="78"/>
        <v>9.1575392974784613</v>
      </c>
      <c r="BC74" s="676" t="str">
        <f t="shared" si="79"/>
        <v/>
      </c>
      <c r="BD74" s="676">
        <f t="shared" si="80"/>
        <v>5.5743528133312461</v>
      </c>
      <c r="BE74" s="676" t="str">
        <f t="shared" si="81"/>
        <v/>
      </c>
      <c r="BF74" s="676">
        <f t="shared" si="82"/>
        <v>1.026181441405744</v>
      </c>
      <c r="BG74" s="676" t="str">
        <f t="shared" si="83"/>
        <v/>
      </c>
      <c r="BH74" s="676">
        <f t="shared" si="84"/>
        <v>0.65153510356415978</v>
      </c>
      <c r="BI74" s="676">
        <f t="shared" si="85"/>
        <v>0.38065378640755937</v>
      </c>
      <c r="BJ74" s="677" t="str">
        <f t="shared" si="86"/>
        <v/>
      </c>
      <c r="BK74" s="675">
        <v>27.365379512399418</v>
      </c>
      <c r="BL74" s="676">
        <v>28.214405378298327</v>
      </c>
      <c r="BM74" s="676">
        <v>4.8102368843329204</v>
      </c>
      <c r="BN74" s="676">
        <v>18.086386423895764</v>
      </c>
      <c r="BO74" s="683">
        <f t="shared" si="87"/>
        <v>14.514847573328844</v>
      </c>
      <c r="BP74" s="676">
        <v>9.1575392974784613</v>
      </c>
      <c r="BQ74" s="683">
        <f>+BP74+(BR74-BP74)*(2033-2030)/(2035-2030)</f>
        <v>7.0076274069901325</v>
      </c>
      <c r="BR74" s="676">
        <v>5.5743528133312461</v>
      </c>
      <c r="BS74" s="683">
        <f t="shared" si="88"/>
        <v>3.7550842645610452</v>
      </c>
      <c r="BT74" s="676">
        <v>1.026181441405744</v>
      </c>
      <c r="BU74" s="683">
        <f>+BT74+(BV74-BT74)*(2043-2040)/(2045-2040)</f>
        <v>0.8013936387007935</v>
      </c>
      <c r="BV74" s="676">
        <v>0.65153510356415978</v>
      </c>
      <c r="BW74" s="676">
        <v>0.38065378640755937</v>
      </c>
      <c r="BX74" s="682" t="s">
        <v>1063</v>
      </c>
      <c r="BY74" s="664"/>
      <c r="BZ74" s="664"/>
      <c r="CA74" s="664"/>
      <c r="CB74" s="664"/>
      <c r="CC74" s="320"/>
      <c r="CD74" s="691"/>
      <c r="CE74" s="691"/>
      <c r="CF74" s="691"/>
      <c r="CG74" s="691"/>
      <c r="CH74" s="691"/>
      <c r="CI74" s="691"/>
      <c r="CJ74" s="691"/>
      <c r="CK74" s="691"/>
      <c r="CL74" s="691"/>
      <c r="CM74" s="691"/>
      <c r="CN74" s="691"/>
      <c r="CO74" s="691"/>
      <c r="CP74" s="691"/>
      <c r="CQ74" s="691"/>
      <c r="CR74" s="664"/>
      <c r="CS74" s="664"/>
      <c r="CT74" s="664"/>
      <c r="CU74" s="664"/>
      <c r="CV74" s="664"/>
      <c r="CW74" s="664"/>
      <c r="CX74" s="663"/>
      <c r="CY74" s="663"/>
      <c r="CZ74" s="663"/>
      <c r="DA74" s="663"/>
      <c r="DB74" s="663"/>
      <c r="DC74" s="663"/>
      <c r="DD74" s="476" t="str">
        <f t="shared" si="39"/>
        <v>Casabe</v>
      </c>
      <c r="DE74" s="473">
        <f t="shared" si="40"/>
        <v>21</v>
      </c>
      <c r="DF74" s="476">
        <f t="shared" si="60"/>
        <v>0</v>
      </c>
      <c r="DG74" s="476" t="str">
        <f t="shared" si="41"/>
        <v>Medium Oil</v>
      </c>
      <c r="DH74" s="606">
        <f t="shared" si="32"/>
        <v>26.927100382560717</v>
      </c>
      <c r="DI74" s="607">
        <f t="shared" si="33"/>
        <v>0.43827912983870243</v>
      </c>
      <c r="DJ74" s="608">
        <f t="shared" si="34"/>
        <v>1.601582501861944E-2</v>
      </c>
      <c r="DK74" s="608">
        <f t="shared" si="35"/>
        <v>0</v>
      </c>
      <c r="DL74" s="590">
        <f t="shared" si="36"/>
        <v>188.18547203199998</v>
      </c>
      <c r="DM74" s="591">
        <f t="shared" si="37"/>
        <v>6.9887016930303396</v>
      </c>
      <c r="DN74" s="609">
        <f t="shared" si="61"/>
        <v>0.35206293264379496</v>
      </c>
      <c r="DO74" s="609">
        <f t="shared" si="62"/>
        <v>8.621619719490746E-2</v>
      </c>
      <c r="DP74" s="609">
        <f t="shared" si="63"/>
        <v>0</v>
      </c>
      <c r="DQ74" s="609">
        <f t="shared" si="64"/>
        <v>0</v>
      </c>
      <c r="DR74" s="609">
        <f t="shared" si="65"/>
        <v>0</v>
      </c>
      <c r="DS74" s="610">
        <f t="shared" si="66"/>
        <v>0.8032847303803009</v>
      </c>
      <c r="DT74" s="610">
        <f t="shared" si="67"/>
        <v>0.1967152696196991</v>
      </c>
      <c r="DU74" s="610">
        <f t="shared" si="68"/>
        <v>0</v>
      </c>
      <c r="DV74" s="610">
        <f t="shared" si="69"/>
        <v>0</v>
      </c>
      <c r="DW74" s="611" t="str">
        <f t="shared" si="70"/>
        <v>-</v>
      </c>
    </row>
    <row r="75" spans="9:127" x14ac:dyDescent="0.25">
      <c r="I75" s="473" t="s">
        <v>817</v>
      </c>
      <c r="J75" s="476" t="s">
        <v>820</v>
      </c>
      <c r="K75" s="473">
        <v>12.5</v>
      </c>
      <c r="L75" s="476"/>
      <c r="M75" s="476" t="str">
        <f t="shared" si="38"/>
        <v>Heavy Oil</v>
      </c>
      <c r="N75" s="606">
        <f t="shared" si="31"/>
        <v>3.2805677744000978</v>
      </c>
      <c r="O75" s="607">
        <f t="shared" si="42"/>
        <v>8.7791106651863626E-2</v>
      </c>
      <c r="P75" s="616">
        <f t="shared" si="43"/>
        <v>2.6063465845553212E-2</v>
      </c>
      <c r="Q75" s="608">
        <f t="shared" si="71"/>
        <v>0</v>
      </c>
      <c r="R75" s="609">
        <f t="shared" si="44"/>
        <v>3.6990181091585597E-2</v>
      </c>
      <c r="S75" s="609">
        <f t="shared" si="45"/>
        <v>5.0800925560278022E-2</v>
      </c>
      <c r="T75" s="609">
        <f t="shared" si="46"/>
        <v>0</v>
      </c>
      <c r="U75" s="609">
        <f t="shared" si="47"/>
        <v>0</v>
      </c>
      <c r="V75" s="609">
        <f t="shared" si="48"/>
        <v>0</v>
      </c>
      <c r="W75" s="610">
        <f t="shared" si="49"/>
        <v>0.42134314627414909</v>
      </c>
      <c r="X75" s="610">
        <f t="shared" si="50"/>
        <v>0.57865685372585085</v>
      </c>
      <c r="Y75" s="610">
        <f t="shared" si="51"/>
        <v>0</v>
      </c>
      <c r="Z75" s="610">
        <f t="shared" si="52"/>
        <v>0</v>
      </c>
      <c r="AA75" s="611" t="str">
        <f t="shared" si="53"/>
        <v>-</v>
      </c>
      <c r="AB75" s="590">
        <f>+'5. GlobalData'!K20*1000*$D$26/1000</f>
        <v>34.198855287999997</v>
      </c>
      <c r="AC75" s="591">
        <f t="shared" si="54"/>
        <v>10.42467573902014</v>
      </c>
      <c r="AD75" s="604">
        <f t="shared" si="55"/>
        <v>33.307514591244193</v>
      </c>
      <c r="AE75" s="620">
        <f t="shared" si="56"/>
        <v>10.152972558945223</v>
      </c>
      <c r="AF75" s="604">
        <f t="shared" si="72"/>
        <v>0.89134069675580474</v>
      </c>
      <c r="AG75" s="621">
        <f t="shared" si="57"/>
        <v>10.152972558945223</v>
      </c>
      <c r="AH75" s="436">
        <f t="shared" si="58"/>
        <v>3.3683588810519614</v>
      </c>
      <c r="AI75" s="669">
        <f>+IF('5. GlobalData'!K125="","",'5. GlobalData'!K125)</f>
        <v>1</v>
      </c>
      <c r="AJ75" s="670">
        <f>+IF('5. GlobalData'!L125="","",'5. GlobalData'!L125)</f>
        <v>0.91296648521020596</v>
      </c>
      <c r="AK75" s="670">
        <f>+IF('5. GlobalData'!M125="","",'5. GlobalData'!M125)</f>
        <v>1.037023676788877</v>
      </c>
      <c r="AL75" s="670">
        <f>+IF('5. GlobalData'!N125="","",'5. GlobalData'!N125)</f>
        <v>0.81013478061257982</v>
      </c>
      <c r="AM75" s="670" t="str">
        <f>+IF('5. GlobalData'!O125="","",'5. GlobalData'!O125)</f>
        <v/>
      </c>
      <c r="AN75" s="670" t="str">
        <f>+IF('5. GlobalData'!P125="","",'5. GlobalData'!P125)</f>
        <v/>
      </c>
      <c r="AO75" s="670">
        <f>+IF('5. GlobalData'!Q125="","",'5. GlobalData'!Q125)</f>
        <v>0.4888748606283207</v>
      </c>
      <c r="AP75" s="670">
        <f>+IF('5. GlobalData'!R125="","",'5. GlobalData'!R125)</f>
        <v>0.2910572571653447</v>
      </c>
      <c r="AQ75" s="670" t="str">
        <f>+IF('5. GlobalData'!S125="","",'5. GlobalData'!S125)</f>
        <v/>
      </c>
      <c r="AR75" s="670">
        <f>+IF('5. GlobalData'!T125="","",'5. GlobalData'!T125)</f>
        <v>0.17878107168623381</v>
      </c>
      <c r="AS75" s="670" t="str">
        <f>+IF('5. GlobalData'!U125="","",'5. GlobalData'!U125)</f>
        <v/>
      </c>
      <c r="AT75" s="670">
        <f>+IF('5. GlobalData'!V125="","",'5. GlobalData'!V125)</f>
        <v>0.1234177215189884</v>
      </c>
      <c r="AU75" s="670" t="str">
        <f>+IF('5. GlobalData'!W125="","",'5. GlobalData'!W125)</f>
        <v/>
      </c>
      <c r="AV75" s="671" t="str">
        <f>+IF('5. GlobalData'!X125="","",'5. GlobalData'!X125)</f>
        <v/>
      </c>
      <c r="AW75" s="675">
        <f t="shared" si="73"/>
        <v>3.3683588810519614</v>
      </c>
      <c r="AX75" s="676">
        <f t="shared" si="74"/>
        <v>3.0751987685605915</v>
      </c>
      <c r="AY75" s="676">
        <f t="shared" si="75"/>
        <v>3.4930679115729726</v>
      </c>
      <c r="AZ75" s="676">
        <f t="shared" si="76"/>
        <v>2.7288246831254654</v>
      </c>
      <c r="BA75" s="676" t="str">
        <f t="shared" si="77"/>
        <v/>
      </c>
      <c r="BB75" s="676" t="str">
        <f t="shared" si="78"/>
        <v/>
      </c>
      <c r="BC75" s="676">
        <f t="shared" si="79"/>
        <v>1.6467059785204439</v>
      </c>
      <c r="BD75" s="676">
        <f t="shared" si="80"/>
        <v>0.98038529706751343</v>
      </c>
      <c r="BE75" s="676" t="str">
        <f t="shared" si="81"/>
        <v/>
      </c>
      <c r="BF75" s="676">
        <f t="shared" si="82"/>
        <v>0.60219881057831304</v>
      </c>
      <c r="BG75" s="676" t="str">
        <f t="shared" si="83"/>
        <v/>
      </c>
      <c r="BH75" s="676">
        <f t="shared" si="84"/>
        <v>0.41571517835768235</v>
      </c>
      <c r="BI75" s="676" t="str">
        <f t="shared" si="85"/>
        <v/>
      </c>
      <c r="BJ75" s="677" t="str">
        <f t="shared" si="86"/>
        <v/>
      </c>
      <c r="BK75" s="675">
        <v>3.3683588810519614</v>
      </c>
      <c r="BL75" s="676">
        <v>3.0751987685605915</v>
      </c>
      <c r="BM75" s="676">
        <v>3.4930679115729726</v>
      </c>
      <c r="BN75" s="676">
        <v>2.7288246831254654</v>
      </c>
      <c r="BO75" s="683">
        <f>+BN75+(BQ75-BN75)*(2027-2025)/(2033-2025)</f>
        <v>2.4582950069742102</v>
      </c>
      <c r="BP75" s="683">
        <f>+BN75+(BQ75-BN75)*(2030-2025)/(2033-2025)</f>
        <v>2.0525004927473267</v>
      </c>
      <c r="BQ75" s="676">
        <v>1.6467059785204439</v>
      </c>
      <c r="BR75" s="676">
        <v>0.98038529706751343</v>
      </c>
      <c r="BS75" s="683">
        <f t="shared" si="88"/>
        <v>0.82911070247183327</v>
      </c>
      <c r="BT75" s="676">
        <v>0.60219881057831304</v>
      </c>
      <c r="BU75" s="683">
        <f>+BT75+(BV75-BT75)*(2043-2040)/(2045-2040)</f>
        <v>0.4903086312459346</v>
      </c>
      <c r="BV75" s="676">
        <v>0.41571517835768235</v>
      </c>
      <c r="BW75" s="681" t="s">
        <v>1063</v>
      </c>
      <c r="BX75" s="682" t="s">
        <v>1063</v>
      </c>
      <c r="BY75" s="664"/>
      <c r="BZ75" s="664"/>
      <c r="CA75" s="664"/>
      <c r="CB75" s="664"/>
      <c r="CC75" s="320"/>
      <c r="CD75" s="691"/>
      <c r="CE75" s="691"/>
      <c r="CF75" s="691"/>
      <c r="CG75" s="691"/>
      <c r="CH75" s="691"/>
      <c r="CI75" s="691"/>
      <c r="CJ75" s="691"/>
      <c r="CK75" s="691"/>
      <c r="CL75" s="691"/>
      <c r="CM75" s="691"/>
      <c r="CN75" s="691"/>
      <c r="CO75" s="691"/>
      <c r="CP75" s="691"/>
      <c r="CQ75" s="691"/>
      <c r="CR75" s="664"/>
      <c r="CS75" s="664"/>
      <c r="CT75" s="664"/>
      <c r="CU75" s="664"/>
      <c r="CV75" s="664"/>
      <c r="CW75" s="664"/>
      <c r="CX75" s="663"/>
      <c r="CY75" s="663"/>
      <c r="CZ75" s="663"/>
      <c r="DA75" s="663"/>
      <c r="DB75" s="663"/>
      <c r="DC75" s="663"/>
      <c r="DD75" s="476" t="str">
        <f t="shared" si="39"/>
        <v>Area Teca-Corcona</v>
      </c>
      <c r="DE75" s="473">
        <f t="shared" si="40"/>
        <v>12.5</v>
      </c>
      <c r="DF75" s="476">
        <f t="shared" si="60"/>
        <v>0</v>
      </c>
      <c r="DG75" s="476" t="str">
        <f t="shared" si="41"/>
        <v>Heavy Oil</v>
      </c>
      <c r="DH75" s="606">
        <f t="shared" si="32"/>
        <v>3.2805677744000978</v>
      </c>
      <c r="DI75" s="607">
        <f t="shared" si="33"/>
        <v>8.7791106651863626E-2</v>
      </c>
      <c r="DJ75" s="608">
        <f t="shared" si="34"/>
        <v>2.6063465845553212E-2</v>
      </c>
      <c r="DK75" s="608">
        <f t="shared" si="35"/>
        <v>0</v>
      </c>
      <c r="DL75" s="590">
        <f t="shared" si="36"/>
        <v>34.198855287999997</v>
      </c>
      <c r="DM75" s="591">
        <f t="shared" si="37"/>
        <v>10.42467573902014</v>
      </c>
      <c r="DN75" s="609">
        <f t="shared" si="61"/>
        <v>3.6990181091585597E-2</v>
      </c>
      <c r="DO75" s="609">
        <f t="shared" si="62"/>
        <v>5.0800925560278022E-2</v>
      </c>
      <c r="DP75" s="609">
        <f t="shared" si="63"/>
        <v>0</v>
      </c>
      <c r="DQ75" s="609">
        <f t="shared" si="64"/>
        <v>0</v>
      </c>
      <c r="DR75" s="609">
        <f t="shared" si="65"/>
        <v>0</v>
      </c>
      <c r="DS75" s="610">
        <f t="shared" si="66"/>
        <v>0.42134314627414909</v>
      </c>
      <c r="DT75" s="610">
        <f t="shared" si="67"/>
        <v>0.57865685372585085</v>
      </c>
      <c r="DU75" s="610">
        <f t="shared" si="68"/>
        <v>0</v>
      </c>
      <c r="DV75" s="610">
        <f t="shared" si="69"/>
        <v>0</v>
      </c>
      <c r="DW75" s="611" t="str">
        <f t="shared" si="70"/>
        <v>-</v>
      </c>
    </row>
    <row r="76" spans="9:127" x14ac:dyDescent="0.25">
      <c r="I76" s="473" t="s">
        <v>817</v>
      </c>
      <c r="J76" s="476" t="s">
        <v>854</v>
      </c>
      <c r="K76" s="473">
        <v>21</v>
      </c>
      <c r="L76" s="476"/>
      <c r="M76" s="476" t="str">
        <f t="shared" si="38"/>
        <v>Medium Oil</v>
      </c>
      <c r="N76" s="606">
        <f t="shared" si="31"/>
        <v>39.659458817161386</v>
      </c>
      <c r="O76" s="607">
        <f t="shared" si="42"/>
        <v>1.8634611370761611</v>
      </c>
      <c r="P76" s="616">
        <f t="shared" si="43"/>
        <v>4.4877892477934681E-2</v>
      </c>
      <c r="Q76" s="608">
        <f t="shared" si="71"/>
        <v>0.90025257054584151</v>
      </c>
      <c r="R76" s="609">
        <f t="shared" si="44"/>
        <v>0.8853716952922942</v>
      </c>
      <c r="S76" s="609">
        <f t="shared" si="45"/>
        <v>7.7836871238025379E-2</v>
      </c>
      <c r="T76" s="609">
        <f t="shared" si="46"/>
        <v>0</v>
      </c>
      <c r="U76" s="609">
        <f t="shared" si="47"/>
        <v>0</v>
      </c>
      <c r="V76" s="609">
        <f t="shared" si="48"/>
        <v>0.90025257054584151</v>
      </c>
      <c r="W76" s="610">
        <f t="shared" si="49"/>
        <v>0.47512216792536649</v>
      </c>
      <c r="X76" s="610">
        <f t="shared" si="50"/>
        <v>4.1770053417993079E-2</v>
      </c>
      <c r="Y76" s="610">
        <f t="shared" si="51"/>
        <v>0</v>
      </c>
      <c r="Z76" s="610">
        <f t="shared" si="52"/>
        <v>0.4831077786566404</v>
      </c>
      <c r="AA76" s="611" t="str">
        <f t="shared" si="53"/>
        <v>-</v>
      </c>
      <c r="AB76" s="590">
        <f>+'5. GlobalData'!K21*1000*$D$26/1000</f>
        <v>555.073728136</v>
      </c>
      <c r="AC76" s="591">
        <f t="shared" si="54"/>
        <v>13.6853470881509</v>
      </c>
      <c r="AD76" s="604">
        <f t="shared" si="55"/>
        <v>530.16318904738625</v>
      </c>
      <c r="AE76" s="620">
        <f t="shared" si="56"/>
        <v>13.367887632848252</v>
      </c>
      <c r="AF76" s="604">
        <f t="shared" si="72"/>
        <v>24.910539088613753</v>
      </c>
      <c r="AG76" s="621">
        <f t="shared" si="57"/>
        <v>13.36788763284825</v>
      </c>
      <c r="AH76" s="436">
        <f t="shared" si="58"/>
        <v>41.522919954237551</v>
      </c>
      <c r="AI76" s="669">
        <f>+IF('5. GlobalData'!K126="","",'5. GlobalData'!K126)</f>
        <v>1</v>
      </c>
      <c r="AJ76" s="670">
        <f>+IF('5. GlobalData'!L126="","",'5. GlobalData'!L126)</f>
        <v>1.0666666666666669</v>
      </c>
      <c r="AK76" s="670" t="str">
        <f>+IF('5. GlobalData'!M126="","",'5. GlobalData'!M126)</f>
        <v/>
      </c>
      <c r="AL76" s="670">
        <f>+IF('5. GlobalData'!N126="","",'5. GlobalData'!N126)</f>
        <v>0.89481481481481495</v>
      </c>
      <c r="AM76" s="670" t="str">
        <f>+IF('5. GlobalData'!O126="","",'5. GlobalData'!O126)</f>
        <v/>
      </c>
      <c r="AN76" s="670">
        <f>+IF('5. GlobalData'!P126="","",'5. GlobalData'!P126)</f>
        <v>0.58666666666666689</v>
      </c>
      <c r="AO76" s="670" t="str">
        <f>+IF('5. GlobalData'!Q126="","",'5. GlobalData'!Q126)</f>
        <v/>
      </c>
      <c r="AP76" s="670">
        <f>+IF('5. GlobalData'!R126="","",'5. GlobalData'!R126)</f>
        <v>0.37037037037037046</v>
      </c>
      <c r="AQ76" s="670" t="str">
        <f>+IF('5. GlobalData'!S126="","",'5. GlobalData'!S126)</f>
        <v/>
      </c>
      <c r="AR76" s="670">
        <f>+IF('5. GlobalData'!T126="","",'5. GlobalData'!T126)</f>
        <v>0.25777777777777799</v>
      </c>
      <c r="AS76" s="670" t="str">
        <f>+IF('5. GlobalData'!U126="","",'5. GlobalData'!U126)</f>
        <v/>
      </c>
      <c r="AT76" s="670">
        <f>+IF('5. GlobalData'!V126="","",'5. GlobalData'!V126)</f>
        <v>0.18370370370370376</v>
      </c>
      <c r="AU76" s="670" t="str">
        <f>+IF('5. GlobalData'!W126="","",'5. GlobalData'!W126)</f>
        <v/>
      </c>
      <c r="AV76" s="671">
        <f>+IF('5. GlobalData'!X126="","",'5. GlobalData'!X126)</f>
        <v>0.12740740740740755</v>
      </c>
      <c r="AW76" s="675">
        <f t="shared" si="73"/>
        <v>41.522919954237551</v>
      </c>
      <c r="AX76" s="676">
        <f t="shared" si="74"/>
        <v>44.291114617853395</v>
      </c>
      <c r="AY76" s="676" t="str">
        <f t="shared" si="75"/>
        <v/>
      </c>
      <c r="AZ76" s="676">
        <f t="shared" si="76"/>
        <v>37.155323929421456</v>
      </c>
      <c r="BA76" s="676" t="str">
        <f t="shared" si="77"/>
        <v/>
      </c>
      <c r="BB76" s="676">
        <f t="shared" si="78"/>
        <v>24.360113039819371</v>
      </c>
      <c r="BC76" s="676" t="str">
        <f t="shared" si="79"/>
        <v/>
      </c>
      <c r="BD76" s="676">
        <f t="shared" si="80"/>
        <v>15.378859242310208</v>
      </c>
      <c r="BE76" s="676" t="str">
        <f t="shared" si="81"/>
        <v/>
      </c>
      <c r="BF76" s="676">
        <f t="shared" si="82"/>
        <v>10.70368603264791</v>
      </c>
      <c r="BG76" s="676" t="str">
        <f t="shared" si="83"/>
        <v/>
      </c>
      <c r="BH76" s="676">
        <f t="shared" si="84"/>
        <v>7.6279141841858635</v>
      </c>
      <c r="BI76" s="676" t="str">
        <f t="shared" si="85"/>
        <v/>
      </c>
      <c r="BJ76" s="677">
        <f t="shared" si="86"/>
        <v>5.2903275793547166</v>
      </c>
      <c r="BK76" s="675">
        <v>41.522919954237551</v>
      </c>
      <c r="BL76" s="676">
        <v>44.291114617853395</v>
      </c>
      <c r="BM76" s="683">
        <f>+BL76+(BN76-BL76)*(2023-2020)/(2025-2020)</f>
        <v>40.009640204794231</v>
      </c>
      <c r="BN76" s="676">
        <v>37.155323929421456</v>
      </c>
      <c r="BO76" s="683">
        <f>+BN76+(BP76-BN76)*(2027-2025)/(2030-2025)</f>
        <v>32.037239573580621</v>
      </c>
      <c r="BP76" s="676">
        <v>24.360113039819371</v>
      </c>
      <c r="BQ76" s="683">
        <f>+BP76+(BR76-BP76)*(2033-2030)/(2035-2030)</f>
        <v>18.971360761313875</v>
      </c>
      <c r="BR76" s="676">
        <v>15.378859242310208</v>
      </c>
      <c r="BS76" s="683">
        <f t="shared" si="88"/>
        <v>13.50878995844529</v>
      </c>
      <c r="BT76" s="676">
        <v>10.70368603264791</v>
      </c>
      <c r="BU76" s="683">
        <f>+BT76+(BV76-BT76)*(2043-2040)/(2045-2040)</f>
        <v>8.8582229235706826</v>
      </c>
      <c r="BV76" s="676">
        <v>7.6279141841858635</v>
      </c>
      <c r="BW76" s="683">
        <f>+BV76+(BX76-BV76)*(2047-2045)/(2050-2045)</f>
        <v>6.6928795422534044</v>
      </c>
      <c r="BX76" s="677">
        <v>5.2903275793547166</v>
      </c>
      <c r="BY76" s="664"/>
      <c r="BZ76" s="664"/>
      <c r="CA76" s="664"/>
      <c r="CB76" s="664"/>
      <c r="CC76" s="320"/>
      <c r="CD76" s="691"/>
      <c r="CE76" s="691"/>
      <c r="CF76" s="691"/>
      <c r="CG76" s="691"/>
      <c r="CH76" s="691"/>
      <c r="CI76" s="691"/>
      <c r="CJ76" s="691"/>
      <c r="CK76" s="691"/>
      <c r="CL76" s="691"/>
      <c r="CM76" s="691"/>
      <c r="CN76" s="691"/>
      <c r="CO76" s="691"/>
      <c r="CP76" s="691"/>
      <c r="CQ76" s="691"/>
      <c r="CR76" s="664"/>
      <c r="CS76" s="664"/>
      <c r="CT76" s="664"/>
      <c r="CU76" s="664"/>
      <c r="CV76" s="664"/>
      <c r="CW76" s="664"/>
      <c r="CX76" s="663"/>
      <c r="CY76" s="663"/>
      <c r="CZ76" s="663"/>
      <c r="DA76" s="663"/>
      <c r="DB76" s="663"/>
      <c r="DC76" s="663"/>
      <c r="DD76" s="476" t="str">
        <f t="shared" si="39"/>
        <v>Yarigui-Cantagallo</v>
      </c>
      <c r="DE76" s="473">
        <f t="shared" si="40"/>
        <v>21</v>
      </c>
      <c r="DF76" s="476">
        <f t="shared" si="60"/>
        <v>0</v>
      </c>
      <c r="DG76" s="476" t="str">
        <f t="shared" si="41"/>
        <v>Medium Oil</v>
      </c>
      <c r="DH76" s="606">
        <f t="shared" si="32"/>
        <v>39.659458817161386</v>
      </c>
      <c r="DI76" s="607">
        <f t="shared" si="33"/>
        <v>1.8634611370761611</v>
      </c>
      <c r="DJ76" s="608">
        <f t="shared" si="34"/>
        <v>4.4877892477934681E-2</v>
      </c>
      <c r="DK76" s="608">
        <f t="shared" si="35"/>
        <v>0.90025257054584151</v>
      </c>
      <c r="DL76" s="590">
        <f t="shared" si="36"/>
        <v>555.073728136</v>
      </c>
      <c r="DM76" s="591">
        <f t="shared" si="37"/>
        <v>13.6853470881509</v>
      </c>
      <c r="DN76" s="609">
        <f t="shared" si="61"/>
        <v>0.8853716952922942</v>
      </c>
      <c r="DO76" s="609">
        <f t="shared" si="62"/>
        <v>7.7836871238025379E-2</v>
      </c>
      <c r="DP76" s="609">
        <f t="shared" si="63"/>
        <v>0</v>
      </c>
      <c r="DQ76" s="609">
        <f t="shared" si="64"/>
        <v>0</v>
      </c>
      <c r="DR76" s="609">
        <f t="shared" si="65"/>
        <v>0.90025257054584151</v>
      </c>
      <c r="DS76" s="610">
        <f t="shared" si="66"/>
        <v>0.47512216792536649</v>
      </c>
      <c r="DT76" s="610">
        <f t="shared" si="67"/>
        <v>4.1770053417993079E-2</v>
      </c>
      <c r="DU76" s="610">
        <f t="shared" si="68"/>
        <v>0</v>
      </c>
      <c r="DV76" s="610">
        <f t="shared" si="69"/>
        <v>0.4831077786566404</v>
      </c>
      <c r="DW76" s="611" t="str">
        <f t="shared" si="70"/>
        <v>-</v>
      </c>
    </row>
    <row r="77" spans="9:127" x14ac:dyDescent="0.25">
      <c r="I77" s="473" t="s">
        <v>817</v>
      </c>
      <c r="J77" s="476" t="s">
        <v>856</v>
      </c>
      <c r="K77" s="473">
        <f>20+(25-20)/2</f>
        <v>22.5</v>
      </c>
      <c r="L77" s="476"/>
      <c r="M77" s="476" t="str">
        <f t="shared" si="38"/>
        <v>Medium Oil</v>
      </c>
      <c r="N77" s="606">
        <f t="shared" si="31"/>
        <v>94.059349180277351</v>
      </c>
      <c r="O77" s="607">
        <f t="shared" si="42"/>
        <v>2.497140090885289</v>
      </c>
      <c r="P77" s="616">
        <f t="shared" si="43"/>
        <v>2.5861960285988563E-2</v>
      </c>
      <c r="Q77" s="608">
        <f t="shared" si="71"/>
        <v>1.3766222989813104</v>
      </c>
      <c r="R77" s="609">
        <f t="shared" si="44"/>
        <v>0.51468242964795996</v>
      </c>
      <c r="S77" s="609">
        <f t="shared" si="45"/>
        <v>0.60583536225601842</v>
      </c>
      <c r="T77" s="609">
        <f t="shared" si="46"/>
        <v>1.3766222989813104</v>
      </c>
      <c r="U77" s="609">
        <f t="shared" si="47"/>
        <v>0</v>
      </c>
      <c r="V77" s="609">
        <f t="shared" si="48"/>
        <v>0</v>
      </c>
      <c r="W77" s="610">
        <f t="shared" si="49"/>
        <v>0.20610875277946228</v>
      </c>
      <c r="X77" s="610">
        <f t="shared" si="50"/>
        <v>0.24261168384879719</v>
      </c>
      <c r="Y77" s="610">
        <f t="shared" si="51"/>
        <v>0.55127956337174044</v>
      </c>
      <c r="Z77" s="610">
        <f t="shared" si="52"/>
        <v>0</v>
      </c>
      <c r="AA77" s="611">
        <f t="shared" si="53"/>
        <v>0</v>
      </c>
      <c r="AB77" s="590">
        <f>+'5. GlobalData'!K22*1000*$D$26/1000</f>
        <v>356.91613908800002</v>
      </c>
      <c r="AC77" s="591">
        <f t="shared" si="54"/>
        <v>3.7398491738051778</v>
      </c>
      <c r="AD77" s="604">
        <f t="shared" si="55"/>
        <v>347.68558807347779</v>
      </c>
      <c r="AE77" s="620">
        <f t="shared" si="56"/>
        <v>3.69644900909416</v>
      </c>
      <c r="AF77" s="604">
        <f t="shared" si="72"/>
        <v>9.2305510145222271</v>
      </c>
      <c r="AG77" s="621">
        <f t="shared" si="57"/>
        <v>3.69644900909416</v>
      </c>
      <c r="AH77" s="436">
        <f t="shared" si="58"/>
        <v>96.556489271162647</v>
      </c>
      <c r="AI77" s="669">
        <f>+IF('5. GlobalData'!K127="","",'5. GlobalData'!K127)</f>
        <v>1</v>
      </c>
      <c r="AJ77" s="670">
        <f>+IF('5. GlobalData'!L127="","",'5. GlobalData'!L127)</f>
        <v>0.8428801816344339</v>
      </c>
      <c r="AK77" s="670" t="str">
        <f>+IF('5. GlobalData'!M127="","",'5. GlobalData'!M127)</f>
        <v/>
      </c>
      <c r="AL77" s="670">
        <f>+IF('5. GlobalData'!N127="","",'5. GlobalData'!N127)</f>
        <v>0.37272447742425052</v>
      </c>
      <c r="AM77" s="670" t="str">
        <f>+IF('5. GlobalData'!O127="","",'5. GlobalData'!O127)</f>
        <v/>
      </c>
      <c r="AN77" s="670">
        <f>+IF('5. GlobalData'!P127="","",'5. GlobalData'!P127)</f>
        <v>0.13070290395335787</v>
      </c>
      <c r="AO77" s="670" t="str">
        <f>+IF('5. GlobalData'!Q127="","",'5. GlobalData'!Q127)</f>
        <v/>
      </c>
      <c r="AP77" s="670">
        <f>+IF('5. GlobalData'!R127="","",'5. GlobalData'!R127)</f>
        <v>6.7508939285213676E-2</v>
      </c>
      <c r="AQ77" s="670" t="str">
        <f>+IF('5. GlobalData'!S127="","",'5. GlobalData'!S127)</f>
        <v/>
      </c>
      <c r="AR77" s="670">
        <f>+IF('5. GlobalData'!T127="","",'5. GlobalData'!T127)</f>
        <v>4.1404773439048928E-2</v>
      </c>
      <c r="AS77" s="670" t="str">
        <f>+IF('5. GlobalData'!U127="","",'5. GlobalData'!U127)</f>
        <v/>
      </c>
      <c r="AT77" s="670" t="str">
        <f>+IF('5. GlobalData'!V127="","",'5. GlobalData'!V127)</f>
        <v/>
      </c>
      <c r="AU77" s="670" t="str">
        <f>+IF('5. GlobalData'!W127="","",'5. GlobalData'!W127)</f>
        <v/>
      </c>
      <c r="AV77" s="671" t="str">
        <f>+IF('5. GlobalData'!X127="","",'5. GlobalData'!X127)</f>
        <v/>
      </c>
      <c r="AW77" s="675">
        <f t="shared" si="73"/>
        <v>96.556489271162647</v>
      </c>
      <c r="AX77" s="676">
        <f t="shared" si="74"/>
        <v>81.38555121486084</v>
      </c>
      <c r="AY77" s="676" t="str">
        <f t="shared" si="75"/>
        <v/>
      </c>
      <c r="AZ77" s="676">
        <f t="shared" si="76"/>
        <v>35.988967005514347</v>
      </c>
      <c r="BA77" s="676" t="str">
        <f t="shared" si="77"/>
        <v/>
      </c>
      <c r="BB77" s="676">
        <f t="shared" si="78"/>
        <v>12.620213543282201</v>
      </c>
      <c r="BC77" s="676" t="str">
        <f t="shared" si="79"/>
        <v/>
      </c>
      <c r="BD77" s="676">
        <f t="shared" si="80"/>
        <v>6.5184261718003045</v>
      </c>
      <c r="BE77" s="676" t="str">
        <f t="shared" si="81"/>
        <v/>
      </c>
      <c r="BF77" s="676">
        <f t="shared" si="82"/>
        <v>3.997899562342448</v>
      </c>
      <c r="BG77" s="676" t="str">
        <f t="shared" si="83"/>
        <v/>
      </c>
      <c r="BH77" s="676" t="str">
        <f t="shared" si="84"/>
        <v/>
      </c>
      <c r="BI77" s="676" t="str">
        <f t="shared" si="85"/>
        <v/>
      </c>
      <c r="BJ77" s="677" t="str">
        <f t="shared" si="86"/>
        <v/>
      </c>
      <c r="BK77" s="675">
        <v>96.556489271162647</v>
      </c>
      <c r="BL77" s="676">
        <v>81.38555121486084</v>
      </c>
      <c r="BM77" s="683">
        <f>+BL77+(BN77-BL77)*(2023-2020)/(2025-2020)</f>
        <v>54.14760068925294</v>
      </c>
      <c r="BN77" s="676">
        <v>35.988967005514347</v>
      </c>
      <c r="BO77" s="683">
        <f>+BN77+(BP77-BN77)*(2027-2025)/(2030-2025)</f>
        <v>26.641465620621489</v>
      </c>
      <c r="BP77" s="676">
        <v>12.620213543282201</v>
      </c>
      <c r="BQ77" s="683">
        <f>+BP77+(BR77-BP77)*(2033-2030)/(2035-2030)</f>
        <v>8.9591411203930633</v>
      </c>
      <c r="BR77" s="676">
        <v>6.5184261718003045</v>
      </c>
      <c r="BS77" s="683">
        <f t="shared" si="88"/>
        <v>5.5102155280171621</v>
      </c>
      <c r="BT77" s="676">
        <v>3.997899562342448</v>
      </c>
      <c r="BU77" s="681" t="s">
        <v>1063</v>
      </c>
      <c r="BV77" s="681" t="s">
        <v>1063</v>
      </c>
      <c r="BW77" s="681" t="s">
        <v>1063</v>
      </c>
      <c r="BX77" s="682" t="s">
        <v>1063</v>
      </c>
      <c r="BY77" s="664"/>
      <c r="BZ77" s="664"/>
      <c r="CA77" s="664"/>
      <c r="CB77" s="664"/>
      <c r="CC77" s="320"/>
      <c r="CD77" s="691"/>
      <c r="CE77" s="691"/>
      <c r="CF77" s="691"/>
      <c r="CG77" s="691"/>
      <c r="CH77" s="691"/>
      <c r="CI77" s="691"/>
      <c r="CJ77" s="691"/>
      <c r="CK77" s="691"/>
      <c r="CL77" s="691"/>
      <c r="CM77" s="691"/>
      <c r="CN77" s="691"/>
      <c r="CO77" s="691"/>
      <c r="CP77" s="691"/>
      <c r="CQ77" s="691"/>
      <c r="CR77" s="664"/>
      <c r="CS77" s="664"/>
      <c r="CT77" s="664"/>
      <c r="CU77" s="664"/>
      <c r="CV77" s="664"/>
      <c r="CW77" s="664"/>
      <c r="CX77" s="663"/>
      <c r="CY77" s="663"/>
      <c r="CZ77" s="663"/>
      <c r="DA77" s="663"/>
      <c r="DB77" s="663"/>
      <c r="DC77" s="663"/>
      <c r="DD77" s="476" t="str">
        <f t="shared" si="39"/>
        <v>La Cira</v>
      </c>
      <c r="DE77" s="473">
        <f t="shared" si="40"/>
        <v>22.5</v>
      </c>
      <c r="DF77" s="476">
        <f t="shared" si="60"/>
        <v>0</v>
      </c>
      <c r="DG77" s="476" t="str">
        <f t="shared" si="41"/>
        <v>Medium Oil</v>
      </c>
      <c r="DH77" s="606">
        <f t="shared" si="32"/>
        <v>94.059349180277351</v>
      </c>
      <c r="DI77" s="607">
        <f t="shared" si="33"/>
        <v>2.497140090885289</v>
      </c>
      <c r="DJ77" s="608">
        <f t="shared" si="34"/>
        <v>2.5861960285988563E-2</v>
      </c>
      <c r="DK77" s="608">
        <f t="shared" si="35"/>
        <v>1.3766222989813104</v>
      </c>
      <c r="DL77" s="590">
        <f t="shared" si="36"/>
        <v>356.91613908800002</v>
      </c>
      <c r="DM77" s="591">
        <f t="shared" si="37"/>
        <v>3.7398491738051778</v>
      </c>
      <c r="DN77" s="609">
        <f t="shared" si="61"/>
        <v>0.51468242964795996</v>
      </c>
      <c r="DO77" s="609">
        <f t="shared" si="62"/>
        <v>0.60583536225601842</v>
      </c>
      <c r="DP77" s="609">
        <f t="shared" si="63"/>
        <v>1.3766222989813104</v>
      </c>
      <c r="DQ77" s="609">
        <f t="shared" si="64"/>
        <v>0</v>
      </c>
      <c r="DR77" s="609">
        <f t="shared" si="65"/>
        <v>0</v>
      </c>
      <c r="DS77" s="610">
        <f t="shared" si="66"/>
        <v>0.20610875277946228</v>
      </c>
      <c r="DT77" s="610">
        <f t="shared" si="67"/>
        <v>0.24261168384879719</v>
      </c>
      <c r="DU77" s="610">
        <f t="shared" si="68"/>
        <v>0.55127956337174044</v>
      </c>
      <c r="DV77" s="610">
        <f t="shared" si="69"/>
        <v>0</v>
      </c>
      <c r="DW77" s="611">
        <f t="shared" si="70"/>
        <v>0</v>
      </c>
    </row>
    <row r="78" spans="9:127" x14ac:dyDescent="0.25">
      <c r="I78" s="473" t="s">
        <v>830</v>
      </c>
      <c r="J78" s="476" t="s">
        <v>831</v>
      </c>
      <c r="K78" s="473">
        <v>23</v>
      </c>
      <c r="L78" s="476"/>
      <c r="M78" s="476" t="str">
        <f t="shared" si="38"/>
        <v>Medium Oil</v>
      </c>
      <c r="N78" s="606">
        <f t="shared" si="31"/>
        <v>10.408512554584734</v>
      </c>
      <c r="O78" s="607">
        <f t="shared" si="42"/>
        <v>0.71025387836690013</v>
      </c>
      <c r="P78" s="616">
        <f t="shared" si="43"/>
        <v>6.3878837877373515E-2</v>
      </c>
      <c r="Q78" s="608">
        <f t="shared" si="71"/>
        <v>0.38201649904628787</v>
      </c>
      <c r="R78" s="609">
        <f t="shared" si="44"/>
        <v>3.8100694170208539E-2</v>
      </c>
      <c r="S78" s="609">
        <f t="shared" si="45"/>
        <v>8.403555333142973E-2</v>
      </c>
      <c r="T78" s="609">
        <f t="shared" si="46"/>
        <v>0.58683549303812432</v>
      </c>
      <c r="U78" s="609">
        <f t="shared" si="47"/>
        <v>0.2061011318189738</v>
      </c>
      <c r="V78" s="609">
        <f t="shared" si="48"/>
        <v>1.2821378271373829E-3</v>
      </c>
      <c r="W78" s="610">
        <f t="shared" si="49"/>
        <v>5.3643767856381398E-2</v>
      </c>
      <c r="X78" s="610">
        <f t="shared" si="50"/>
        <v>0.11831762682472671</v>
      </c>
      <c r="Y78" s="610">
        <f t="shared" si="51"/>
        <v>0.82623342288175328</v>
      </c>
      <c r="Z78" s="610">
        <f t="shared" si="52"/>
        <v>1.8051824371384303E-3</v>
      </c>
      <c r="AA78" s="611">
        <f t="shared" si="53"/>
        <v>0.35120767960363336</v>
      </c>
      <c r="AB78" s="590">
        <f>+'5. GlobalData'!K23*1000*$D$26/1000</f>
        <v>68.825961000000007</v>
      </c>
      <c r="AC78" s="591">
        <f t="shared" si="54"/>
        <v>6.37836760903211</v>
      </c>
      <c r="AD78" s="604">
        <f t="shared" si="55"/>
        <v>64.429438595526562</v>
      </c>
      <c r="AE78" s="620">
        <f t="shared" si="56"/>
        <v>6.1900716608298403</v>
      </c>
      <c r="AF78" s="604">
        <f t="shared" si="72"/>
        <v>4.3965224044734326</v>
      </c>
      <c r="AG78" s="621">
        <f t="shared" si="57"/>
        <v>6.1900716608298403</v>
      </c>
      <c r="AH78" s="436">
        <f t="shared" si="58"/>
        <v>11.118766432951634</v>
      </c>
      <c r="AI78" s="669">
        <f>+IF('5. GlobalData'!K128="","",'5. GlobalData'!K128)</f>
        <v>1</v>
      </c>
      <c r="AJ78" s="670">
        <f>+IF('5. GlobalData'!L128="","",'5. GlobalData'!L128)</f>
        <v>0.92899768313750497</v>
      </c>
      <c r="AK78" s="670">
        <f>+IF('5. GlobalData'!M128="","",'5. GlobalData'!M128)</f>
        <v>8.8006034699522243E-2</v>
      </c>
      <c r="AL78" s="670">
        <f>+IF('5. GlobalData'!N128="","",'5. GlobalData'!N128)</f>
        <v>0.54043952260260264</v>
      </c>
      <c r="AM78" s="670">
        <f>+IF('5. GlobalData'!O128="","",'5. GlobalData'!O128)</f>
        <v>3.5202413879808901E-2</v>
      </c>
      <c r="AN78" s="670">
        <f>+IF('5. GlobalData'!P128="","",'5. GlobalData'!P128)</f>
        <v>0.27808028290295722</v>
      </c>
      <c r="AO78" s="670">
        <f>+IF('5. GlobalData'!Q128="","",'5. GlobalData'!Q128)</f>
        <v>1.1440784510937895E-2</v>
      </c>
      <c r="AP78" s="670">
        <f>+IF('5. GlobalData'!R128="","",'5. GlobalData'!R128)</f>
        <v>0.17236097966182454</v>
      </c>
      <c r="AQ78" s="670">
        <f>+IF('5. GlobalData'!S128="","",'5. GlobalData'!S128)</f>
        <v>0.11818736551369736</v>
      </c>
      <c r="AR78" s="670">
        <f>+IF('5. GlobalData'!T128="","",'5. GlobalData'!T128)</f>
        <v>1.1613167329350567E-2</v>
      </c>
      <c r="AS78" s="670" t="str">
        <f>+IF('5. GlobalData'!U128="","",'5. GlobalData'!U128)</f>
        <v/>
      </c>
      <c r="AT78" s="670">
        <f>+IF('5. GlobalData'!V128="","",'5. GlobalData'!V128)</f>
        <v>7.3717377731980184E-3</v>
      </c>
      <c r="AU78" s="670" t="str">
        <f>+IF('5. GlobalData'!W128="","",'5. GlobalData'!W128)</f>
        <v/>
      </c>
      <c r="AV78" s="671">
        <f>+IF('5. GlobalData'!X128="","",'5. GlobalData'!X128)</f>
        <v>4.6978989951715908E-3</v>
      </c>
      <c r="AW78" s="675">
        <f t="shared" si="73"/>
        <v>11.118766432951634</v>
      </c>
      <c r="AX78" s="676">
        <f t="shared" si="74"/>
        <v>10.329308255559129</v>
      </c>
      <c r="AY78" s="676">
        <f t="shared" si="75"/>
        <v>0.97851854451422471</v>
      </c>
      <c r="AZ78" s="676">
        <f t="shared" si="76"/>
        <v>6.0090208229542244</v>
      </c>
      <c r="BA78" s="676">
        <f t="shared" si="77"/>
        <v>0.39140741780568994</v>
      </c>
      <c r="BB78" s="676">
        <f t="shared" si="78"/>
        <v>3.0919097152070951</v>
      </c>
      <c r="BC78" s="676">
        <f t="shared" si="79"/>
        <v>0.12720741078684925</v>
      </c>
      <c r="BD78" s="676">
        <f t="shared" si="80"/>
        <v>1.916441475014554</v>
      </c>
      <c r="BE78" s="676">
        <f t="shared" si="81"/>
        <v>1.3140977124726838</v>
      </c>
      <c r="BF78" s="676">
        <f t="shared" si="82"/>
        <v>0.12912409508183365</v>
      </c>
      <c r="BG78" s="676" t="str">
        <f t="shared" si="83"/>
        <v/>
      </c>
      <c r="BH78" s="676">
        <f t="shared" si="84"/>
        <v>8.1964630505155761E-2</v>
      </c>
      <c r="BI78" s="676" t="str">
        <f t="shared" si="85"/>
        <v/>
      </c>
      <c r="BJ78" s="677">
        <f t="shared" si="86"/>
        <v>5.2234841652911097E-2</v>
      </c>
      <c r="BK78" s="675">
        <v>11.118766432951634</v>
      </c>
      <c r="BL78" s="676">
        <v>10.329308255559129</v>
      </c>
      <c r="BM78" s="676">
        <v>0.97851854451422471</v>
      </c>
      <c r="BN78" s="676">
        <v>6.0090208229542244</v>
      </c>
      <c r="BO78" s="676">
        <v>0.39140741780568994</v>
      </c>
      <c r="BP78" s="676">
        <v>3.0919097152070951</v>
      </c>
      <c r="BQ78" s="676">
        <v>0.12720741078684925</v>
      </c>
      <c r="BR78" s="676">
        <v>1.916441475014554</v>
      </c>
      <c r="BS78" s="676">
        <v>1.3140977124726838</v>
      </c>
      <c r="BT78" s="676">
        <v>0.12912409508183365</v>
      </c>
      <c r="BU78" s="683">
        <f>+BT78+(BV78-BT78)*(2043-2040)/(2045-2040)</f>
        <v>0.10082841633582691</v>
      </c>
      <c r="BV78" s="676">
        <v>8.1964630505155761E-2</v>
      </c>
      <c r="BW78" s="683">
        <f>+BV78+(BX78-BV78)*(2047-2045)/(2050-2045)</f>
        <v>7.007271496425789E-2</v>
      </c>
      <c r="BX78" s="677">
        <v>5.2234841652911097E-2</v>
      </c>
      <c r="BY78" s="664"/>
      <c r="BZ78" s="664"/>
      <c r="CA78" s="664"/>
      <c r="CB78" s="664"/>
      <c r="CC78" s="320"/>
      <c r="CD78" s="691"/>
      <c r="CE78" s="691"/>
      <c r="CF78" s="691"/>
      <c r="CG78" s="691"/>
      <c r="CH78" s="691"/>
      <c r="CI78" s="691"/>
      <c r="CJ78" s="691"/>
      <c r="CK78" s="691"/>
      <c r="CL78" s="691"/>
      <c r="CM78" s="691"/>
      <c r="CN78" s="691"/>
      <c r="CO78" s="691"/>
      <c r="CP78" s="691"/>
      <c r="CQ78" s="691"/>
      <c r="CR78" s="664"/>
      <c r="CS78" s="664"/>
      <c r="CT78" s="664"/>
      <c r="CU78" s="664"/>
      <c r="CV78" s="664"/>
      <c r="CW78" s="664"/>
      <c r="CX78" s="663"/>
      <c r="CY78" s="663"/>
      <c r="CZ78" s="663"/>
      <c r="DA78" s="663"/>
      <c r="DB78" s="663"/>
      <c r="DC78" s="663"/>
      <c r="DD78" s="476" t="str">
        <f t="shared" si="39"/>
        <v>Dina</v>
      </c>
      <c r="DE78" s="473">
        <f t="shared" si="40"/>
        <v>23</v>
      </c>
      <c r="DF78" s="476">
        <f t="shared" si="60"/>
        <v>0</v>
      </c>
      <c r="DG78" s="476" t="str">
        <f t="shared" si="41"/>
        <v>Medium Oil</v>
      </c>
      <c r="DH78" s="606">
        <f t="shared" si="32"/>
        <v>10.408512554584734</v>
      </c>
      <c r="DI78" s="607">
        <f t="shared" si="33"/>
        <v>0.71025387836690013</v>
      </c>
      <c r="DJ78" s="608">
        <f t="shared" si="34"/>
        <v>6.3878837877373515E-2</v>
      </c>
      <c r="DK78" s="608">
        <f t="shared" si="35"/>
        <v>0.38201649904628787</v>
      </c>
      <c r="DL78" s="590">
        <f t="shared" si="36"/>
        <v>68.825961000000007</v>
      </c>
      <c r="DM78" s="591">
        <f t="shared" si="37"/>
        <v>6.37836760903211</v>
      </c>
      <c r="DN78" s="609">
        <f t="shared" si="61"/>
        <v>3.8100694170208539E-2</v>
      </c>
      <c r="DO78" s="609">
        <f t="shared" si="62"/>
        <v>8.403555333142973E-2</v>
      </c>
      <c r="DP78" s="609">
        <f t="shared" si="63"/>
        <v>0.58683549303812432</v>
      </c>
      <c r="DQ78" s="609">
        <f t="shared" si="64"/>
        <v>0.2061011318189738</v>
      </c>
      <c r="DR78" s="609">
        <f t="shared" si="65"/>
        <v>1.2821378271373829E-3</v>
      </c>
      <c r="DS78" s="610">
        <f t="shared" si="66"/>
        <v>5.3643767856381398E-2</v>
      </c>
      <c r="DT78" s="610">
        <f t="shared" si="67"/>
        <v>0.11831762682472671</v>
      </c>
      <c r="DU78" s="610">
        <f t="shared" si="68"/>
        <v>0.82623342288175328</v>
      </c>
      <c r="DV78" s="610">
        <f t="shared" si="69"/>
        <v>1.8051824371384303E-3</v>
      </c>
      <c r="DW78" s="611">
        <f t="shared" si="70"/>
        <v>0.35120767960363336</v>
      </c>
    </row>
    <row r="79" spans="9:127" x14ac:dyDescent="0.25">
      <c r="I79" s="473" t="s">
        <v>830</v>
      </c>
      <c r="J79" s="476" t="s">
        <v>833</v>
      </c>
      <c r="K79" s="473">
        <v>25.5</v>
      </c>
      <c r="L79" s="476"/>
      <c r="M79" s="476" t="str">
        <f t="shared" si="38"/>
        <v>Medium Oil</v>
      </c>
      <c r="N79" s="606">
        <f t="shared" si="31"/>
        <v>9.2296903712167389</v>
      </c>
      <c r="O79" s="607">
        <f t="shared" si="42"/>
        <v>0.31949461271981699</v>
      </c>
      <c r="P79" s="616">
        <f t="shared" si="43"/>
        <v>3.3457788623559429E-2</v>
      </c>
      <c r="Q79" s="608">
        <f t="shared" si="71"/>
        <v>0</v>
      </c>
      <c r="R79" s="609">
        <f t="shared" si="44"/>
        <v>0.16765718815173636</v>
      </c>
      <c r="S79" s="609">
        <f t="shared" si="45"/>
        <v>0.15183742456808058</v>
      </c>
      <c r="T79" s="609">
        <f t="shared" si="46"/>
        <v>0</v>
      </c>
      <c r="U79" s="609">
        <f t="shared" si="47"/>
        <v>0</v>
      </c>
      <c r="V79" s="609">
        <f t="shared" si="48"/>
        <v>0</v>
      </c>
      <c r="W79" s="610">
        <f t="shared" si="49"/>
        <v>0.52475748096186048</v>
      </c>
      <c r="X79" s="610">
        <f t="shared" si="50"/>
        <v>0.47524251903813935</v>
      </c>
      <c r="Y79" s="610">
        <f t="shared" si="51"/>
        <v>0</v>
      </c>
      <c r="Z79" s="610">
        <f t="shared" si="52"/>
        <v>0</v>
      </c>
      <c r="AA79" s="611" t="str">
        <f t="shared" si="53"/>
        <v>-</v>
      </c>
      <c r="AB79" s="590">
        <f>+'5. GlobalData'!K24*1000*$D$26/1000</f>
        <v>147.37932448800001</v>
      </c>
      <c r="AC79" s="591">
        <f t="shared" si="54"/>
        <v>15.96795976467531</v>
      </c>
      <c r="AD79" s="604">
        <f t="shared" si="55"/>
        <v>142.44833820179753</v>
      </c>
      <c r="AE79" s="620">
        <f t="shared" si="56"/>
        <v>15.433707142119301</v>
      </c>
      <c r="AF79" s="604">
        <f t="shared" si="72"/>
        <v>4.9309862862024803</v>
      </c>
      <c r="AG79" s="621">
        <f t="shared" si="57"/>
        <v>15.433707142119303</v>
      </c>
      <c r="AH79" s="436">
        <f t="shared" si="58"/>
        <v>9.5491849839365557</v>
      </c>
      <c r="AI79" s="669">
        <f>+IF('5. GlobalData'!K129="","",'5. GlobalData'!K129)</f>
        <v>1</v>
      </c>
      <c r="AJ79" s="670">
        <f>+IF('5. GlobalData'!L129="","",'5. GlobalData'!L129)</f>
        <v>0.92128772622171617</v>
      </c>
      <c r="AK79" s="670">
        <f>+IF('5. GlobalData'!M129="","",'5. GlobalData'!M129)</f>
        <v>0.9604039951992509</v>
      </c>
      <c r="AL79" s="670">
        <f>+IF('5. GlobalData'!N129="","",'5. GlobalData'!N129)</f>
        <v>0.80851590417488839</v>
      </c>
      <c r="AM79" s="670" t="str">
        <f>+IF('5. GlobalData'!O129="","",'5. GlobalData'!O129)</f>
        <v/>
      </c>
      <c r="AN79" s="670">
        <f>+IF('5. GlobalData'!P129="","",'5. GlobalData'!P129)</f>
        <v>0.60022071238227004</v>
      </c>
      <c r="AO79" s="670" t="str">
        <f>+IF('5. GlobalData'!Q129="","",'5. GlobalData'!Q129)</f>
        <v/>
      </c>
      <c r="AP79" s="670">
        <f>+IF('5. GlobalData'!R129="","",'5. GlobalData'!R129)</f>
        <v>0.44922259064125319</v>
      </c>
      <c r="AQ79" s="670" t="str">
        <f>+IF('5. GlobalData'!S129="","",'5. GlobalData'!S129)</f>
        <v/>
      </c>
      <c r="AR79" s="670">
        <f>+IF('5. GlobalData'!T129="","",'5. GlobalData'!T129)</f>
        <v>0.35556391844152041</v>
      </c>
      <c r="AS79" s="670" t="str">
        <f>+IF('5. GlobalData'!U129="","",'5. GlobalData'!U129)</f>
        <v/>
      </c>
      <c r="AT79" s="670">
        <f>+IF('5. GlobalData'!V129="","",'5. GlobalData'!V129)</f>
        <v>0.28101839608888168</v>
      </c>
      <c r="AU79" s="670" t="str">
        <f>+IF('5. GlobalData'!W129="","",'5. GlobalData'!W129)</f>
        <v/>
      </c>
      <c r="AV79" s="671">
        <f>+IF('5. GlobalData'!X129="","",'5. GlobalData'!X129)</f>
        <v>0.2446991734304329</v>
      </c>
      <c r="AW79" s="675">
        <f t="shared" si="73"/>
        <v>9.5491849839365557</v>
      </c>
      <c r="AX79" s="676">
        <f t="shared" si="74"/>
        <v>8.7975469211214641</v>
      </c>
      <c r="AY79" s="676">
        <f t="shared" si="75"/>
        <v>9.1710754094693634</v>
      </c>
      <c r="AZ79" s="676">
        <f t="shared" si="76"/>
        <v>7.7206679314207314</v>
      </c>
      <c r="BA79" s="676" t="str">
        <f t="shared" si="77"/>
        <v/>
      </c>
      <c r="BB79" s="676">
        <f t="shared" si="78"/>
        <v>5.7316186137284753</v>
      </c>
      <c r="BC79" s="676" t="str">
        <f t="shared" si="79"/>
        <v/>
      </c>
      <c r="BD79" s="676">
        <f t="shared" si="80"/>
        <v>4.2897096169965332</v>
      </c>
      <c r="BE79" s="676" t="str">
        <f t="shared" si="81"/>
        <v/>
      </c>
      <c r="BF79" s="676">
        <f t="shared" si="82"/>
        <v>3.3953456308114087</v>
      </c>
      <c r="BG79" s="676" t="str">
        <f t="shared" si="83"/>
        <v/>
      </c>
      <c r="BH79" s="676">
        <f>+IF(AT79="","",AT79*$AH79)</f>
        <v>2.6834966481418845</v>
      </c>
      <c r="BI79" s="676" t="str">
        <f t="shared" si="85"/>
        <v/>
      </c>
      <c r="BJ79" s="677">
        <f t="shared" si="86"/>
        <v>2.3366776725035767</v>
      </c>
      <c r="BK79" s="675">
        <v>9.5491849839365557</v>
      </c>
      <c r="BL79" s="676">
        <v>8.7975469211214641</v>
      </c>
      <c r="BM79" s="676">
        <v>9.1710754094693634</v>
      </c>
      <c r="BN79" s="676">
        <v>7.7206679314207314</v>
      </c>
      <c r="BO79" s="683">
        <f>+BN79+(BP79-BN79)*(2027-2025)/(2030-2025)</f>
        <v>6.9250482043438293</v>
      </c>
      <c r="BP79" s="676">
        <v>5.7316186137284753</v>
      </c>
      <c r="BQ79" s="683">
        <f>+BP79+(BR79-BP79)*(2033-2030)/(2035-2030)</f>
        <v>4.86647321568931</v>
      </c>
      <c r="BR79" s="676">
        <v>4.2897096169965332</v>
      </c>
      <c r="BS79" s="683">
        <f>+BR79+(BT79-BR79)*(2037-2035)/(2040-2035)</f>
        <v>3.9319640225224832</v>
      </c>
      <c r="BT79" s="676">
        <v>3.3953456308114087</v>
      </c>
      <c r="BU79" s="683">
        <f>+BT79+(BV79-BT79)*(2043-2040)/(2045-2040)</f>
        <v>2.9682362412096941</v>
      </c>
      <c r="BV79" s="676">
        <v>2.6834966481418845</v>
      </c>
      <c r="BW79" s="683">
        <f>+BV79+(BX79-BV79)*(2047-2045)/(2050-2045)</f>
        <v>2.5447690578865614</v>
      </c>
      <c r="BX79" s="677">
        <v>2.3366776725035767</v>
      </c>
      <c r="BY79" s="664"/>
      <c r="BZ79" s="664"/>
      <c r="CA79" s="664"/>
      <c r="CB79" s="664"/>
      <c r="CC79" s="320"/>
      <c r="CD79" s="691"/>
      <c r="CE79" s="691"/>
      <c r="CF79" s="691"/>
      <c r="CG79" s="691"/>
      <c r="CH79" s="691"/>
      <c r="CI79" s="691"/>
      <c r="CJ79" s="691"/>
      <c r="CK79" s="691"/>
      <c r="CL79" s="691"/>
      <c r="CM79" s="691"/>
      <c r="CN79" s="691"/>
      <c r="CO79" s="691"/>
      <c r="CP79" s="691"/>
      <c r="CQ79" s="691"/>
      <c r="CR79" s="664"/>
      <c r="CS79" s="664"/>
      <c r="CT79" s="664"/>
      <c r="CU79" s="664"/>
      <c r="CV79" s="664"/>
      <c r="CW79" s="664"/>
      <c r="CX79" s="663"/>
      <c r="CY79" s="663"/>
      <c r="CZ79" s="663"/>
      <c r="DA79" s="663"/>
      <c r="DB79" s="663"/>
      <c r="DC79" s="663"/>
      <c r="DD79" s="476" t="str">
        <f t="shared" si="39"/>
        <v>San Francisco</v>
      </c>
      <c r="DE79" s="473">
        <f t="shared" si="40"/>
        <v>25.5</v>
      </c>
      <c r="DF79" s="476">
        <f t="shared" si="60"/>
        <v>0</v>
      </c>
      <c r="DG79" s="476" t="str">
        <f t="shared" si="41"/>
        <v>Medium Oil</v>
      </c>
      <c r="DH79" s="606">
        <f t="shared" si="32"/>
        <v>9.2296903712167389</v>
      </c>
      <c r="DI79" s="607">
        <f t="shared" si="33"/>
        <v>0.31949461271981699</v>
      </c>
      <c r="DJ79" s="608">
        <f t="shared" si="34"/>
        <v>3.3457788623559429E-2</v>
      </c>
      <c r="DK79" s="608">
        <f t="shared" si="35"/>
        <v>0</v>
      </c>
      <c r="DL79" s="590">
        <f t="shared" si="36"/>
        <v>147.37932448800001</v>
      </c>
      <c r="DM79" s="591">
        <f t="shared" si="37"/>
        <v>15.96795976467531</v>
      </c>
      <c r="DN79" s="609">
        <f t="shared" si="61"/>
        <v>0.16765718815173636</v>
      </c>
      <c r="DO79" s="609">
        <f t="shared" si="62"/>
        <v>0.15183742456808058</v>
      </c>
      <c r="DP79" s="609">
        <f t="shared" si="63"/>
        <v>0</v>
      </c>
      <c r="DQ79" s="609">
        <f t="shared" si="64"/>
        <v>0</v>
      </c>
      <c r="DR79" s="609">
        <f t="shared" si="65"/>
        <v>0</v>
      </c>
      <c r="DS79" s="610">
        <f t="shared" si="66"/>
        <v>0.52475748096186048</v>
      </c>
      <c r="DT79" s="610">
        <f t="shared" si="67"/>
        <v>0.47524251903813935</v>
      </c>
      <c r="DU79" s="610">
        <f t="shared" si="68"/>
        <v>0</v>
      </c>
      <c r="DV79" s="610">
        <f t="shared" si="69"/>
        <v>0</v>
      </c>
      <c r="DW79" s="611" t="str">
        <f t="shared" si="70"/>
        <v>-</v>
      </c>
    </row>
    <row r="80" spans="9:127" x14ac:dyDescent="0.25">
      <c r="I80" s="473" t="s">
        <v>830</v>
      </c>
      <c r="J80" s="476" t="s">
        <v>835</v>
      </c>
      <c r="K80" s="473">
        <v>21</v>
      </c>
      <c r="L80" s="476"/>
      <c r="M80" s="476" t="str">
        <f t="shared" si="38"/>
        <v>Medium Oil</v>
      </c>
      <c r="N80" s="606">
        <f t="shared" si="31"/>
        <v>8.7564836170076354</v>
      </c>
      <c r="O80" s="607">
        <f t="shared" si="42"/>
        <v>0.43874352621703561</v>
      </c>
      <c r="P80" s="616">
        <f t="shared" si="43"/>
        <v>4.771426734578444E-2</v>
      </c>
      <c r="Q80" s="608">
        <f t="shared" si="71"/>
        <v>0.23786180586758954</v>
      </c>
      <c r="R80" s="609">
        <f t="shared" si="44"/>
        <v>0</v>
      </c>
      <c r="S80" s="609">
        <f t="shared" si="45"/>
        <v>5.7140945681870784E-3</v>
      </c>
      <c r="T80" s="609">
        <f t="shared" si="46"/>
        <v>0.4330294316488485</v>
      </c>
      <c r="U80" s="609">
        <f t="shared" si="47"/>
        <v>0.19516762578125896</v>
      </c>
      <c r="V80" s="609">
        <f t="shared" si="48"/>
        <v>0</v>
      </c>
      <c r="W80" s="610">
        <f t="shared" si="49"/>
        <v>0</v>
      </c>
      <c r="X80" s="610">
        <f t="shared" si="50"/>
        <v>1.302376952990175E-2</v>
      </c>
      <c r="Y80" s="610">
        <f t="shared" si="51"/>
        <v>0.98697623047009819</v>
      </c>
      <c r="Z80" s="610">
        <f t="shared" si="52"/>
        <v>0</v>
      </c>
      <c r="AA80" s="611">
        <f t="shared" si="53"/>
        <v>0.4507029118970462</v>
      </c>
      <c r="AB80" s="590">
        <f>+'5. GlobalData'!K25*1000*$D$26/1000</f>
        <v>101.06710006400002</v>
      </c>
      <c r="AC80" s="591">
        <f t="shared" si="54"/>
        <v>11.236737673756348</v>
      </c>
      <c r="AD80" s="604">
        <f t="shared" si="55"/>
        <v>96.244757431683183</v>
      </c>
      <c r="AE80" s="620">
        <f t="shared" si="56"/>
        <v>10.991256495329688</v>
      </c>
      <c r="AF80" s="604">
        <f t="shared" si="72"/>
        <v>4.8223426323168441</v>
      </c>
      <c r="AG80" s="621">
        <f t="shared" si="57"/>
        <v>10.991256495329688</v>
      </c>
      <c r="AH80" s="436">
        <f t="shared" si="58"/>
        <v>9.1952271432246704</v>
      </c>
      <c r="AI80" s="672">
        <f>+IF('5. GlobalData'!K130="","",'5. GlobalData'!K130)</f>
        <v>1</v>
      </c>
      <c r="AJ80" s="673">
        <f>+IF('5. GlobalData'!L130="","",'5. GlobalData'!L130)</f>
        <v>0.94704049844236715</v>
      </c>
      <c r="AK80" s="673" t="str">
        <f>+IF('5. GlobalData'!M130="","",'5. GlobalData'!M130)</f>
        <v/>
      </c>
      <c r="AL80" s="673">
        <f>+IF('5. GlobalData'!N130="","",'5. GlobalData'!N130)</f>
        <v>0.71178485866836716</v>
      </c>
      <c r="AM80" s="673" t="str">
        <f>+IF('5. GlobalData'!O130="","",'5. GlobalData'!O130)</f>
        <v/>
      </c>
      <c r="AN80" s="673">
        <f>+IF('5. GlobalData'!P130="","",'5. GlobalData'!P130)</f>
        <v>0.42675039451844166</v>
      </c>
      <c r="AO80" s="673" t="str">
        <f>+IF('5. GlobalData'!Q130="","",'5. GlobalData'!Q130)</f>
        <v/>
      </c>
      <c r="AP80" s="673">
        <f>+IF('5. GlobalData'!R130="","",'5. GlobalData'!R130)</f>
        <v>0.29121593445679034</v>
      </c>
      <c r="AQ80" s="673" t="str">
        <f>+IF('5. GlobalData'!S130="","",'5. GlobalData'!S130)</f>
        <v/>
      </c>
      <c r="AR80" s="673">
        <f>+IF('5. GlobalData'!T130="","",'5. GlobalData'!T130)</f>
        <v>0.21798677034529557</v>
      </c>
      <c r="AS80" s="673" t="str">
        <f>+IF('5. GlobalData'!U130="","",'5. GlobalData'!U130)</f>
        <v/>
      </c>
      <c r="AT80" s="673">
        <f>+IF('5. GlobalData'!V130="","",'5. GlobalData'!V130)</f>
        <v>0.16977784319016154</v>
      </c>
      <c r="AU80" s="673" t="str">
        <f>+IF('5. GlobalData'!W130="","",'5. GlobalData'!W130)</f>
        <v/>
      </c>
      <c r="AV80" s="674">
        <f>+IF('5. GlobalData'!X130="","",'5. GlobalData'!X130)</f>
        <v>0.12143809126662836</v>
      </c>
      <c r="AW80" s="678">
        <f t="shared" si="73"/>
        <v>9.1952271432246704</v>
      </c>
      <c r="AX80" s="679">
        <f t="shared" si="74"/>
        <v>8.7082524970102764</v>
      </c>
      <c r="AY80" s="679" t="str">
        <f t="shared" si="75"/>
        <v/>
      </c>
      <c r="AZ80" s="679">
        <f t="shared" si="76"/>
        <v>6.5450234525637052</v>
      </c>
      <c r="BA80" s="679" t="str">
        <f t="shared" si="77"/>
        <v/>
      </c>
      <c r="BB80" s="679">
        <f t="shared" si="78"/>
        <v>3.9240668110578114</v>
      </c>
      <c r="BC80" s="679" t="str">
        <f t="shared" si="79"/>
        <v/>
      </c>
      <c r="BD80" s="679">
        <f t="shared" si="80"/>
        <v>2.677796665056615</v>
      </c>
      <c r="BE80" s="679" t="str">
        <f t="shared" si="81"/>
        <v/>
      </c>
      <c r="BF80" s="679">
        <f t="shared" si="82"/>
        <v>2.0044378675429444</v>
      </c>
      <c r="BG80" s="679" t="str">
        <f t="shared" si="83"/>
        <v/>
      </c>
      <c r="BH80" s="679">
        <f t="shared" si="84"/>
        <v>1.5611458320203151</v>
      </c>
      <c r="BI80" s="679" t="str">
        <f t="shared" si="85"/>
        <v/>
      </c>
      <c r="BJ80" s="680">
        <f t="shared" si="86"/>
        <v>1.1166508330362959</v>
      </c>
      <c r="BK80" s="678">
        <v>9.1952271432246704</v>
      </c>
      <c r="BL80" s="679">
        <v>8.7082524970102764</v>
      </c>
      <c r="BM80" s="683">
        <f>+BL80+(BN80-BL80)*(2023-2020)/(2025-2020)</f>
        <v>7.4103150703423335</v>
      </c>
      <c r="BN80" s="679">
        <v>6.5450234525637052</v>
      </c>
      <c r="BO80" s="683">
        <f>+BN80+(BP80-BN80)*(2027-2025)/(2030-2025)</f>
        <v>5.4966407959613477</v>
      </c>
      <c r="BP80" s="679">
        <v>3.9240668110578114</v>
      </c>
      <c r="BQ80" s="683">
        <f>+BP80+(BR80-BP80)*(2033-2030)/(2035-2030)</f>
        <v>3.1763047234570934</v>
      </c>
      <c r="BR80" s="679">
        <v>2.677796665056615</v>
      </c>
      <c r="BS80" s="683">
        <f>+BR80+(BT80-BR80)*(2037-2035)/(2040-2035)</f>
        <v>2.4084531460511469</v>
      </c>
      <c r="BT80" s="679">
        <v>2.0044378675429444</v>
      </c>
      <c r="BU80" s="683">
        <f>+BT80+(BV80-BT80)*(2043-2040)/(2045-2040)</f>
        <v>1.7384626462293669</v>
      </c>
      <c r="BV80" s="679">
        <v>1.5611458320203151</v>
      </c>
      <c r="BW80" s="683">
        <f>+BV80+(BX80-BV80)*(2047-2045)/(2050-2045)</f>
        <v>1.3833478324267074</v>
      </c>
      <c r="BX80" s="680">
        <v>1.1166508330362959</v>
      </c>
      <c r="BY80" s="664"/>
      <c r="BZ80" s="664"/>
      <c r="CA80" s="664"/>
      <c r="CB80" s="664"/>
      <c r="CC80" s="320"/>
      <c r="CD80" s="691"/>
      <c r="CE80" s="691"/>
      <c r="CF80" s="691"/>
      <c r="CG80" s="691"/>
      <c r="CH80" s="691"/>
      <c r="CI80" s="691"/>
      <c r="CJ80" s="691"/>
      <c r="CK80" s="691"/>
      <c r="CL80" s="691"/>
      <c r="CM80" s="691"/>
      <c r="CN80" s="691"/>
      <c r="CO80" s="691"/>
      <c r="CP80" s="691"/>
      <c r="CQ80" s="691"/>
      <c r="CR80" s="664"/>
      <c r="CS80" s="664"/>
      <c r="CT80" s="664"/>
      <c r="CU80" s="664"/>
      <c r="CV80" s="664"/>
      <c r="CW80" s="664"/>
      <c r="CX80" s="663"/>
      <c r="CY80" s="663"/>
      <c r="CZ80" s="663"/>
      <c r="DA80" s="663"/>
      <c r="DB80" s="663"/>
      <c r="DC80" s="663"/>
      <c r="DD80" s="476" t="str">
        <f t="shared" si="39"/>
        <v>Tello</v>
      </c>
      <c r="DE80" s="473">
        <f t="shared" si="40"/>
        <v>21</v>
      </c>
      <c r="DF80" s="476">
        <f t="shared" si="60"/>
        <v>0</v>
      </c>
      <c r="DG80" s="476" t="str">
        <f t="shared" si="41"/>
        <v>Medium Oil</v>
      </c>
      <c r="DH80" s="606">
        <f t="shared" si="32"/>
        <v>8.7564836170076354</v>
      </c>
      <c r="DI80" s="607">
        <f t="shared" si="33"/>
        <v>0.43874352621703561</v>
      </c>
      <c r="DJ80" s="608">
        <f t="shared" si="34"/>
        <v>4.771426734578444E-2</v>
      </c>
      <c r="DK80" s="608">
        <f t="shared" si="35"/>
        <v>0.23786180586758954</v>
      </c>
      <c r="DL80" s="590">
        <f t="shared" si="36"/>
        <v>101.06710006400002</v>
      </c>
      <c r="DM80" s="591">
        <f t="shared" si="37"/>
        <v>11.236737673756348</v>
      </c>
      <c r="DN80" s="609">
        <f t="shared" si="61"/>
        <v>0</v>
      </c>
      <c r="DO80" s="609">
        <f t="shared" si="62"/>
        <v>5.7140945681870784E-3</v>
      </c>
      <c r="DP80" s="609">
        <f t="shared" si="63"/>
        <v>0.4330294316488485</v>
      </c>
      <c r="DQ80" s="609">
        <f t="shared" si="64"/>
        <v>0.19516762578125896</v>
      </c>
      <c r="DR80" s="609">
        <f t="shared" si="65"/>
        <v>0</v>
      </c>
      <c r="DS80" s="610">
        <f t="shared" si="66"/>
        <v>0</v>
      </c>
      <c r="DT80" s="610">
        <f t="shared" si="67"/>
        <v>1.302376952990175E-2</v>
      </c>
      <c r="DU80" s="610">
        <f t="shared" si="68"/>
        <v>0.98697623047009819</v>
      </c>
      <c r="DV80" s="610">
        <f t="shared" si="69"/>
        <v>0</v>
      </c>
      <c r="DW80" s="611">
        <f t="shared" si="70"/>
        <v>0.4507029118970462</v>
      </c>
    </row>
    <row r="81" spans="10:122" x14ac:dyDescent="0.25">
      <c r="J81" s="568"/>
      <c r="K81" s="565"/>
      <c r="L81" s="320"/>
      <c r="M81" s="320"/>
      <c r="N81" s="567"/>
      <c r="O81" s="569"/>
      <c r="P81" s="584"/>
      <c r="Q81" s="584"/>
      <c r="R81" s="566"/>
      <c r="S81" s="566"/>
      <c r="T81" s="566"/>
      <c r="U81" s="566"/>
      <c r="V81" s="566"/>
      <c r="W81" s="585"/>
      <c r="X81" s="585"/>
      <c r="Y81" s="585"/>
      <c r="Z81" s="585"/>
      <c r="AA81" s="586"/>
      <c r="AB81" s="57"/>
      <c r="AC81" s="289"/>
      <c r="AH81" s="664" t="str">
        <f>+IF('5. GlobalData'!K131="","",'5. GlobalData'!K131)</f>
        <v/>
      </c>
      <c r="AI81" s="664" t="str">
        <f>+IF('5. GlobalData'!L131="","",'5. GlobalData'!L131)</f>
        <v/>
      </c>
      <c r="AJ81" s="664" t="str">
        <f>+IF('5. GlobalData'!M131="","",'5. GlobalData'!M131)</f>
        <v/>
      </c>
      <c r="AK81" s="664" t="str">
        <f>+IF('5. GlobalData'!N131="","",'5. GlobalData'!N131)</f>
        <v/>
      </c>
      <c r="AL81" s="664" t="str">
        <f>+IF('5. GlobalData'!O131="","",'5. GlobalData'!O131)</f>
        <v/>
      </c>
      <c r="AM81" s="664" t="str">
        <f>+IF('5. GlobalData'!P131="","",'5. GlobalData'!P131)</f>
        <v/>
      </c>
      <c r="AN81" s="664" t="str">
        <f>+IF('5. GlobalData'!Q131="","",'5. GlobalData'!Q131)</f>
        <v/>
      </c>
      <c r="AO81" s="664" t="str">
        <f>+IF('5. GlobalData'!R131="","",'5. GlobalData'!R131)</f>
        <v/>
      </c>
      <c r="AP81" s="664" t="str">
        <f>+IF('5. GlobalData'!S131="","",'5. GlobalData'!S131)</f>
        <v/>
      </c>
      <c r="AQ81" s="664" t="str">
        <f>+IF('5. GlobalData'!T131="","",'5. GlobalData'!T131)</f>
        <v/>
      </c>
      <c r="AR81" s="664" t="str">
        <f>+IF('5. GlobalData'!U131="","",'5. GlobalData'!U131)</f>
        <v/>
      </c>
      <c r="AS81" s="664" t="str">
        <f>+IF('5. GlobalData'!V131="","",'5. GlobalData'!V131)</f>
        <v/>
      </c>
      <c r="AT81" s="664" t="str">
        <f>+IF('5. GlobalData'!W131="","",'5. GlobalData'!W131)</f>
        <v/>
      </c>
      <c r="AU81" s="664" t="str">
        <f>+IF('5. GlobalData'!X131="","",'5. GlobalData'!X131)</f>
        <v/>
      </c>
      <c r="AV81" s="664"/>
      <c r="AW81" s="664"/>
      <c r="AX81" s="664"/>
      <c r="AY81" s="664"/>
      <c r="AZ81" s="664"/>
      <c r="BA81" s="664"/>
      <c r="BB81" s="664"/>
      <c r="BC81" s="664"/>
      <c r="BD81" s="664"/>
      <c r="BE81" s="664"/>
      <c r="BF81" s="664"/>
      <c r="BG81" s="664"/>
      <c r="BH81" s="664"/>
      <c r="BI81" s="664"/>
      <c r="BJ81" s="664"/>
      <c r="BK81" s="664"/>
      <c r="BL81" s="664"/>
      <c r="BM81" s="664"/>
      <c r="BN81" s="664"/>
      <c r="BO81" s="664"/>
      <c r="BP81" s="664"/>
      <c r="BQ81" s="664"/>
      <c r="BR81" s="664"/>
      <c r="BS81" s="664"/>
      <c r="BT81" s="664"/>
      <c r="BU81" s="664"/>
      <c r="BV81" s="664"/>
      <c r="BW81" s="664"/>
      <c r="BX81" s="664"/>
      <c r="BY81" s="664"/>
      <c r="BZ81" s="664"/>
      <c r="CA81" s="664"/>
      <c r="CB81" s="664"/>
      <c r="CC81" s="320"/>
      <c r="CD81" s="691"/>
      <c r="CE81" s="691"/>
      <c r="CF81" s="691"/>
      <c r="CG81" s="691"/>
      <c r="CH81" s="691"/>
      <c r="CI81" s="691"/>
      <c r="CJ81" s="691"/>
      <c r="CK81" s="691"/>
      <c r="CL81" s="691"/>
      <c r="CM81" s="691"/>
      <c r="CN81" s="691"/>
      <c r="CO81" s="691"/>
      <c r="CP81" s="691"/>
      <c r="CQ81" s="691"/>
      <c r="CR81" s="664"/>
      <c r="CS81" s="664"/>
      <c r="CT81" s="664"/>
      <c r="CU81" s="664"/>
      <c r="CV81" s="663"/>
      <c r="CW81" s="663"/>
      <c r="CX81" s="663"/>
      <c r="CY81" s="663"/>
      <c r="CZ81" s="663"/>
      <c r="DA81" s="663"/>
      <c r="DB81" s="663"/>
      <c r="DC81" s="663"/>
    </row>
    <row r="82" spans="10:122" x14ac:dyDescent="0.25">
      <c r="J82" s="320"/>
      <c r="K82" s="565"/>
      <c r="L82" s="320"/>
      <c r="N82" s="567"/>
      <c r="O82" s="569"/>
      <c r="P82" s="584"/>
      <c r="Q82" s="584"/>
      <c r="R82" s="566"/>
      <c r="S82" s="566"/>
      <c r="T82" s="566"/>
      <c r="U82" s="566"/>
      <c r="V82" s="566"/>
      <c r="W82" s="585"/>
      <c r="X82" s="585"/>
      <c r="Y82" s="585"/>
      <c r="Z82" s="585"/>
      <c r="AA82" s="586"/>
      <c r="AB82" s="57"/>
      <c r="AC82" s="122"/>
      <c r="AF82" t="s">
        <v>1053</v>
      </c>
      <c r="AG82" s="623">
        <f>+SUM(AF61:AF80)/SUM(O61:O80)</f>
        <v>5.415978859333987</v>
      </c>
    </row>
    <row r="83" spans="10:122" x14ac:dyDescent="0.25">
      <c r="J83" s="568"/>
      <c r="K83" s="565"/>
      <c r="L83" s="320"/>
      <c r="M83" s="320"/>
      <c r="N83" s="567"/>
      <c r="O83" s="569"/>
      <c r="P83" s="584"/>
      <c r="Q83" s="584"/>
      <c r="R83" s="566"/>
      <c r="S83" s="566"/>
      <c r="T83" s="566"/>
      <c r="U83" s="566"/>
      <c r="V83" s="566"/>
      <c r="W83" s="585"/>
      <c r="X83" s="585"/>
      <c r="Y83" s="585"/>
      <c r="Z83" s="585"/>
      <c r="AA83" s="586"/>
      <c r="AB83" s="57"/>
      <c r="AC83" s="122"/>
      <c r="AF83" t="s">
        <v>1054</v>
      </c>
      <c r="AG83" s="66">
        <f>+SUM(AF61:AF80)/(SUM(T61:T80,V61:V80)-SUM(U61:U80))</f>
        <v>6.4729899868858487</v>
      </c>
      <c r="AH83" s="624">
        <f>+IF((T61+V61-U61)=0,"-",AF61/(T61+V61-U61))</f>
        <v>3.0484936597423249</v>
      </c>
      <c r="AW83" s="122"/>
      <c r="AX83" s="122"/>
      <c r="AY83" s="122"/>
      <c r="AZ83" s="122"/>
      <c r="BA83" s="122"/>
      <c r="BB83" s="122"/>
      <c r="BC83" s="122"/>
      <c r="BD83" s="122"/>
      <c r="BE83" s="122"/>
      <c r="BF83" s="122"/>
      <c r="BG83" s="122"/>
      <c r="BH83" s="122"/>
      <c r="BI83" s="122"/>
      <c r="BJ83" s="122"/>
    </row>
    <row r="87" spans="10:122" x14ac:dyDescent="0.25">
      <c r="R87" s="744" t="s">
        <v>1034</v>
      </c>
      <c r="S87" s="744"/>
      <c r="T87" s="744"/>
      <c r="U87" s="744"/>
      <c r="V87" s="744"/>
      <c r="W87" s="745" t="s">
        <v>1032</v>
      </c>
      <c r="X87" s="745"/>
      <c r="Y87" s="745"/>
      <c r="Z87" s="745"/>
      <c r="AA87" s="563" t="s">
        <v>1033</v>
      </c>
    </row>
    <row r="88" spans="10:122" ht="15.75" x14ac:dyDescent="0.25">
      <c r="N88" s="486" t="s">
        <v>9</v>
      </c>
      <c r="O88" s="486" t="s">
        <v>9</v>
      </c>
      <c r="P88" s="570" t="s">
        <v>930</v>
      </c>
      <c r="Q88" s="570" t="s">
        <v>9</v>
      </c>
      <c r="R88" s="557" t="s">
        <v>9</v>
      </c>
      <c r="S88" s="557" t="s">
        <v>9</v>
      </c>
      <c r="T88" s="557" t="s">
        <v>9</v>
      </c>
      <c r="U88" s="557" t="s">
        <v>9</v>
      </c>
      <c r="V88" s="557" t="s">
        <v>9</v>
      </c>
      <c r="W88" s="558" t="s">
        <v>930</v>
      </c>
      <c r="X88" s="558" t="s">
        <v>930</v>
      </c>
      <c r="Y88" s="558" t="s">
        <v>930</v>
      </c>
      <c r="Z88" s="558" t="s">
        <v>930</v>
      </c>
      <c r="AA88" s="270" t="s">
        <v>930</v>
      </c>
      <c r="AB88" s="588" t="s">
        <v>9</v>
      </c>
      <c r="AC88" s="588" t="s">
        <v>1044</v>
      </c>
      <c r="AD88" s="570" t="s">
        <v>9</v>
      </c>
      <c r="AE88" s="570" t="s">
        <v>1044</v>
      </c>
      <c r="AF88" s="570" t="s">
        <v>9</v>
      </c>
      <c r="AG88" s="570" t="s">
        <v>1044</v>
      </c>
      <c r="AH88" s="19" t="s">
        <v>9</v>
      </c>
      <c r="AI88" s="750" t="s">
        <v>1072</v>
      </c>
      <c r="AJ88" s="751"/>
      <c r="AK88" s="751"/>
      <c r="AL88" s="751"/>
      <c r="AM88" s="751"/>
      <c r="AN88" s="751"/>
      <c r="AO88" s="751"/>
      <c r="AP88" s="751"/>
      <c r="AQ88" s="751"/>
      <c r="AR88" s="751"/>
      <c r="AS88" s="751"/>
      <c r="AT88" s="751"/>
      <c r="AU88" s="751"/>
      <c r="AV88" s="752"/>
      <c r="AW88" s="750" t="s">
        <v>1073</v>
      </c>
      <c r="AX88" s="751"/>
      <c r="AY88" s="751"/>
      <c r="AZ88" s="751"/>
      <c r="BA88" s="751"/>
      <c r="BB88" s="751"/>
      <c r="BC88" s="751"/>
      <c r="BD88" s="751"/>
      <c r="BE88" s="751"/>
      <c r="BF88" s="751"/>
      <c r="BG88" s="751"/>
      <c r="BH88" s="751"/>
      <c r="BI88" s="751"/>
      <c r="BJ88" s="752"/>
      <c r="BK88" s="750" t="s">
        <v>1074</v>
      </c>
      <c r="BL88" s="751"/>
      <c r="BM88" s="751"/>
      <c r="BN88" s="751"/>
      <c r="BO88" s="751"/>
      <c r="BP88" s="751"/>
      <c r="BQ88" s="751"/>
      <c r="BR88" s="751"/>
      <c r="BS88" s="751"/>
      <c r="BT88" s="751"/>
      <c r="BU88" s="751"/>
      <c r="BV88" s="751"/>
      <c r="BW88" s="751"/>
      <c r="BX88" s="752"/>
      <c r="BY88" s="22"/>
      <c r="BZ88" s="22"/>
      <c r="CA88" s="22"/>
      <c r="CB88" s="22"/>
      <c r="CC88" s="22"/>
      <c r="CD88" s="22"/>
      <c r="CE88" s="22"/>
      <c r="CF88" s="22"/>
      <c r="CG88" s="22"/>
      <c r="CH88" s="22"/>
      <c r="CI88" s="22"/>
      <c r="CJ88" s="22"/>
      <c r="CK88" s="22"/>
      <c r="CL88" s="22"/>
      <c r="CM88" s="22"/>
      <c r="CN88" s="22"/>
      <c r="CO88" s="22"/>
      <c r="CP88" s="22"/>
      <c r="CQ88" s="22"/>
      <c r="CR88" s="22"/>
      <c r="CS88" s="22"/>
      <c r="CT88" s="22"/>
      <c r="CU88" s="22"/>
      <c r="CV88" s="320"/>
      <c r="CW88" s="320"/>
      <c r="CX88" s="320"/>
      <c r="CY88" s="320"/>
      <c r="CZ88" s="320"/>
      <c r="DA88" s="320"/>
      <c r="DB88" s="320"/>
      <c r="DC88" s="320"/>
      <c r="DD88" s="22"/>
      <c r="DE88" s="22"/>
      <c r="DF88" s="22"/>
      <c r="DG88" s="486" t="str">
        <f>N88</f>
        <v>PJ</v>
      </c>
      <c r="DH88" s="486" t="str">
        <f>O88</f>
        <v>PJ</v>
      </c>
      <c r="DI88" s="596" t="str">
        <f t="shared" ref="DI88:DI95" si="89">AB88</f>
        <v>PJ</v>
      </c>
      <c r="DJ88" s="22"/>
      <c r="DK88" s="22"/>
      <c r="DL88" s="596" t="str">
        <f t="shared" ref="DL88:DL95" si="90">AC88</f>
        <v>years</v>
      </c>
      <c r="DM88" s="497" t="str">
        <f>R88</f>
        <v>PJ</v>
      </c>
      <c r="DN88" s="497" t="str">
        <f>S88</f>
        <v>PJ</v>
      </c>
      <c r="DO88" s="497" t="str">
        <f>T88</f>
        <v>PJ</v>
      </c>
      <c r="DP88" s="497" t="str">
        <f>U88</f>
        <v>PJ</v>
      </c>
      <c r="DQ88" s="497" t="str">
        <f>V88</f>
        <v>PJ</v>
      </c>
    </row>
    <row r="89" spans="10:122" ht="40.5" x14ac:dyDescent="0.25">
      <c r="J89" s="573" t="s">
        <v>798</v>
      </c>
      <c r="K89" s="573" t="s">
        <v>1035</v>
      </c>
      <c r="L89" s="573" t="s">
        <v>934</v>
      </c>
      <c r="M89" s="573" t="str">
        <f>+M60</f>
        <v>Type of Oil producing</v>
      </c>
      <c r="N89" s="573" t="s">
        <v>813</v>
      </c>
      <c r="O89" s="573" t="s">
        <v>814</v>
      </c>
      <c r="P89" s="574" t="s">
        <v>1052</v>
      </c>
      <c r="Q89" s="574" t="s">
        <v>804</v>
      </c>
      <c r="R89" s="575" t="s">
        <v>808</v>
      </c>
      <c r="S89" s="575" t="s">
        <v>809</v>
      </c>
      <c r="T89" s="575" t="s">
        <v>810</v>
      </c>
      <c r="U89" s="575" t="s">
        <v>811</v>
      </c>
      <c r="V89" s="575" t="s">
        <v>812</v>
      </c>
      <c r="W89" s="576" t="s">
        <v>808</v>
      </c>
      <c r="X89" s="576" t="s">
        <v>809</v>
      </c>
      <c r="Y89" s="576" t="s">
        <v>810</v>
      </c>
      <c r="Z89" s="576" t="s">
        <v>812</v>
      </c>
      <c r="AA89" s="577" t="s">
        <v>811</v>
      </c>
      <c r="AB89" s="589" t="s">
        <v>1045</v>
      </c>
      <c r="AC89" s="589" t="s">
        <v>1043</v>
      </c>
      <c r="AD89" s="571" t="s">
        <v>1048</v>
      </c>
      <c r="AE89" s="571" t="s">
        <v>1049</v>
      </c>
      <c r="AF89" s="571" t="s">
        <v>1050</v>
      </c>
      <c r="AG89" s="571" t="s">
        <v>1051</v>
      </c>
      <c r="AH89" s="666" t="s">
        <v>1062</v>
      </c>
      <c r="AI89" s="667">
        <v>2019</v>
      </c>
      <c r="AJ89" s="649">
        <v>2020</v>
      </c>
      <c r="AK89" s="649">
        <v>2023</v>
      </c>
      <c r="AL89" s="649">
        <v>2025</v>
      </c>
      <c r="AM89" s="649">
        <v>2027</v>
      </c>
      <c r="AN89" s="649">
        <v>2030</v>
      </c>
      <c r="AO89" s="649">
        <v>2033</v>
      </c>
      <c r="AP89" s="649">
        <v>2035</v>
      </c>
      <c r="AQ89" s="649">
        <v>2037</v>
      </c>
      <c r="AR89" s="649">
        <v>2040</v>
      </c>
      <c r="AS89" s="649">
        <v>2043</v>
      </c>
      <c r="AT89" s="649">
        <v>2045</v>
      </c>
      <c r="AU89" s="649">
        <v>2047</v>
      </c>
      <c r="AV89" s="668">
        <v>2050</v>
      </c>
      <c r="AW89" s="667">
        <v>2019</v>
      </c>
      <c r="AX89" s="649">
        <v>2020</v>
      </c>
      <c r="AY89" s="649">
        <v>2023</v>
      </c>
      <c r="AZ89" s="649">
        <v>2025</v>
      </c>
      <c r="BA89" s="649">
        <v>2027</v>
      </c>
      <c r="BB89" s="649">
        <v>2030</v>
      </c>
      <c r="BC89" s="649">
        <v>2033</v>
      </c>
      <c r="BD89" s="649">
        <v>2035</v>
      </c>
      <c r="BE89" s="649">
        <v>2037</v>
      </c>
      <c r="BF89" s="649">
        <v>2040</v>
      </c>
      <c r="BG89" s="649">
        <v>2043</v>
      </c>
      <c r="BH89" s="649">
        <v>2045</v>
      </c>
      <c r="BI89" s="649">
        <v>2047</v>
      </c>
      <c r="BJ89" s="668">
        <v>2050</v>
      </c>
      <c r="BK89" s="667">
        <v>2019</v>
      </c>
      <c r="BL89" s="649">
        <v>2020</v>
      </c>
      <c r="BM89" s="649">
        <v>2023</v>
      </c>
      <c r="BN89" s="649">
        <v>2025</v>
      </c>
      <c r="BO89" s="649">
        <v>2027</v>
      </c>
      <c r="BP89" s="649">
        <v>2030</v>
      </c>
      <c r="BQ89" s="649">
        <v>2033</v>
      </c>
      <c r="BR89" s="649">
        <v>2035</v>
      </c>
      <c r="BS89" s="649">
        <v>2037</v>
      </c>
      <c r="BT89" s="649">
        <v>2040</v>
      </c>
      <c r="BU89" s="649">
        <v>2043</v>
      </c>
      <c r="BV89" s="649">
        <v>2045</v>
      </c>
      <c r="BW89" s="649">
        <v>2047</v>
      </c>
      <c r="BX89" s="668">
        <v>2050</v>
      </c>
      <c r="CV89" s="510"/>
      <c r="CW89" s="510"/>
      <c r="CX89" s="510"/>
      <c r="CY89" s="510"/>
      <c r="CZ89" s="510"/>
      <c r="DA89" s="510"/>
      <c r="DB89" s="510"/>
      <c r="DC89" s="573" t="str">
        <f t="shared" ref="DC89:DF95" si="91">J89</f>
        <v>Basin</v>
      </c>
      <c r="DD89" s="573" t="str">
        <f t="shared" si="91"/>
        <v>Type Fluid</v>
      </c>
      <c r="DE89" s="573" t="str">
        <f t="shared" si="91"/>
        <v>CAM</v>
      </c>
      <c r="DF89" s="573" t="str">
        <f t="shared" si="91"/>
        <v>Type of Oil producing</v>
      </c>
      <c r="DG89" s="470" t="s">
        <v>813</v>
      </c>
      <c r="DH89" s="470" t="s">
        <v>814</v>
      </c>
      <c r="DI89" s="589" t="str">
        <f>AB89</f>
        <v>Rtotal</v>
      </c>
      <c r="DJ89" s="22"/>
      <c r="DK89" s="22"/>
      <c r="DL89" s="589" t="str">
        <f t="shared" si="90"/>
        <v>R/P</v>
      </c>
      <c r="DM89" s="472" t="s">
        <v>808</v>
      </c>
      <c r="DN89" s="472" t="s">
        <v>809</v>
      </c>
      <c r="DO89" s="472" t="s">
        <v>810</v>
      </c>
      <c r="DP89" s="472" t="s">
        <v>811</v>
      </c>
      <c r="DQ89" s="472" t="s">
        <v>812</v>
      </c>
    </row>
    <row r="90" spans="10:122" ht="15.75" x14ac:dyDescent="0.25">
      <c r="J90" s="155" t="s">
        <v>837</v>
      </c>
      <c r="K90" s="155" t="s">
        <v>1029</v>
      </c>
      <c r="L90" s="578" t="s">
        <v>57</v>
      </c>
      <c r="M90" s="579" t="s">
        <v>1042</v>
      </c>
      <c r="N90" s="580">
        <f t="shared" ref="N90:V102" si="92">+SUMIFS(N$61:N$80,$I$61:$I$80,$J90,$M$61:$M$80,$K90)</f>
        <v>0</v>
      </c>
      <c r="O90" s="580">
        <f t="shared" si="92"/>
        <v>68.585731940983607</v>
      </c>
      <c r="P90" s="617">
        <f t="shared" ref="P90:P95" si="93">+O90/(N90+O90)</f>
        <v>1</v>
      </c>
      <c r="Q90" s="581">
        <f t="shared" si="92"/>
        <v>66.042848806832495</v>
      </c>
      <c r="R90" s="582">
        <f t="shared" si="92"/>
        <v>2.4500442407782339</v>
      </c>
      <c r="S90" s="582">
        <f t="shared" si="92"/>
        <v>9.2838893372876957E-2</v>
      </c>
      <c r="T90" s="582">
        <f t="shared" si="92"/>
        <v>5.6186813035864835</v>
      </c>
      <c r="U90" s="582">
        <f t="shared" si="92"/>
        <v>0</v>
      </c>
      <c r="V90" s="582">
        <f t="shared" si="92"/>
        <v>60.424167503246018</v>
      </c>
      <c r="W90" s="560">
        <f t="shared" ref="W90:W102" si="94">+IF($O90=0,"-",R90/$O90)</f>
        <v>3.5722360488715625E-2</v>
      </c>
      <c r="X90" s="560">
        <f t="shared" ref="X90:X102" si="95">+IF($O90=0,"-",S90/$O90)</f>
        <v>1.3536181760480828E-3</v>
      </c>
      <c r="Y90" s="560">
        <f t="shared" ref="Y90:Y102" si="96">+IF($O90=0,"-",T90/$O90)</f>
        <v>8.1922014165004831E-2</v>
      </c>
      <c r="Z90" s="560">
        <f t="shared" ref="Z90:Z102" si="97">+IF($O90=0,"-",V90/$O90)</f>
        <v>0.88100200717023158</v>
      </c>
      <c r="AA90" s="562">
        <f t="shared" ref="AA90:AA102" si="98">+IF($T90=0,"-",U90/$T90)</f>
        <v>0</v>
      </c>
      <c r="AB90" s="593">
        <f>+SUMIFS(AB$61:AB$80,$I$61:$I$80,$J90,$M$61:$M$80,$K90)</f>
        <v>266.73883552000007</v>
      </c>
      <c r="AC90" s="593">
        <f>+SUMIFS(AC$61:AC$80,$I$61:$I$80,$J90,$M$61:$M$80,$K90)</f>
        <v>13.804288840499483</v>
      </c>
      <c r="AD90" s="604">
        <f t="shared" ref="AD90:AD102" si="99">+AB90*(100%-P90)</f>
        <v>0</v>
      </c>
      <c r="AE90" s="619" t="str">
        <f>+IF(N90=0,"-",AD90/N90)</f>
        <v>-</v>
      </c>
      <c r="AF90" s="604">
        <f>+AB90*(P90)</f>
        <v>266.73883552000007</v>
      </c>
      <c r="AG90" s="622">
        <f t="shared" ref="AG90:AG95" si="100">+AF90/O90</f>
        <v>3.8891301145480592</v>
      </c>
      <c r="AH90" s="580">
        <f>+SUMIFS(AH$61:AH$80,$I$61:$I$80,$J90,$M$61:$M$80,$K90)</f>
        <v>68.585731940983607</v>
      </c>
      <c r="AI90" s="580">
        <f t="shared" ref="AI90:AI102" si="101">+SUMIFS(BK$61:BK$80,$I$61:$I$80,$J90,$M$61:$M$80,$K90)</f>
        <v>68.585731940983607</v>
      </c>
      <c r="AJ90" s="580">
        <f t="shared" ref="AJ90:AJ102" si="102">+SUMIFS(BL$61:BL$80,$I$61:$I$80,$J90,$M$61:$M$80,$K90)</f>
        <v>48.786177197519166</v>
      </c>
      <c r="AK90" s="580">
        <f t="shared" ref="AK90:AK102" si="103">+SUMIFS(BM$61:BM$80,$I$61:$I$80,$J90,$M$61:$M$80,$K90)</f>
        <v>43.035587284288795</v>
      </c>
      <c r="AL90" s="580">
        <f t="shared" ref="AL90:AL102" si="104">+SUMIFS(BN$61:BN$80,$I$61:$I$80,$J90,$M$61:$M$80,$K90)</f>
        <v>34.570563154586416</v>
      </c>
      <c r="AM90" s="580">
        <f t="shared" ref="AM90:AM102" si="105">+SUMIFS(BO$61:BO$80,$I$61:$I$80,$J90,$M$61:$M$80,$K90)</f>
        <v>27.716174687025134</v>
      </c>
      <c r="AN90" s="580">
        <f t="shared" ref="AN90:AN102" si="106">+SUMIFS(BP$61:BP$80,$I$61:$I$80,$J90,$M$61:$M$80,$K90)</f>
        <v>5.2673740760556509</v>
      </c>
      <c r="AO90" s="580">
        <f t="shared" ref="AO90:AO102" si="107">+SUMIFS(BQ$61:BQ$80,$I$61:$I$80,$J90,$M$61:$M$80,$K90)</f>
        <v>3.6668988156729534</v>
      </c>
      <c r="AP90" s="580">
        <f t="shared" ref="AP90:AP102" si="108">+SUMIFS(BR$61:BR$80,$I$61:$I$80,$J90,$M$61:$M$80,$K90)</f>
        <v>2.86729599242289</v>
      </c>
      <c r="AQ90" s="580">
        <f t="shared" ref="AQ90:AQ102" si="109">+SUMIFS(BS$61:BS$80,$I$61:$I$80,$J90,$M$61:$M$80,$K90)</f>
        <v>2.3371052350566992</v>
      </c>
      <c r="AR90" s="580">
        <f t="shared" ref="AR90:AR102" si="110">+SUMIFS(BT$61:BT$80,$I$61:$I$80,$J90,$M$61:$M$80,$K90)</f>
        <v>0</v>
      </c>
      <c r="AS90" s="580">
        <f t="shared" ref="AS90:AS102" si="111">+SUMIFS(BU$61:BU$80,$I$61:$I$80,$J90,$M$61:$M$80,$K90)</f>
        <v>0</v>
      </c>
      <c r="AT90" s="580">
        <f t="shared" ref="AT90:AT102" si="112">+SUMIFS(BV$61:BV$80,$I$61:$I$80,$J90,$M$61:$M$80,$K90)</f>
        <v>0</v>
      </c>
      <c r="AU90" s="580">
        <f t="shared" ref="AU90:AU102" si="113">+SUMIFS(BW$61:BW$80,$I$61:$I$80,$J90,$M$61:$M$80,$K90)</f>
        <v>0</v>
      </c>
      <c r="AV90" s="580">
        <f t="shared" ref="AV90:AV102" si="114">+SUMIFS(BX$61:BX$80,$I$61:$I$80,$J90,$M$61:$M$80,$K90)</f>
        <v>0</v>
      </c>
      <c r="AW90" s="513">
        <f>+AI90*(100%-$P90)</f>
        <v>0</v>
      </c>
      <c r="AX90" s="513">
        <f t="shared" ref="AX90:BJ102" si="115">+AJ90*(100%-$P90)</f>
        <v>0</v>
      </c>
      <c r="AY90" s="513">
        <f t="shared" si="115"/>
        <v>0</v>
      </c>
      <c r="AZ90" s="513">
        <f t="shared" si="115"/>
        <v>0</v>
      </c>
      <c r="BA90" s="513">
        <f t="shared" si="115"/>
        <v>0</v>
      </c>
      <c r="BB90" s="513">
        <f t="shared" si="115"/>
        <v>0</v>
      </c>
      <c r="BC90" s="513">
        <f t="shared" si="115"/>
        <v>0</v>
      </c>
      <c r="BD90" s="513">
        <f t="shared" si="115"/>
        <v>0</v>
      </c>
      <c r="BE90" s="513">
        <f t="shared" si="115"/>
        <v>0</v>
      </c>
      <c r="BF90" s="513">
        <f t="shared" si="115"/>
        <v>0</v>
      </c>
      <c r="BG90" s="513">
        <f t="shared" si="115"/>
        <v>0</v>
      </c>
      <c r="BH90" s="513">
        <f t="shared" si="115"/>
        <v>0</v>
      </c>
      <c r="BI90" s="513">
        <f t="shared" si="115"/>
        <v>0</v>
      </c>
      <c r="BJ90" s="513">
        <f t="shared" si="115"/>
        <v>0</v>
      </c>
      <c r="BK90" s="513">
        <f>+AI90*($P90)</f>
        <v>68.585731940983607</v>
      </c>
      <c r="BL90" s="513">
        <f t="shared" ref="BL90:BX90" si="116">+AJ90*($P90)</f>
        <v>48.786177197519166</v>
      </c>
      <c r="BM90" s="513">
        <f t="shared" si="116"/>
        <v>43.035587284288795</v>
      </c>
      <c r="BN90" s="513">
        <f t="shared" si="116"/>
        <v>34.570563154586416</v>
      </c>
      <c r="BO90" s="513">
        <f t="shared" si="116"/>
        <v>27.716174687025134</v>
      </c>
      <c r="BP90" s="513">
        <f t="shared" si="116"/>
        <v>5.2673740760556509</v>
      </c>
      <c r="BQ90" s="513">
        <f t="shared" si="116"/>
        <v>3.6668988156729534</v>
      </c>
      <c r="BR90" s="513">
        <f t="shared" si="116"/>
        <v>2.86729599242289</v>
      </c>
      <c r="BS90" s="513">
        <f t="shared" si="116"/>
        <v>2.3371052350566992</v>
      </c>
      <c r="BT90" s="513">
        <f t="shared" si="116"/>
        <v>0</v>
      </c>
      <c r="BU90" s="513">
        <f t="shared" si="116"/>
        <v>0</v>
      </c>
      <c r="BV90" s="513">
        <f t="shared" si="116"/>
        <v>0</v>
      </c>
      <c r="BW90" s="513">
        <f t="shared" si="116"/>
        <v>0</v>
      </c>
      <c r="BX90" s="513">
        <f t="shared" si="116"/>
        <v>0</v>
      </c>
      <c r="CV90" s="320"/>
      <c r="CW90" s="320"/>
      <c r="CX90" s="320"/>
      <c r="CY90" s="320"/>
      <c r="CZ90" s="320"/>
      <c r="DA90" s="320"/>
      <c r="DB90" s="320"/>
      <c r="DC90" s="601" t="str">
        <f t="shared" si="91"/>
        <v>Guajira</v>
      </c>
      <c r="DD90" s="601" t="str">
        <f t="shared" si="91"/>
        <v>Doesn't Apply</v>
      </c>
      <c r="DE90" s="578" t="str">
        <f t="shared" si="91"/>
        <v>CAM1</v>
      </c>
      <c r="DF90" s="579" t="str">
        <f t="shared" si="91"/>
        <v>GU - Gas</v>
      </c>
      <c r="DG90" s="597">
        <f t="shared" ref="DG90:DH95" si="117">N90</f>
        <v>0</v>
      </c>
      <c r="DH90" s="597">
        <f t="shared" si="117"/>
        <v>68.585731940983607</v>
      </c>
      <c r="DI90" s="598">
        <f t="shared" si="89"/>
        <v>266.73883552000007</v>
      </c>
      <c r="DJ90" s="22"/>
      <c r="DK90" s="22"/>
      <c r="DL90" s="598">
        <f t="shared" si="90"/>
        <v>13.804288840499483</v>
      </c>
      <c r="DM90" s="599">
        <f t="shared" ref="DM90:DQ95" si="118">R90</f>
        <v>2.4500442407782339</v>
      </c>
      <c r="DN90" s="599">
        <f t="shared" si="118"/>
        <v>9.2838893372876957E-2</v>
      </c>
      <c r="DO90" s="599">
        <f t="shared" si="118"/>
        <v>5.6186813035864835</v>
      </c>
      <c r="DP90" s="599">
        <f t="shared" si="118"/>
        <v>0</v>
      </c>
      <c r="DQ90" s="599">
        <f t="shared" si="118"/>
        <v>60.424167503246018</v>
      </c>
      <c r="DR90" s="57"/>
    </row>
    <row r="91" spans="10:122" ht="15.75" x14ac:dyDescent="0.25">
      <c r="J91" s="155" t="s">
        <v>822</v>
      </c>
      <c r="K91" s="155" t="s">
        <v>792</v>
      </c>
      <c r="L91" s="578" t="s">
        <v>58</v>
      </c>
      <c r="M91" s="583" t="s">
        <v>1037</v>
      </c>
      <c r="N91" s="580">
        <f t="shared" si="92"/>
        <v>107.6091233110016</v>
      </c>
      <c r="O91" s="580">
        <f t="shared" si="92"/>
        <v>256.07651205217701</v>
      </c>
      <c r="P91" s="617">
        <f t="shared" si="93"/>
        <v>0.70411500249785086</v>
      </c>
      <c r="Q91" s="581">
        <f t="shared" si="92"/>
        <v>209.74608813235034</v>
      </c>
      <c r="R91" s="582">
        <f t="shared" si="92"/>
        <v>28.837995441575647</v>
      </c>
      <c r="S91" s="582">
        <f t="shared" si="92"/>
        <v>3.2629701010505454</v>
      </c>
      <c r="T91" s="582">
        <f t="shared" si="92"/>
        <v>69.637902700685089</v>
      </c>
      <c r="U91" s="582">
        <f t="shared" si="92"/>
        <v>14.229458377200496</v>
      </c>
      <c r="V91" s="582">
        <f t="shared" si="92"/>
        <v>154.33764380886575</v>
      </c>
      <c r="W91" s="560">
        <f t="shared" si="94"/>
        <v>0.11261476193372918</v>
      </c>
      <c r="X91" s="560">
        <f t="shared" si="95"/>
        <v>1.2742168638979654E-2</v>
      </c>
      <c r="Y91" s="560">
        <f t="shared" si="96"/>
        <v>0.27194178076939746</v>
      </c>
      <c r="Z91" s="560">
        <f t="shared" si="97"/>
        <v>0.60270128865789374</v>
      </c>
      <c r="AA91" s="562">
        <f t="shared" si="98"/>
        <v>0.20433496451438232</v>
      </c>
      <c r="AB91" s="593">
        <f t="shared" ref="AB91:AC102" si="119">+SUMIFS(AB$61:AB$80,$I$61:$I$80,$J91,$M$61:$M$80,$K91)</f>
        <v>2182.2418034400002</v>
      </c>
      <c r="AC91" s="593">
        <f>+SUMIFS(AC$61:AC$80,$I$61:$I$80,$J91,$M$61:$M$80,$K91)</f>
        <v>25.359430839400929</v>
      </c>
      <c r="AD91" s="604">
        <f t="shared" si="99"/>
        <v>645.6926105599299</v>
      </c>
      <c r="AE91" s="605">
        <f t="shared" ref="AE91:AE102" si="120">+IF(N91=0,"-",AD91/N91)</f>
        <v>6.0003519282822415</v>
      </c>
      <c r="AF91" s="604">
        <f t="shared" ref="AF91:AF102" si="121">+AB91*(P91)</f>
        <v>1536.5491928800704</v>
      </c>
      <c r="AG91" s="605">
        <f t="shared" si="100"/>
        <v>6.0003519282822397</v>
      </c>
      <c r="AH91" s="580">
        <f t="shared" ref="AH91:AH102" si="122">+SUMIFS(AH$61:AH$80,$I$61:$I$80,$J91,$M$61:$M$80,$K91)</f>
        <v>363.68563536317856</v>
      </c>
      <c r="AI91" s="580">
        <f t="shared" si="101"/>
        <v>363.68563536317856</v>
      </c>
      <c r="AJ91" s="580">
        <f t="shared" si="102"/>
        <v>357.03963544887284</v>
      </c>
      <c r="AK91" s="580">
        <f t="shared" si="103"/>
        <v>291.71333965512213</v>
      </c>
      <c r="AL91" s="580">
        <f t="shared" si="104"/>
        <v>219.06541620476196</v>
      </c>
      <c r="AM91" s="580">
        <f t="shared" si="105"/>
        <v>126.28578711913453</v>
      </c>
      <c r="AN91" s="580">
        <f t="shared" si="106"/>
        <v>93.858549318283977</v>
      </c>
      <c r="AO91" s="580">
        <f t="shared" si="107"/>
        <v>67.926190092891318</v>
      </c>
      <c r="AP91" s="580">
        <f t="shared" si="108"/>
        <v>51.633133760529908</v>
      </c>
      <c r="AQ91" s="580">
        <f t="shared" si="109"/>
        <v>39.112638374469476</v>
      </c>
      <c r="AR91" s="580">
        <f t="shared" si="110"/>
        <v>23.3968962245543</v>
      </c>
      <c r="AS91" s="580">
        <f t="shared" si="111"/>
        <v>10.786632390437573</v>
      </c>
      <c r="AT91" s="580">
        <f t="shared" si="112"/>
        <v>9.0936013935059616</v>
      </c>
      <c r="AU91" s="580">
        <f t="shared" si="113"/>
        <v>8.1321048795691553</v>
      </c>
      <c r="AV91" s="580">
        <f t="shared" si="114"/>
        <v>6.6898601086639449</v>
      </c>
      <c r="AW91" s="513">
        <f t="shared" ref="AW91:AW102" si="123">+AI91*(100%-$P91)</f>
        <v>107.60912331100161</v>
      </c>
      <c r="AX91" s="513">
        <f t="shared" si="115"/>
        <v>105.64267164295798</v>
      </c>
      <c r="AY91" s="513">
        <f t="shared" si="115"/>
        <v>86.31360077519939</v>
      </c>
      <c r="AZ91" s="513">
        <f t="shared" si="115"/>
        <v>64.818170126553255</v>
      </c>
      <c r="BA91" s="513">
        <f t="shared" si="115"/>
        <v>37.366069806302058</v>
      </c>
      <c r="BB91" s="513">
        <f t="shared" si="115"/>
        <v>27.771336630595798</v>
      </c>
      <c r="BC91" s="513">
        <f t="shared" si="115"/>
        <v>20.098340585965655</v>
      </c>
      <c r="BD91" s="513">
        <f t="shared" si="115"/>
        <v>15.277469653762525</v>
      </c>
      <c r="BE91" s="513">
        <f t="shared" si="115"/>
        <v>11.572842907732364</v>
      </c>
      <c r="BF91" s="513">
        <f t="shared" si="115"/>
        <v>6.9227905809602914</v>
      </c>
      <c r="BG91" s="513">
        <f t="shared" si="115"/>
        <v>3.1916026979012222</v>
      </c>
      <c r="BH91" s="513">
        <f t="shared" si="115"/>
        <v>2.6906602256030512</v>
      </c>
      <c r="BI91" s="513">
        <f t="shared" si="115"/>
        <v>2.4061678319785345</v>
      </c>
      <c r="BJ91" s="513">
        <f t="shared" si="115"/>
        <v>1.9794292415417585</v>
      </c>
      <c r="BK91" s="513">
        <f t="shared" ref="BK91:BK102" si="124">+AI91*($P91)</f>
        <v>256.07651205217695</v>
      </c>
      <c r="BL91" s="513">
        <f t="shared" ref="BL91:BL102" si="125">+AJ91*($P91)</f>
        <v>251.39696380591485</v>
      </c>
      <c r="BM91" s="513">
        <f t="shared" ref="BM91:BM102" si="126">+AK91*($P91)</f>
        <v>205.39973887992272</v>
      </c>
      <c r="BN91" s="513">
        <f t="shared" ref="BN91:BN102" si="127">+AL91*($P91)</f>
        <v>154.24724607820872</v>
      </c>
      <c r="BO91" s="513">
        <f t="shared" ref="BO91:BO102" si="128">+AM91*($P91)</f>
        <v>88.919717312832475</v>
      </c>
      <c r="BP91" s="513">
        <f t="shared" ref="BP91:BP102" si="129">+AN91*($P91)</f>
        <v>66.087212687688179</v>
      </c>
      <c r="BQ91" s="513">
        <f t="shared" ref="BQ91:BQ102" si="130">+AO91*($P91)</f>
        <v>47.827849506925659</v>
      </c>
      <c r="BR91" s="513">
        <f t="shared" ref="BR91:BR102" si="131">+AP91*($P91)</f>
        <v>36.355664106767385</v>
      </c>
      <c r="BS91" s="513">
        <f t="shared" ref="BS91:BS102" si="132">+AQ91*($P91)</f>
        <v>27.539795466737115</v>
      </c>
      <c r="BT91" s="513">
        <f t="shared" ref="BT91:BT102" si="133">+AR91*($P91)</f>
        <v>16.474105643594008</v>
      </c>
      <c r="BU91" s="513">
        <f t="shared" ref="BU91:BU102" si="134">+AS91*($P91)</f>
        <v>7.5950296925363503</v>
      </c>
      <c r="BV91" s="513">
        <f t="shared" ref="BV91:BV102" si="135">+AT91*($P91)</f>
        <v>6.4029411679029105</v>
      </c>
      <c r="BW91" s="513">
        <f t="shared" ref="BW91:BW102" si="136">+AU91*($P91)</f>
        <v>5.7259370475906213</v>
      </c>
      <c r="BX91" s="513">
        <f t="shared" ref="BX91:BX102" si="137">+AV91*($P91)</f>
        <v>4.7104308671221862</v>
      </c>
      <c r="CV91" s="320"/>
      <c r="CW91" s="320"/>
      <c r="CX91" s="320"/>
      <c r="CY91" s="320"/>
      <c r="CZ91" s="320"/>
      <c r="DA91" s="320"/>
      <c r="DB91" s="320"/>
      <c r="DC91" s="601" t="str">
        <f t="shared" si="91"/>
        <v>Llanos Orientales</v>
      </c>
      <c r="DD91" s="601" t="str">
        <f t="shared" si="91"/>
        <v>Light Oil</v>
      </c>
      <c r="DE91" s="578" t="str">
        <f t="shared" si="91"/>
        <v>CAM2</v>
      </c>
      <c r="DF91" s="600" t="str">
        <f t="shared" si="91"/>
        <v>LLO - Ligth</v>
      </c>
      <c r="DG91" s="597">
        <f t="shared" si="117"/>
        <v>107.6091233110016</v>
      </c>
      <c r="DH91" s="597">
        <f t="shared" si="117"/>
        <v>256.07651205217701</v>
      </c>
      <c r="DI91" s="598">
        <f t="shared" si="89"/>
        <v>2182.2418034400002</v>
      </c>
      <c r="DJ91" s="22"/>
      <c r="DK91" s="22"/>
      <c r="DL91" s="598">
        <f t="shared" si="90"/>
        <v>25.359430839400929</v>
      </c>
      <c r="DM91" s="599">
        <f t="shared" si="118"/>
        <v>28.837995441575647</v>
      </c>
      <c r="DN91" s="599">
        <f t="shared" si="118"/>
        <v>3.2629701010505454</v>
      </c>
      <c r="DO91" s="599">
        <f t="shared" si="118"/>
        <v>69.637902700685089</v>
      </c>
      <c r="DP91" s="599">
        <f t="shared" si="118"/>
        <v>14.229458377200496</v>
      </c>
      <c r="DQ91" s="599">
        <f t="shared" si="118"/>
        <v>154.33764380886575</v>
      </c>
      <c r="DR91" s="57"/>
    </row>
    <row r="92" spans="10:122" ht="15.75" x14ac:dyDescent="0.25">
      <c r="J92" s="155" t="s">
        <v>822</v>
      </c>
      <c r="K92" s="155" t="s">
        <v>790</v>
      </c>
      <c r="L92" s="578" t="s">
        <v>59</v>
      </c>
      <c r="M92" s="156" t="s">
        <v>1038</v>
      </c>
      <c r="N92" s="580">
        <f t="shared" si="92"/>
        <v>724.65339318846713</v>
      </c>
      <c r="O92" s="580">
        <f t="shared" si="92"/>
        <v>2.0511176562165518</v>
      </c>
      <c r="P92" s="617">
        <f t="shared" si="93"/>
        <v>2.8224919834781799E-3</v>
      </c>
      <c r="Q92" s="581">
        <f t="shared" si="92"/>
        <v>0.23786180586758954</v>
      </c>
      <c r="R92" s="582">
        <f t="shared" si="92"/>
        <v>0.32681390346528633</v>
      </c>
      <c r="S92" s="582">
        <f t="shared" si="92"/>
        <v>1.2912743211024171</v>
      </c>
      <c r="T92" s="582">
        <f t="shared" si="92"/>
        <v>0.4330294316488485</v>
      </c>
      <c r="U92" s="582">
        <f t="shared" si="92"/>
        <v>0.19516762578125896</v>
      </c>
      <c r="V92" s="582">
        <f t="shared" si="92"/>
        <v>0</v>
      </c>
      <c r="W92" s="560">
        <f t="shared" si="94"/>
        <v>0.15933454742334008</v>
      </c>
      <c r="X92" s="560">
        <f t="shared" si="95"/>
        <v>0.629546685042083</v>
      </c>
      <c r="Y92" s="560">
        <f t="shared" si="96"/>
        <v>0.21111876753457692</v>
      </c>
      <c r="Z92" s="560">
        <f t="shared" si="97"/>
        <v>0</v>
      </c>
      <c r="AA92" s="562">
        <f t="shared" si="98"/>
        <v>0.4507029118970462</v>
      </c>
      <c r="AB92" s="593">
        <f t="shared" si="119"/>
        <v>7958.3611650879984</v>
      </c>
      <c r="AC92" s="593">
        <f>+SUMIFS(AC$61:AC$80,$I$61:$I$80,$J92,$M$61:$M$80,$K92)</f>
        <v>47.721303727593558</v>
      </c>
      <c r="AD92" s="604">
        <f t="shared" si="99"/>
        <v>7935.8987544979136</v>
      </c>
      <c r="AE92" s="605">
        <f t="shared" si="120"/>
        <v>10.951302828487485</v>
      </c>
      <c r="AF92" s="604">
        <f t="shared" si="121"/>
        <v>22.462410590084943</v>
      </c>
      <c r="AG92" s="605">
        <f t="shared" si="100"/>
        <v>10.951302828487483</v>
      </c>
      <c r="AH92" s="580">
        <f t="shared" si="122"/>
        <v>726.70451084468357</v>
      </c>
      <c r="AI92" s="580">
        <f t="shared" si="101"/>
        <v>726.70451084468357</v>
      </c>
      <c r="AJ92" s="580">
        <f t="shared" si="102"/>
        <v>687.86225103060212</v>
      </c>
      <c r="AK92" s="580">
        <f t="shared" si="103"/>
        <v>385.85872204465466</v>
      </c>
      <c r="AL92" s="580">
        <f t="shared" si="104"/>
        <v>409.06901747594299</v>
      </c>
      <c r="AM92" s="580">
        <f t="shared" si="105"/>
        <v>369.35783750049205</v>
      </c>
      <c r="AN92" s="580">
        <f t="shared" si="106"/>
        <v>309.7910675373156</v>
      </c>
      <c r="AO92" s="580">
        <f t="shared" si="107"/>
        <v>196.2800040437545</v>
      </c>
      <c r="AP92" s="580">
        <f t="shared" si="108"/>
        <v>151.73365907601499</v>
      </c>
      <c r="AQ92" s="580">
        <f t="shared" si="109"/>
        <v>35.113596160592415</v>
      </c>
      <c r="AR92" s="580">
        <f t="shared" si="110"/>
        <v>85.07145902842241</v>
      </c>
      <c r="AS92" s="580">
        <f t="shared" si="111"/>
        <v>76.155967420534168</v>
      </c>
      <c r="AT92" s="580">
        <f t="shared" si="112"/>
        <v>62.622403033114466</v>
      </c>
      <c r="AU92" s="580">
        <f t="shared" si="113"/>
        <v>58.552871897120902</v>
      </c>
      <c r="AV92" s="580">
        <f t="shared" si="114"/>
        <v>47.786379701308284</v>
      </c>
      <c r="AW92" s="513">
        <f t="shared" si="123"/>
        <v>724.65339318846702</v>
      </c>
      <c r="AX92" s="513">
        <f t="shared" si="115"/>
        <v>685.92076534133105</v>
      </c>
      <c r="AY92" s="513">
        <f t="shared" si="115"/>
        <v>384.76963889492851</v>
      </c>
      <c r="AZ92" s="513">
        <f t="shared" si="115"/>
        <v>407.91442345342784</v>
      </c>
      <c r="BA92" s="513">
        <f t="shared" si="115"/>
        <v>368.31532796511209</v>
      </c>
      <c r="BB92" s="513">
        <f t="shared" si="115"/>
        <v>308.91668473263837</v>
      </c>
      <c r="BC92" s="513">
        <f t="shared" si="115"/>
        <v>195.72600530582395</v>
      </c>
      <c r="BD92" s="513">
        <f t="shared" si="115"/>
        <v>151.30539203964912</v>
      </c>
      <c r="BE92" s="513">
        <f t="shared" si="115"/>
        <v>35.014488316918055</v>
      </c>
      <c r="BF92" s="513">
        <f t="shared" si="115"/>
        <v>84.831345517291894</v>
      </c>
      <c r="BG92" s="513">
        <f t="shared" si="115"/>
        <v>75.941017812995682</v>
      </c>
      <c r="BH92" s="513">
        <f t="shared" si="115"/>
        <v>62.445651802567362</v>
      </c>
      <c r="BI92" s="513">
        <f t="shared" si="115"/>
        <v>58.387606885581654</v>
      </c>
      <c r="BJ92" s="513">
        <f t="shared" si="115"/>
        <v>47.651503027681898</v>
      </c>
      <c r="BK92" s="513">
        <f t="shared" si="124"/>
        <v>2.0511176562165514</v>
      </c>
      <c r="BL92" s="513">
        <f t="shared" si="125"/>
        <v>1.9414856892711299</v>
      </c>
      <c r="BM92" s="513">
        <f t="shared" si="126"/>
        <v>1.089083149726173</v>
      </c>
      <c r="BN92" s="513">
        <f t="shared" si="127"/>
        <v>1.1545940225151445</v>
      </c>
      <c r="BO92" s="513">
        <f t="shared" si="128"/>
        <v>1.0425095353799751</v>
      </c>
      <c r="BP92" s="513">
        <f t="shared" si="129"/>
        <v>0.87438280467722063</v>
      </c>
      <c r="BQ92" s="513">
        <f t="shared" si="130"/>
        <v>0.55399873793056176</v>
      </c>
      <c r="BR92" s="513">
        <f t="shared" si="131"/>
        <v>0.4282670363658635</v>
      </c>
      <c r="BS92" s="513">
        <f t="shared" si="132"/>
        <v>9.9107843674362289E-2</v>
      </c>
      <c r="BT92" s="513">
        <f t="shared" si="133"/>
        <v>0.24011351113051468</v>
      </c>
      <c r="BU92" s="513">
        <f t="shared" si="134"/>
        <v>0.21494960753848313</v>
      </c>
      <c r="BV92" s="513">
        <f t="shared" si="135"/>
        <v>0.17675123054710523</v>
      </c>
      <c r="BW92" s="513">
        <f t="shared" si="136"/>
        <v>0.16526501153924855</v>
      </c>
      <c r="BX92" s="513">
        <f t="shared" si="137"/>
        <v>0.13487667362638706</v>
      </c>
      <c r="CV92" s="320"/>
      <c r="CW92" s="320"/>
      <c r="CX92" s="320"/>
      <c r="CY92" s="320"/>
      <c r="CZ92" s="320"/>
      <c r="DA92" s="320"/>
      <c r="DB92" s="320"/>
      <c r="DC92" s="601" t="str">
        <f t="shared" si="91"/>
        <v>Llanos Orientales</v>
      </c>
      <c r="DD92" s="601" t="str">
        <f t="shared" si="91"/>
        <v>Heavy Oil</v>
      </c>
      <c r="DE92" s="578" t="str">
        <f t="shared" si="91"/>
        <v>CAM3</v>
      </c>
      <c r="DF92" s="601" t="str">
        <f t="shared" si="91"/>
        <v>LLO - Heavy</v>
      </c>
      <c r="DG92" s="597">
        <f t="shared" si="117"/>
        <v>724.65339318846713</v>
      </c>
      <c r="DH92" s="597">
        <f t="shared" si="117"/>
        <v>2.0511176562165518</v>
      </c>
      <c r="DI92" s="598">
        <f t="shared" si="89"/>
        <v>7958.3611650879984</v>
      </c>
      <c r="DJ92" s="22"/>
      <c r="DK92" s="22"/>
      <c r="DL92" s="598">
        <f t="shared" si="90"/>
        <v>47.721303727593558</v>
      </c>
      <c r="DM92" s="599">
        <f t="shared" si="118"/>
        <v>0.32681390346528633</v>
      </c>
      <c r="DN92" s="599">
        <f t="shared" si="118"/>
        <v>1.2912743211024171</v>
      </c>
      <c r="DO92" s="599">
        <f t="shared" si="118"/>
        <v>0.4330294316488485</v>
      </c>
      <c r="DP92" s="599">
        <f t="shared" si="118"/>
        <v>0.19516762578125896</v>
      </c>
      <c r="DQ92" s="599">
        <f t="shared" si="118"/>
        <v>0</v>
      </c>
      <c r="DR92" s="57"/>
    </row>
    <row r="93" spans="10:122" ht="15.75" x14ac:dyDescent="0.25">
      <c r="J93" s="155" t="s">
        <v>852</v>
      </c>
      <c r="K93" s="155" t="s">
        <v>792</v>
      </c>
      <c r="L93" s="578" t="s">
        <v>60</v>
      </c>
      <c r="M93" s="156" t="s">
        <v>1039</v>
      </c>
      <c r="N93" s="580">
        <f t="shared" si="92"/>
        <v>4.3593517548323124</v>
      </c>
      <c r="O93" s="580">
        <f t="shared" si="92"/>
        <v>1.2759391450439788</v>
      </c>
      <c r="P93" s="617">
        <f t="shared" si="93"/>
        <v>0.2264193930205074</v>
      </c>
      <c r="Q93" s="581">
        <f t="shared" si="92"/>
        <v>0</v>
      </c>
      <c r="R93" s="582">
        <f t="shared" si="92"/>
        <v>0</v>
      </c>
      <c r="S93" s="582">
        <f t="shared" si="92"/>
        <v>1.2759391450439788</v>
      </c>
      <c r="T93" s="582">
        <f t="shared" si="92"/>
        <v>0</v>
      </c>
      <c r="U93" s="582">
        <f t="shared" si="92"/>
        <v>0</v>
      </c>
      <c r="V93" s="582">
        <f t="shared" si="92"/>
        <v>0</v>
      </c>
      <c r="W93" s="560">
        <f t="shared" si="94"/>
        <v>0</v>
      </c>
      <c r="X93" s="560">
        <f t="shared" si="95"/>
        <v>1</v>
      </c>
      <c r="Y93" s="560">
        <f t="shared" si="96"/>
        <v>0</v>
      </c>
      <c r="Z93" s="560">
        <f t="shared" si="97"/>
        <v>0</v>
      </c>
      <c r="AA93" s="562" t="str">
        <f t="shared" si="98"/>
        <v>-</v>
      </c>
      <c r="AB93" s="593">
        <f t="shared" si="119"/>
        <v>44.660401360000002</v>
      </c>
      <c r="AC93" s="593">
        <f>+SUMIFS(AC$61:AC$80,$I$61:$I$80,$J93,$M$61:$M$80,$K93)</f>
        <v>10.244734509091689</v>
      </c>
      <c r="AD93" s="604">
        <f t="shared" si="99"/>
        <v>34.54842039201656</v>
      </c>
      <c r="AE93" s="605">
        <f t="shared" si="120"/>
        <v>7.9251279398869032</v>
      </c>
      <c r="AF93" s="604">
        <f t="shared" si="121"/>
        <v>10.111980967983444</v>
      </c>
      <c r="AG93" s="605">
        <f t="shared" si="100"/>
        <v>7.9251279398869032</v>
      </c>
      <c r="AH93" s="580">
        <f t="shared" si="122"/>
        <v>5.6352908998762912</v>
      </c>
      <c r="AI93" s="580">
        <f t="shared" si="101"/>
        <v>5.6352908998762912</v>
      </c>
      <c r="AJ93" s="580">
        <f t="shared" si="102"/>
        <v>5.3251450871105153</v>
      </c>
      <c r="AK93" s="580">
        <f t="shared" si="103"/>
        <v>4.6229281525464918</v>
      </c>
      <c r="AL93" s="580">
        <f t="shared" si="104"/>
        <v>4.1547835295038089</v>
      </c>
      <c r="AM93" s="580">
        <f t="shared" si="105"/>
        <v>3.4993810572440531</v>
      </c>
      <c r="AN93" s="580">
        <f t="shared" si="106"/>
        <v>2.5162773488544192</v>
      </c>
      <c r="AO93" s="580">
        <f t="shared" si="107"/>
        <v>2.0247254946596036</v>
      </c>
      <c r="AP93" s="580">
        <f t="shared" si="108"/>
        <v>1.6970242585297266</v>
      </c>
      <c r="AQ93" s="580">
        <f t="shared" si="109"/>
        <v>1.4629519470083856</v>
      </c>
      <c r="AR93" s="580">
        <f t="shared" si="110"/>
        <v>1.1118434797263739</v>
      </c>
      <c r="AS93" s="580">
        <f t="shared" si="111"/>
        <v>0.99480732396570282</v>
      </c>
      <c r="AT93" s="580">
        <f t="shared" si="112"/>
        <v>0</v>
      </c>
      <c r="AU93" s="580">
        <f t="shared" si="113"/>
        <v>0</v>
      </c>
      <c r="AV93" s="580">
        <f t="shared" si="114"/>
        <v>0</v>
      </c>
      <c r="AW93" s="513">
        <f t="shared" si="123"/>
        <v>4.3593517548323124</v>
      </c>
      <c r="AX93" s="513">
        <f t="shared" si="115"/>
        <v>4.1194289687408157</v>
      </c>
      <c r="AY93" s="513">
        <f t="shared" si="115"/>
        <v>3.5762075662694994</v>
      </c>
      <c r="AZ93" s="513">
        <f t="shared" si="115"/>
        <v>3.214059964621955</v>
      </c>
      <c r="BA93" s="513">
        <f t="shared" si="115"/>
        <v>2.7070533223153932</v>
      </c>
      <c r="BB93" s="513">
        <f t="shared" si="115"/>
        <v>1.9465433588555501</v>
      </c>
      <c r="BC93" s="513">
        <f t="shared" si="115"/>
        <v>1.5662883771256295</v>
      </c>
      <c r="BD93" s="513">
        <f t="shared" si="115"/>
        <v>1.3127850559723493</v>
      </c>
      <c r="BE93" s="513">
        <f t="shared" si="115"/>
        <v>1.1317112551485775</v>
      </c>
      <c r="BF93" s="513">
        <f t="shared" si="115"/>
        <v>0.86010055391291951</v>
      </c>
      <c r="BG93" s="513">
        <f t="shared" si="115"/>
        <v>0.76956365350103317</v>
      </c>
      <c r="BH93" s="513">
        <f t="shared" si="115"/>
        <v>0</v>
      </c>
      <c r="BI93" s="513">
        <f t="shared" si="115"/>
        <v>0</v>
      </c>
      <c r="BJ93" s="513">
        <f t="shared" si="115"/>
        <v>0</v>
      </c>
      <c r="BK93" s="513">
        <f t="shared" si="124"/>
        <v>1.2759391450439788</v>
      </c>
      <c r="BL93" s="513">
        <f t="shared" si="125"/>
        <v>1.2057161183696998</v>
      </c>
      <c r="BM93" s="513">
        <f t="shared" si="126"/>
        <v>1.0467205862769924</v>
      </c>
      <c r="BN93" s="513">
        <f t="shared" si="127"/>
        <v>0.94072356488185382</v>
      </c>
      <c r="BO93" s="513">
        <f t="shared" si="128"/>
        <v>0.79232773492865993</v>
      </c>
      <c r="BP93" s="513">
        <f t="shared" si="129"/>
        <v>0.56973398999886915</v>
      </c>
      <c r="BQ93" s="513">
        <f t="shared" si="130"/>
        <v>0.45843711753397404</v>
      </c>
      <c r="BR93" s="513">
        <f t="shared" si="131"/>
        <v>0.38423920255737731</v>
      </c>
      <c r="BS93" s="513">
        <f t="shared" si="132"/>
        <v>0.33124069185980815</v>
      </c>
      <c r="BT93" s="513">
        <f t="shared" si="133"/>
        <v>0.25174292581345442</v>
      </c>
      <c r="BU93" s="513">
        <f t="shared" si="134"/>
        <v>0.2252436704646697</v>
      </c>
      <c r="BV93" s="513">
        <f t="shared" si="135"/>
        <v>0</v>
      </c>
      <c r="BW93" s="513">
        <f t="shared" si="136"/>
        <v>0</v>
      </c>
      <c r="BX93" s="513">
        <f t="shared" si="137"/>
        <v>0</v>
      </c>
      <c r="CV93" s="320"/>
      <c r="CW93" s="320"/>
      <c r="CX93" s="320"/>
      <c r="CY93" s="320"/>
      <c r="CZ93" s="320"/>
      <c r="DA93" s="320"/>
      <c r="DB93" s="320"/>
      <c r="DC93" s="601" t="str">
        <f t="shared" si="91"/>
        <v>Putumayo</v>
      </c>
      <c r="DD93" s="601" t="str">
        <f t="shared" si="91"/>
        <v>Light Oil</v>
      </c>
      <c r="DE93" s="578" t="str">
        <f t="shared" si="91"/>
        <v>CAM4</v>
      </c>
      <c r="DF93" s="601" t="str">
        <f t="shared" si="91"/>
        <v>PU - Ligth</v>
      </c>
      <c r="DG93" s="597">
        <f t="shared" si="117"/>
        <v>4.3593517548323124</v>
      </c>
      <c r="DH93" s="597">
        <f t="shared" si="117"/>
        <v>1.2759391450439788</v>
      </c>
      <c r="DI93" s="598">
        <f t="shared" si="89"/>
        <v>44.660401360000002</v>
      </c>
      <c r="DJ93" s="22"/>
      <c r="DK93" s="22"/>
      <c r="DL93" s="598">
        <f t="shared" si="90"/>
        <v>10.244734509091689</v>
      </c>
      <c r="DM93" s="599">
        <f t="shared" si="118"/>
        <v>0</v>
      </c>
      <c r="DN93" s="599">
        <f t="shared" si="118"/>
        <v>1.2759391450439788</v>
      </c>
      <c r="DO93" s="599">
        <f t="shared" si="118"/>
        <v>0</v>
      </c>
      <c r="DP93" s="599">
        <f t="shared" si="118"/>
        <v>0</v>
      </c>
      <c r="DQ93" s="599">
        <f t="shared" si="118"/>
        <v>0</v>
      </c>
      <c r="DR93" s="57"/>
    </row>
    <row r="94" spans="10:122" ht="15.75" x14ac:dyDescent="0.25">
      <c r="J94" s="155" t="s">
        <v>817</v>
      </c>
      <c r="K94" s="155" t="s">
        <v>791</v>
      </c>
      <c r="L94" s="578" t="s">
        <v>61</v>
      </c>
      <c r="M94" s="156" t="s">
        <v>1040</v>
      </c>
      <c r="N94" s="580">
        <f t="shared" si="92"/>
        <v>160.64590837999947</v>
      </c>
      <c r="O94" s="580">
        <f t="shared" si="92"/>
        <v>4.7988803578001527</v>
      </c>
      <c r="P94" s="617">
        <f t="shared" si="93"/>
        <v>2.9005932398423979E-2</v>
      </c>
      <c r="Q94" s="581">
        <f t="shared" si="92"/>
        <v>2.2768748695271519</v>
      </c>
      <c r="R94" s="582">
        <f t="shared" si="92"/>
        <v>1.7521170575840492</v>
      </c>
      <c r="S94" s="582">
        <f t="shared" si="92"/>
        <v>0.7698884306889513</v>
      </c>
      <c r="T94" s="582">
        <f t="shared" si="92"/>
        <v>1.3766222989813104</v>
      </c>
      <c r="U94" s="582">
        <f t="shared" si="92"/>
        <v>0</v>
      </c>
      <c r="V94" s="582">
        <f t="shared" si="92"/>
        <v>0.90025257054584151</v>
      </c>
      <c r="W94" s="560">
        <f t="shared" si="94"/>
        <v>0.36510955200959305</v>
      </c>
      <c r="X94" s="560">
        <f t="shared" si="95"/>
        <v>0.16043084496523574</v>
      </c>
      <c r="Y94" s="560">
        <f t="shared" si="96"/>
        <v>0.28686322565715427</v>
      </c>
      <c r="Z94" s="560">
        <f t="shared" si="97"/>
        <v>0.18759637736801693</v>
      </c>
      <c r="AA94" s="562">
        <f t="shared" si="98"/>
        <v>0</v>
      </c>
      <c r="AB94" s="593">
        <f t="shared" si="119"/>
        <v>1100.1753392559999</v>
      </c>
      <c r="AC94" s="593">
        <f>+SUMIFS(AC$61:AC$80,$I$61:$I$80,$J94,$M$61:$M$80,$K94)</f>
        <v>24.413897954986417</v>
      </c>
      <c r="AD94" s="604">
        <f t="shared" si="99"/>
        <v>1068.2637277391273</v>
      </c>
      <c r="AE94" s="605">
        <f t="shared" si="120"/>
        <v>6.6498035244832101</v>
      </c>
      <c r="AF94" s="604">
        <f t="shared" si="121"/>
        <v>31.9116115168727</v>
      </c>
      <c r="AG94" s="605">
        <f t="shared" si="100"/>
        <v>6.6498035244832092</v>
      </c>
      <c r="AH94" s="580">
        <f t="shared" si="122"/>
        <v>165.44478873779963</v>
      </c>
      <c r="AI94" s="580">
        <f t="shared" si="101"/>
        <v>165.44478873779963</v>
      </c>
      <c r="AJ94" s="580">
        <f t="shared" si="102"/>
        <v>153.89107121101256</v>
      </c>
      <c r="AK94" s="580">
        <f t="shared" si="103"/>
        <v>98.967477778380101</v>
      </c>
      <c r="AL94" s="580">
        <f t="shared" si="104"/>
        <v>91.230677358831571</v>
      </c>
      <c r="AM94" s="580">
        <f t="shared" si="105"/>
        <v>73.193552767530946</v>
      </c>
      <c r="AN94" s="580">
        <f t="shared" si="106"/>
        <v>46.137865880580037</v>
      </c>
      <c r="AO94" s="580">
        <f t="shared" si="107"/>
        <v>34.93812928869707</v>
      </c>
      <c r="AP94" s="580">
        <f t="shared" si="108"/>
        <v>27.471638227441758</v>
      </c>
      <c r="AQ94" s="580">
        <f t="shared" si="109"/>
        <v>22.774089751023496</v>
      </c>
      <c r="AR94" s="580">
        <f t="shared" si="110"/>
        <v>15.727767036396102</v>
      </c>
      <c r="AS94" s="580">
        <f t="shared" si="111"/>
        <v>9.6596165622714754</v>
      </c>
      <c r="AT94" s="580">
        <f t="shared" si="112"/>
        <v>8.2794492877500225</v>
      </c>
      <c r="AU94" s="580">
        <f t="shared" si="113"/>
        <v>7.0735333286609636</v>
      </c>
      <c r="AV94" s="580">
        <f t="shared" si="114"/>
        <v>5.2903275793547166</v>
      </c>
      <c r="AW94" s="513">
        <f t="shared" si="123"/>
        <v>160.64590837999947</v>
      </c>
      <c r="AX94" s="513">
        <f t="shared" si="115"/>
        <v>149.42731720274489</v>
      </c>
      <c r="AY94" s="513">
        <f t="shared" si="115"/>
        <v>96.096833808297887</v>
      </c>
      <c r="AZ94" s="513">
        <f t="shared" si="115"/>
        <v>88.584446498698867</v>
      </c>
      <c r="BA94" s="513">
        <f t="shared" si="115"/>
        <v>71.070505523955461</v>
      </c>
      <c r="BB94" s="513">
        <f t="shared" si="115"/>
        <v>44.799594061840381</v>
      </c>
      <c r="BC94" s="513">
        <f t="shared" si="115"/>
        <v>33.924716272421726</v>
      </c>
      <c r="BD94" s="513">
        <f t="shared" si="115"/>
        <v>26.674797746142623</v>
      </c>
      <c r="BE94" s="513">
        <f t="shared" si="115"/>
        <v>22.11350604326967</v>
      </c>
      <c r="BF94" s="513">
        <f t="shared" si="115"/>
        <v>15.271568488960236</v>
      </c>
      <c r="BG94" s="513">
        <f t="shared" si="115"/>
        <v>9.3794303772715324</v>
      </c>
      <c r="BH94" s="513">
        <f t="shared" si="115"/>
        <v>8.0392961414133666</v>
      </c>
      <c r="BI94" s="513">
        <f t="shared" si="115"/>
        <v>6.8683588991118247</v>
      </c>
      <c r="BJ94" s="513">
        <f t="shared" si="115"/>
        <v>5.1368766952224361</v>
      </c>
      <c r="BK94" s="513">
        <f t="shared" si="124"/>
        <v>4.7988803578001527</v>
      </c>
      <c r="BL94" s="513">
        <f t="shared" si="125"/>
        <v>4.4637540082676805</v>
      </c>
      <c r="BM94" s="513">
        <f t="shared" si="126"/>
        <v>2.8706439700822206</v>
      </c>
      <c r="BN94" s="513">
        <f t="shared" si="127"/>
        <v>2.6462308601326976</v>
      </c>
      <c r="BO94" s="513">
        <f t="shared" si="128"/>
        <v>2.1230472435754808</v>
      </c>
      <c r="BP94" s="513">
        <f t="shared" si="129"/>
        <v>1.3382718187396567</v>
      </c>
      <c r="BQ94" s="513">
        <f t="shared" si="130"/>
        <v>1.0134130162753441</v>
      </c>
      <c r="BR94" s="513">
        <f t="shared" si="131"/>
        <v>0.79684048129913565</v>
      </c>
      <c r="BS94" s="513">
        <f t="shared" si="132"/>
        <v>0.66058370775382791</v>
      </c>
      <c r="BT94" s="513">
        <f t="shared" si="133"/>
        <v>0.45619854743586641</v>
      </c>
      <c r="BU94" s="513">
        <f t="shared" si="134"/>
        <v>0.28018618499994308</v>
      </c>
      <c r="BV94" s="513">
        <f t="shared" si="135"/>
        <v>0.24015314633665671</v>
      </c>
      <c r="BW94" s="513">
        <f t="shared" si="136"/>
        <v>0.20517442954913886</v>
      </c>
      <c r="BX94" s="513">
        <f t="shared" si="137"/>
        <v>0.15345088413228089</v>
      </c>
      <c r="CV94" s="320"/>
      <c r="CW94" s="320"/>
      <c r="CX94" s="320"/>
      <c r="CY94" s="320"/>
      <c r="CZ94" s="320"/>
      <c r="DA94" s="320"/>
      <c r="DB94" s="320"/>
      <c r="DC94" s="601" t="str">
        <f t="shared" si="91"/>
        <v>VMM</v>
      </c>
      <c r="DD94" s="601" t="str">
        <f t="shared" si="91"/>
        <v>Medium Oil</v>
      </c>
      <c r="DE94" s="578" t="str">
        <f t="shared" si="91"/>
        <v>CAM5</v>
      </c>
      <c r="DF94" s="601" t="str">
        <f t="shared" si="91"/>
        <v>VMM - Medium</v>
      </c>
      <c r="DG94" s="597">
        <f t="shared" si="117"/>
        <v>160.64590837999947</v>
      </c>
      <c r="DH94" s="597">
        <f t="shared" si="117"/>
        <v>4.7988803578001527</v>
      </c>
      <c r="DI94" s="598">
        <f t="shared" si="89"/>
        <v>1100.1753392559999</v>
      </c>
      <c r="DJ94" s="22"/>
      <c r="DK94" s="22"/>
      <c r="DL94" s="598">
        <f t="shared" si="90"/>
        <v>24.413897954986417</v>
      </c>
      <c r="DM94" s="599">
        <f t="shared" si="118"/>
        <v>1.7521170575840492</v>
      </c>
      <c r="DN94" s="599">
        <f t="shared" si="118"/>
        <v>0.7698884306889513</v>
      </c>
      <c r="DO94" s="599">
        <f t="shared" si="118"/>
        <v>1.3766222989813104</v>
      </c>
      <c r="DP94" s="599">
        <f t="shared" si="118"/>
        <v>0</v>
      </c>
      <c r="DQ94" s="599">
        <f t="shared" si="118"/>
        <v>0.90025257054584151</v>
      </c>
      <c r="DR94" s="57"/>
    </row>
    <row r="95" spans="10:122" ht="15.75" x14ac:dyDescent="0.25">
      <c r="J95" s="155" t="s">
        <v>830</v>
      </c>
      <c r="K95" s="155" t="s">
        <v>791</v>
      </c>
      <c r="L95" s="578" t="s">
        <v>62</v>
      </c>
      <c r="M95" s="583" t="s">
        <v>1041</v>
      </c>
      <c r="N95" s="580">
        <f t="shared" si="92"/>
        <v>28.394686542809108</v>
      </c>
      <c r="O95" s="580">
        <f t="shared" si="92"/>
        <v>1.4684920173037528</v>
      </c>
      <c r="P95" s="617">
        <f t="shared" si="93"/>
        <v>4.9174002504380532E-2</v>
      </c>
      <c r="Q95" s="581">
        <f t="shared" si="92"/>
        <v>0.61987830491387741</v>
      </c>
      <c r="R95" s="582">
        <f t="shared" si="92"/>
        <v>0.20575788232194489</v>
      </c>
      <c r="S95" s="582">
        <f t="shared" si="92"/>
        <v>0.24158707246769739</v>
      </c>
      <c r="T95" s="582">
        <f t="shared" si="92"/>
        <v>1.0198649246869729</v>
      </c>
      <c r="U95" s="582">
        <f t="shared" si="92"/>
        <v>0.40126875760023273</v>
      </c>
      <c r="V95" s="582">
        <f t="shared" si="92"/>
        <v>1.2821378271373829E-3</v>
      </c>
      <c r="W95" s="560">
        <f t="shared" si="94"/>
        <v>0.14011508397555322</v>
      </c>
      <c r="X95" s="560">
        <f t="shared" si="95"/>
        <v>0.16451371176757706</v>
      </c>
      <c r="Y95" s="560">
        <f t="shared" si="96"/>
        <v>0.69449810599550377</v>
      </c>
      <c r="Z95" s="560">
        <f t="shared" si="97"/>
        <v>8.7309826136574556E-4</v>
      </c>
      <c r="AA95" s="562">
        <f t="shared" si="98"/>
        <v>0.39345284643786937</v>
      </c>
      <c r="AB95" s="593">
        <f t="shared" si="119"/>
        <v>317.27238555200006</v>
      </c>
      <c r="AC95" s="593">
        <f>+SUMIFS(AC$61:AC$80,$I$61:$I$80,$J95,$M$61:$M$80,$K95)</f>
        <v>33.583065047463769</v>
      </c>
      <c r="AD95" s="604">
        <f t="shared" si="99"/>
        <v>301.67083247029524</v>
      </c>
      <c r="AE95" s="605">
        <f t="shared" si="120"/>
        <v>10.62420013038294</v>
      </c>
      <c r="AF95" s="604">
        <f t="shared" si="121"/>
        <v>15.601553081704836</v>
      </c>
      <c r="AG95" s="605">
        <f t="shared" si="100"/>
        <v>10.62420013038294</v>
      </c>
      <c r="AH95" s="580">
        <f t="shared" si="122"/>
        <v>29.863178560112861</v>
      </c>
      <c r="AI95" s="580">
        <f t="shared" si="101"/>
        <v>29.863178560112861</v>
      </c>
      <c r="AJ95" s="580">
        <f t="shared" si="102"/>
        <v>27.835107673690871</v>
      </c>
      <c r="AK95" s="580">
        <f t="shared" si="103"/>
        <v>17.559909024325922</v>
      </c>
      <c r="AL95" s="580">
        <f t="shared" si="104"/>
        <v>20.274712206938659</v>
      </c>
      <c r="AM95" s="580">
        <f t="shared" si="105"/>
        <v>12.813096418110867</v>
      </c>
      <c r="AN95" s="580">
        <f t="shared" si="106"/>
        <v>12.747595139993381</v>
      </c>
      <c r="AO95" s="580">
        <f t="shared" si="107"/>
        <v>8.1699853499332526</v>
      </c>
      <c r="AP95" s="580">
        <f t="shared" si="108"/>
        <v>8.8839477570677019</v>
      </c>
      <c r="AQ95" s="580">
        <f t="shared" si="109"/>
        <v>7.6545148810463139</v>
      </c>
      <c r="AR95" s="580">
        <f t="shared" si="110"/>
        <v>5.5289075934361867</v>
      </c>
      <c r="AS95" s="580">
        <f t="shared" si="111"/>
        <v>4.8075273037748882</v>
      </c>
      <c r="AT95" s="580">
        <f t="shared" si="112"/>
        <v>4.3266071106673554</v>
      </c>
      <c r="AU95" s="580">
        <f t="shared" si="113"/>
        <v>3.9981896052775268</v>
      </c>
      <c r="AV95" s="580">
        <f t="shared" si="114"/>
        <v>3.5055633471927838</v>
      </c>
      <c r="AW95" s="513">
        <f t="shared" si="123"/>
        <v>28.394686542809108</v>
      </c>
      <c r="AX95" s="513">
        <f t="shared" si="115"/>
        <v>26.466344019235095</v>
      </c>
      <c r="AY95" s="513">
        <f t="shared" si="115"/>
        <v>16.696418013987024</v>
      </c>
      <c r="AZ95" s="513">
        <f t="shared" si="115"/>
        <v>19.277723458099064</v>
      </c>
      <c r="BA95" s="513">
        <f t="shared" si="115"/>
        <v>12.183025182757813</v>
      </c>
      <c r="BB95" s="513">
        <f t="shared" si="115"/>
        <v>12.120744864654517</v>
      </c>
      <c r="BC95" s="513">
        <f t="shared" si="115"/>
        <v>7.7682344698748826</v>
      </c>
      <c r="BD95" s="513">
        <f t="shared" si="115"/>
        <v>8.4470884878128683</v>
      </c>
      <c r="BE95" s="513">
        <f t="shared" si="115"/>
        <v>7.2781117471159247</v>
      </c>
      <c r="BF95" s="513">
        <f t="shared" si="115"/>
        <v>5.257029077590067</v>
      </c>
      <c r="BG95" s="513">
        <f t="shared" si="115"/>
        <v>4.5711219440991844</v>
      </c>
      <c r="BH95" s="513">
        <f t="shared" si="115"/>
        <v>4.1138505217719281</v>
      </c>
      <c r="BI95" s="513">
        <f t="shared" si="115"/>
        <v>3.8015826196146216</v>
      </c>
      <c r="BJ95" s="513">
        <f t="shared" si="115"/>
        <v>3.3331807663786615</v>
      </c>
      <c r="BK95" s="513">
        <f t="shared" si="124"/>
        <v>1.4684920173037528</v>
      </c>
      <c r="BL95" s="513">
        <f t="shared" si="125"/>
        <v>1.3687636544557766</v>
      </c>
      <c r="BM95" s="513">
        <f t="shared" si="126"/>
        <v>0.86349101033889719</v>
      </c>
      <c r="BN95" s="513">
        <f t="shared" si="127"/>
        <v>0.99698874883959621</v>
      </c>
      <c r="BO95" s="513">
        <f t="shared" si="128"/>
        <v>0.63007123535305298</v>
      </c>
      <c r="BP95" s="513">
        <f t="shared" si="129"/>
        <v>0.62685027533886362</v>
      </c>
      <c r="BQ95" s="513">
        <f t="shared" si="130"/>
        <v>0.40175088005837001</v>
      </c>
      <c r="BR95" s="513">
        <f t="shared" si="131"/>
        <v>0.43685926925483298</v>
      </c>
      <c r="BS95" s="513">
        <f t="shared" si="132"/>
        <v>0.37640313393038949</v>
      </c>
      <c r="BT95" s="513">
        <f t="shared" si="133"/>
        <v>0.27187851584611961</v>
      </c>
      <c r="BU95" s="513">
        <f t="shared" si="134"/>
        <v>0.23640535967570414</v>
      </c>
      <c r="BV95" s="513">
        <f t="shared" si="135"/>
        <v>0.21275658889542715</v>
      </c>
      <c r="BW95" s="513">
        <f t="shared" si="136"/>
        <v>0.1966069856629053</v>
      </c>
      <c r="BX95" s="513">
        <f t="shared" si="137"/>
        <v>0.17238258081412255</v>
      </c>
      <c r="CV95" s="320"/>
      <c r="CW95" s="320"/>
      <c r="CX95" s="320"/>
      <c r="CY95" s="320"/>
      <c r="CZ95" s="320"/>
      <c r="DA95" s="320"/>
      <c r="DB95" s="320"/>
      <c r="DC95" s="601" t="str">
        <f t="shared" si="91"/>
        <v>VSM</v>
      </c>
      <c r="DD95" s="601" t="str">
        <f t="shared" si="91"/>
        <v>Medium Oil</v>
      </c>
      <c r="DE95" s="578" t="str">
        <f t="shared" si="91"/>
        <v>CAM6</v>
      </c>
      <c r="DF95" s="600" t="str">
        <f t="shared" si="91"/>
        <v>VSM - Medium</v>
      </c>
      <c r="DG95" s="597">
        <f t="shared" si="117"/>
        <v>28.394686542809108</v>
      </c>
      <c r="DH95" s="597">
        <f t="shared" si="117"/>
        <v>1.4684920173037528</v>
      </c>
      <c r="DI95" s="598">
        <f t="shared" si="89"/>
        <v>317.27238555200006</v>
      </c>
      <c r="DJ95" s="22"/>
      <c r="DK95" s="22"/>
      <c r="DL95" s="598">
        <f t="shared" si="90"/>
        <v>33.583065047463769</v>
      </c>
      <c r="DM95" s="599">
        <f t="shared" si="118"/>
        <v>0.20575788232194489</v>
      </c>
      <c r="DN95" s="599">
        <f t="shared" si="118"/>
        <v>0.24158707246769739</v>
      </c>
      <c r="DO95" s="599">
        <f t="shared" si="118"/>
        <v>1.0198649246869729</v>
      </c>
      <c r="DP95" s="599">
        <f t="shared" si="118"/>
        <v>0.40126875760023273</v>
      </c>
      <c r="DQ95" s="599">
        <f t="shared" si="118"/>
        <v>1.2821378271373829E-3</v>
      </c>
      <c r="DR95" s="57"/>
    </row>
    <row r="96" spans="10:122" ht="15.75" x14ac:dyDescent="0.25">
      <c r="J96" s="155" t="s">
        <v>822</v>
      </c>
      <c r="K96" s="155" t="s">
        <v>791</v>
      </c>
      <c r="L96" s="578" t="s">
        <v>1036</v>
      </c>
      <c r="M96" s="155"/>
      <c r="N96" s="580">
        <f t="shared" si="92"/>
        <v>0</v>
      </c>
      <c r="O96" s="580">
        <f t="shared" si="92"/>
        <v>0</v>
      </c>
      <c r="P96" s="581">
        <f t="shared" si="92"/>
        <v>0</v>
      </c>
      <c r="Q96" s="581">
        <f t="shared" si="92"/>
        <v>0</v>
      </c>
      <c r="R96" s="582">
        <f t="shared" si="92"/>
        <v>0</v>
      </c>
      <c r="S96" s="582">
        <f t="shared" si="92"/>
        <v>0</v>
      </c>
      <c r="T96" s="582">
        <f t="shared" si="92"/>
        <v>0</v>
      </c>
      <c r="U96" s="582">
        <f t="shared" si="92"/>
        <v>0</v>
      </c>
      <c r="V96" s="582">
        <f t="shared" si="92"/>
        <v>0</v>
      </c>
      <c r="W96" s="560" t="str">
        <f t="shared" si="94"/>
        <v>-</v>
      </c>
      <c r="X96" s="560" t="str">
        <f t="shared" si="95"/>
        <v>-</v>
      </c>
      <c r="Y96" s="560" t="str">
        <f t="shared" si="96"/>
        <v>-</v>
      </c>
      <c r="Z96" s="560" t="str">
        <f t="shared" si="97"/>
        <v>-</v>
      </c>
      <c r="AA96" s="562" t="str">
        <f t="shared" si="98"/>
        <v>-</v>
      </c>
      <c r="AB96" s="593">
        <f t="shared" si="119"/>
        <v>0</v>
      </c>
      <c r="AC96" s="593">
        <f t="shared" si="119"/>
        <v>0</v>
      </c>
      <c r="AD96" s="605">
        <f t="shared" si="99"/>
        <v>0</v>
      </c>
      <c r="AE96" s="618" t="str">
        <f t="shared" si="120"/>
        <v>-</v>
      </c>
      <c r="AF96" s="605">
        <f t="shared" si="121"/>
        <v>0</v>
      </c>
      <c r="AG96" s="618" t="str">
        <f t="shared" ref="AG96:AG102" si="138">+IF(P96=0,"-",AF96/P96)</f>
        <v>-</v>
      </c>
      <c r="AH96" s="580">
        <f t="shared" si="122"/>
        <v>0</v>
      </c>
      <c r="AI96" s="580">
        <f t="shared" si="101"/>
        <v>0</v>
      </c>
      <c r="AJ96" s="580">
        <f t="shared" si="102"/>
        <v>0</v>
      </c>
      <c r="AK96" s="580">
        <f t="shared" si="103"/>
        <v>0</v>
      </c>
      <c r="AL96" s="580">
        <f t="shared" si="104"/>
        <v>0</v>
      </c>
      <c r="AM96" s="580">
        <f t="shared" si="105"/>
        <v>0</v>
      </c>
      <c r="AN96" s="580">
        <f t="shared" si="106"/>
        <v>0</v>
      </c>
      <c r="AO96" s="580">
        <f t="shared" si="107"/>
        <v>0</v>
      </c>
      <c r="AP96" s="580">
        <f t="shared" si="108"/>
        <v>0</v>
      </c>
      <c r="AQ96" s="580">
        <f t="shared" si="109"/>
        <v>0</v>
      </c>
      <c r="AR96" s="580">
        <f t="shared" si="110"/>
        <v>0</v>
      </c>
      <c r="AS96" s="580">
        <f t="shared" si="111"/>
        <v>0</v>
      </c>
      <c r="AT96" s="580">
        <f t="shared" si="112"/>
        <v>0</v>
      </c>
      <c r="AU96" s="580">
        <f t="shared" si="113"/>
        <v>0</v>
      </c>
      <c r="AV96" s="580">
        <f t="shared" si="114"/>
        <v>0</v>
      </c>
      <c r="AW96" s="513">
        <f t="shared" si="123"/>
        <v>0</v>
      </c>
      <c r="AX96" s="513">
        <f t="shared" si="115"/>
        <v>0</v>
      </c>
      <c r="AY96" s="513">
        <f t="shared" si="115"/>
        <v>0</v>
      </c>
      <c r="AZ96" s="513">
        <f t="shared" si="115"/>
        <v>0</v>
      </c>
      <c r="BA96" s="513">
        <f t="shared" si="115"/>
        <v>0</v>
      </c>
      <c r="BB96" s="513">
        <f t="shared" si="115"/>
        <v>0</v>
      </c>
      <c r="BC96" s="513">
        <f t="shared" si="115"/>
        <v>0</v>
      </c>
      <c r="BD96" s="513">
        <f t="shared" si="115"/>
        <v>0</v>
      </c>
      <c r="BE96" s="513">
        <f t="shared" si="115"/>
        <v>0</v>
      </c>
      <c r="BF96" s="513">
        <f t="shared" si="115"/>
        <v>0</v>
      </c>
      <c r="BG96" s="513">
        <f t="shared" si="115"/>
        <v>0</v>
      </c>
      <c r="BH96" s="513">
        <f t="shared" si="115"/>
        <v>0</v>
      </c>
      <c r="BI96" s="513">
        <f t="shared" si="115"/>
        <v>0</v>
      </c>
      <c r="BJ96" s="513">
        <f t="shared" si="115"/>
        <v>0</v>
      </c>
      <c r="BK96" s="513">
        <f t="shared" si="124"/>
        <v>0</v>
      </c>
      <c r="BL96" s="513">
        <f t="shared" si="125"/>
        <v>0</v>
      </c>
      <c r="BM96" s="513">
        <f t="shared" si="126"/>
        <v>0</v>
      </c>
      <c r="BN96" s="513">
        <f t="shared" si="127"/>
        <v>0</v>
      </c>
      <c r="BO96" s="513">
        <f t="shared" si="128"/>
        <v>0</v>
      </c>
      <c r="BP96" s="513">
        <f t="shared" si="129"/>
        <v>0</v>
      </c>
      <c r="BQ96" s="513">
        <f t="shared" si="130"/>
        <v>0</v>
      </c>
      <c r="BR96" s="513">
        <f t="shared" si="131"/>
        <v>0</v>
      </c>
      <c r="BS96" s="513">
        <f t="shared" si="132"/>
        <v>0</v>
      </c>
      <c r="BT96" s="513">
        <f t="shared" si="133"/>
        <v>0</v>
      </c>
      <c r="BU96" s="513">
        <f t="shared" si="134"/>
        <v>0</v>
      </c>
      <c r="BV96" s="513">
        <f t="shared" si="135"/>
        <v>0</v>
      </c>
      <c r="BW96" s="513">
        <f t="shared" si="136"/>
        <v>0</v>
      </c>
      <c r="BX96" s="513">
        <f t="shared" si="137"/>
        <v>0</v>
      </c>
      <c r="CV96" s="320"/>
      <c r="CW96" s="320"/>
      <c r="CX96" s="320"/>
      <c r="CY96" s="320"/>
      <c r="CZ96" s="320"/>
      <c r="DA96" s="320"/>
      <c r="DB96" s="320"/>
      <c r="DC96" s="22" t="s">
        <v>575</v>
      </c>
      <c r="DD96" s="22"/>
      <c r="DE96" s="22"/>
      <c r="DF96" s="22" t="s">
        <v>9</v>
      </c>
      <c r="DG96" s="445">
        <f>+SUM(DG90:DG95)</f>
        <v>1025.6624631771097</v>
      </c>
      <c r="DH96" s="445">
        <f>+SUM(DH90:DH95)</f>
        <v>334.25667316952502</v>
      </c>
      <c r="DI96" s="445">
        <f>+SUM(DI90:DI95)</f>
        <v>11869.449930216</v>
      </c>
      <c r="DJ96" s="22"/>
      <c r="DK96" s="22"/>
      <c r="DL96" s="602">
        <f>+DI96/(DG96+DQ96+DO96-DP96)</f>
        <v>9.0982501673813356</v>
      </c>
      <c r="DM96" s="445">
        <f>+SUM(DM90:DM95)</f>
        <v>33.572728525725161</v>
      </c>
      <c r="DN96" s="445">
        <f t="shared" ref="DN96:DQ96" si="139">+SUM(DN90:DN95)</f>
        <v>6.934497963726467</v>
      </c>
      <c r="DO96" s="445">
        <f t="shared" si="139"/>
        <v>78.086100659588709</v>
      </c>
      <c r="DP96" s="445">
        <f t="shared" si="139"/>
        <v>14.825894760581988</v>
      </c>
      <c r="DQ96" s="445">
        <f t="shared" si="139"/>
        <v>215.66334602048474</v>
      </c>
    </row>
    <row r="97" spans="10:123" ht="15.75" x14ac:dyDescent="0.25">
      <c r="J97" s="155" t="s">
        <v>852</v>
      </c>
      <c r="K97" s="155" t="s">
        <v>791</v>
      </c>
      <c r="L97" s="578" t="s">
        <v>1036</v>
      </c>
      <c r="M97" s="155"/>
      <c r="N97" s="580">
        <f t="shared" si="92"/>
        <v>0</v>
      </c>
      <c r="O97" s="580">
        <f t="shared" si="92"/>
        <v>0</v>
      </c>
      <c r="P97" s="581">
        <f t="shared" si="92"/>
        <v>0</v>
      </c>
      <c r="Q97" s="581">
        <f t="shared" si="92"/>
        <v>0</v>
      </c>
      <c r="R97" s="582">
        <f t="shared" si="92"/>
        <v>0</v>
      </c>
      <c r="S97" s="582">
        <f t="shared" si="92"/>
        <v>0</v>
      </c>
      <c r="T97" s="582">
        <f t="shared" si="92"/>
        <v>0</v>
      </c>
      <c r="U97" s="582">
        <f t="shared" si="92"/>
        <v>0</v>
      </c>
      <c r="V97" s="582">
        <f t="shared" si="92"/>
        <v>0</v>
      </c>
      <c r="W97" s="560" t="str">
        <f t="shared" si="94"/>
        <v>-</v>
      </c>
      <c r="X97" s="560" t="str">
        <f t="shared" si="95"/>
        <v>-</v>
      </c>
      <c r="Y97" s="560" t="str">
        <f t="shared" si="96"/>
        <v>-</v>
      </c>
      <c r="Z97" s="560" t="str">
        <f t="shared" si="97"/>
        <v>-</v>
      </c>
      <c r="AA97" s="562" t="str">
        <f t="shared" si="98"/>
        <v>-</v>
      </c>
      <c r="AB97" s="593">
        <f t="shared" si="119"/>
        <v>0</v>
      </c>
      <c r="AC97" s="593">
        <f t="shared" si="119"/>
        <v>0</v>
      </c>
      <c r="AD97" s="605">
        <f t="shared" si="99"/>
        <v>0</v>
      </c>
      <c r="AE97" s="618" t="str">
        <f t="shared" si="120"/>
        <v>-</v>
      </c>
      <c r="AF97" s="605">
        <f t="shared" si="121"/>
        <v>0</v>
      </c>
      <c r="AG97" s="618" t="str">
        <f t="shared" si="138"/>
        <v>-</v>
      </c>
      <c r="AH97" s="580">
        <f t="shared" si="122"/>
        <v>0</v>
      </c>
      <c r="AI97" s="580">
        <f t="shared" si="101"/>
        <v>0</v>
      </c>
      <c r="AJ97" s="580">
        <f t="shared" si="102"/>
        <v>0</v>
      </c>
      <c r="AK97" s="580">
        <f t="shared" si="103"/>
        <v>0</v>
      </c>
      <c r="AL97" s="580">
        <f t="shared" si="104"/>
        <v>0</v>
      </c>
      <c r="AM97" s="580">
        <f t="shared" si="105"/>
        <v>0</v>
      </c>
      <c r="AN97" s="580">
        <f t="shared" si="106"/>
        <v>0</v>
      </c>
      <c r="AO97" s="580">
        <f t="shared" si="107"/>
        <v>0</v>
      </c>
      <c r="AP97" s="580">
        <f t="shared" si="108"/>
        <v>0</v>
      </c>
      <c r="AQ97" s="580">
        <f t="shared" si="109"/>
        <v>0</v>
      </c>
      <c r="AR97" s="580">
        <f t="shared" si="110"/>
        <v>0</v>
      </c>
      <c r="AS97" s="580">
        <f t="shared" si="111"/>
        <v>0</v>
      </c>
      <c r="AT97" s="580">
        <f t="shared" si="112"/>
        <v>0</v>
      </c>
      <c r="AU97" s="580">
        <f t="shared" si="113"/>
        <v>0</v>
      </c>
      <c r="AV97" s="580">
        <f t="shared" si="114"/>
        <v>0</v>
      </c>
      <c r="AW97" s="513">
        <f t="shared" si="123"/>
        <v>0</v>
      </c>
      <c r="AX97" s="513">
        <f t="shared" si="115"/>
        <v>0</v>
      </c>
      <c r="AY97" s="513">
        <f t="shared" si="115"/>
        <v>0</v>
      </c>
      <c r="AZ97" s="513">
        <f t="shared" si="115"/>
        <v>0</v>
      </c>
      <c r="BA97" s="513">
        <f t="shared" si="115"/>
        <v>0</v>
      </c>
      <c r="BB97" s="513">
        <f t="shared" si="115"/>
        <v>0</v>
      </c>
      <c r="BC97" s="513">
        <f t="shared" si="115"/>
        <v>0</v>
      </c>
      <c r="BD97" s="513">
        <f t="shared" si="115"/>
        <v>0</v>
      </c>
      <c r="BE97" s="513">
        <f t="shared" si="115"/>
        <v>0</v>
      </c>
      <c r="BF97" s="513">
        <f t="shared" si="115"/>
        <v>0</v>
      </c>
      <c r="BG97" s="513">
        <f t="shared" si="115"/>
        <v>0</v>
      </c>
      <c r="BH97" s="513">
        <f t="shared" si="115"/>
        <v>0</v>
      </c>
      <c r="BI97" s="513">
        <f t="shared" si="115"/>
        <v>0</v>
      </c>
      <c r="BJ97" s="513">
        <f t="shared" si="115"/>
        <v>0</v>
      </c>
      <c r="BK97" s="513">
        <f t="shared" si="124"/>
        <v>0</v>
      </c>
      <c r="BL97" s="513">
        <f t="shared" si="125"/>
        <v>0</v>
      </c>
      <c r="BM97" s="513">
        <f t="shared" si="126"/>
        <v>0</v>
      </c>
      <c r="BN97" s="513">
        <f t="shared" si="127"/>
        <v>0</v>
      </c>
      <c r="BO97" s="513">
        <f t="shared" si="128"/>
        <v>0</v>
      </c>
      <c r="BP97" s="513">
        <f t="shared" si="129"/>
        <v>0</v>
      </c>
      <c r="BQ97" s="513">
        <f t="shared" si="130"/>
        <v>0</v>
      </c>
      <c r="BR97" s="513">
        <f t="shared" si="131"/>
        <v>0</v>
      </c>
      <c r="BS97" s="513">
        <f t="shared" si="132"/>
        <v>0</v>
      </c>
      <c r="BT97" s="513">
        <f t="shared" si="133"/>
        <v>0</v>
      </c>
      <c r="BU97" s="513">
        <f t="shared" si="134"/>
        <v>0</v>
      </c>
      <c r="BV97" s="513">
        <f t="shared" si="135"/>
        <v>0</v>
      </c>
      <c r="BW97" s="513">
        <f t="shared" si="136"/>
        <v>0</v>
      </c>
      <c r="BX97" s="513">
        <f t="shared" si="137"/>
        <v>0</v>
      </c>
      <c r="DF97" t="s">
        <v>249</v>
      </c>
      <c r="DG97" s="513">
        <f>+DG96*1000/(D8*365)</f>
        <v>461.63196063013709</v>
      </c>
      <c r="DH97" s="513">
        <f>+DH96*1000/(365*$D$7)</f>
        <v>907.10221917808201</v>
      </c>
      <c r="DI97" s="513"/>
      <c r="DM97" s="513">
        <f>+DM96*1000/(365*$D$7)</f>
        <v>91.10931506849316</v>
      </c>
      <c r="DN97" s="513">
        <f t="shared" ref="DN97:DQ97" si="140">+DN96*1000/(365*$D$7)</f>
        <v>18.818767123287671</v>
      </c>
      <c r="DO97" s="513">
        <f t="shared" si="140"/>
        <v>211.90923287671242</v>
      </c>
      <c r="DP97" s="513">
        <f t="shared" si="140"/>
        <v>40.23435616438357</v>
      </c>
      <c r="DQ97" s="513">
        <f t="shared" si="140"/>
        <v>585.26490410958911</v>
      </c>
      <c r="DS97" s="57"/>
    </row>
    <row r="98" spans="10:123" ht="15.75" x14ac:dyDescent="0.25">
      <c r="J98" s="155" t="s">
        <v>852</v>
      </c>
      <c r="K98" s="155" t="s">
        <v>790</v>
      </c>
      <c r="L98" s="578" t="s">
        <v>1036</v>
      </c>
      <c r="M98" s="155"/>
      <c r="N98" s="580">
        <f t="shared" si="92"/>
        <v>0</v>
      </c>
      <c r="O98" s="580">
        <f t="shared" si="92"/>
        <v>0</v>
      </c>
      <c r="P98" s="581">
        <f t="shared" si="92"/>
        <v>0</v>
      </c>
      <c r="Q98" s="581">
        <f t="shared" si="92"/>
        <v>0</v>
      </c>
      <c r="R98" s="582">
        <f t="shared" si="92"/>
        <v>0</v>
      </c>
      <c r="S98" s="582">
        <f t="shared" si="92"/>
        <v>0</v>
      </c>
      <c r="T98" s="582">
        <f t="shared" si="92"/>
        <v>0</v>
      </c>
      <c r="U98" s="582">
        <f t="shared" si="92"/>
        <v>0</v>
      </c>
      <c r="V98" s="582">
        <f t="shared" si="92"/>
        <v>0</v>
      </c>
      <c r="W98" s="560" t="str">
        <f t="shared" si="94"/>
        <v>-</v>
      </c>
      <c r="X98" s="560" t="str">
        <f t="shared" si="95"/>
        <v>-</v>
      </c>
      <c r="Y98" s="560" t="str">
        <f t="shared" si="96"/>
        <v>-</v>
      </c>
      <c r="Z98" s="560" t="str">
        <f t="shared" si="97"/>
        <v>-</v>
      </c>
      <c r="AA98" s="562" t="str">
        <f t="shared" si="98"/>
        <v>-</v>
      </c>
      <c r="AB98" s="593">
        <f t="shared" si="119"/>
        <v>0</v>
      </c>
      <c r="AC98" s="593">
        <f t="shared" si="119"/>
        <v>0</v>
      </c>
      <c r="AD98" s="605">
        <f t="shared" si="99"/>
        <v>0</v>
      </c>
      <c r="AE98" s="618" t="str">
        <f t="shared" si="120"/>
        <v>-</v>
      </c>
      <c r="AF98" s="605">
        <f t="shared" si="121"/>
        <v>0</v>
      </c>
      <c r="AG98" s="618" t="str">
        <f t="shared" si="138"/>
        <v>-</v>
      </c>
      <c r="AH98" s="580">
        <f t="shared" si="122"/>
        <v>0</v>
      </c>
      <c r="AI98" s="580">
        <f t="shared" si="101"/>
        <v>0</v>
      </c>
      <c r="AJ98" s="580">
        <f t="shared" si="102"/>
        <v>0</v>
      </c>
      <c r="AK98" s="580">
        <f t="shared" si="103"/>
        <v>0</v>
      </c>
      <c r="AL98" s="580">
        <f t="shared" si="104"/>
        <v>0</v>
      </c>
      <c r="AM98" s="580">
        <f t="shared" si="105"/>
        <v>0</v>
      </c>
      <c r="AN98" s="580">
        <f t="shared" si="106"/>
        <v>0</v>
      </c>
      <c r="AO98" s="580">
        <f t="shared" si="107"/>
        <v>0</v>
      </c>
      <c r="AP98" s="580">
        <f t="shared" si="108"/>
        <v>0</v>
      </c>
      <c r="AQ98" s="580">
        <f t="shared" si="109"/>
        <v>0</v>
      </c>
      <c r="AR98" s="580">
        <f t="shared" si="110"/>
        <v>0</v>
      </c>
      <c r="AS98" s="580">
        <f t="shared" si="111"/>
        <v>0</v>
      </c>
      <c r="AT98" s="580">
        <f t="shared" si="112"/>
        <v>0</v>
      </c>
      <c r="AU98" s="580">
        <f t="shared" si="113"/>
        <v>0</v>
      </c>
      <c r="AV98" s="580">
        <f t="shared" si="114"/>
        <v>0</v>
      </c>
      <c r="AW98" s="513">
        <f t="shared" si="123"/>
        <v>0</v>
      </c>
      <c r="AX98" s="513">
        <f t="shared" si="115"/>
        <v>0</v>
      </c>
      <c r="AY98" s="513">
        <f t="shared" si="115"/>
        <v>0</v>
      </c>
      <c r="AZ98" s="513">
        <f t="shared" si="115"/>
        <v>0</v>
      </c>
      <c r="BA98" s="513">
        <f t="shared" si="115"/>
        <v>0</v>
      </c>
      <c r="BB98" s="513">
        <f t="shared" si="115"/>
        <v>0</v>
      </c>
      <c r="BC98" s="513">
        <f t="shared" si="115"/>
        <v>0</v>
      </c>
      <c r="BD98" s="513">
        <f t="shared" si="115"/>
        <v>0</v>
      </c>
      <c r="BE98" s="513">
        <f t="shared" si="115"/>
        <v>0</v>
      </c>
      <c r="BF98" s="513">
        <f t="shared" si="115"/>
        <v>0</v>
      </c>
      <c r="BG98" s="513">
        <f t="shared" si="115"/>
        <v>0</v>
      </c>
      <c r="BH98" s="513">
        <f t="shared" si="115"/>
        <v>0</v>
      </c>
      <c r="BI98" s="513">
        <f t="shared" si="115"/>
        <v>0</v>
      </c>
      <c r="BJ98" s="513">
        <f t="shared" si="115"/>
        <v>0</v>
      </c>
      <c r="BK98" s="513">
        <f t="shared" si="124"/>
        <v>0</v>
      </c>
      <c r="BL98" s="513">
        <f t="shared" si="125"/>
        <v>0</v>
      </c>
      <c r="BM98" s="513">
        <f t="shared" si="126"/>
        <v>0</v>
      </c>
      <c r="BN98" s="513">
        <f t="shared" si="127"/>
        <v>0</v>
      </c>
      <c r="BO98" s="513">
        <f t="shared" si="128"/>
        <v>0</v>
      </c>
      <c r="BP98" s="513">
        <f t="shared" si="129"/>
        <v>0</v>
      </c>
      <c r="BQ98" s="513">
        <f t="shared" si="130"/>
        <v>0</v>
      </c>
      <c r="BR98" s="513">
        <f t="shared" si="131"/>
        <v>0</v>
      </c>
      <c r="BS98" s="513">
        <f t="shared" si="132"/>
        <v>0</v>
      </c>
      <c r="BT98" s="513">
        <f t="shared" si="133"/>
        <v>0</v>
      </c>
      <c r="BU98" s="513">
        <f t="shared" si="134"/>
        <v>0</v>
      </c>
      <c r="BV98" s="513">
        <f t="shared" si="135"/>
        <v>0</v>
      </c>
      <c r="BW98" s="513">
        <f t="shared" si="136"/>
        <v>0</v>
      </c>
      <c r="BX98" s="513">
        <f t="shared" si="137"/>
        <v>0</v>
      </c>
    </row>
    <row r="99" spans="10:123" ht="15.75" x14ac:dyDescent="0.25">
      <c r="J99" s="155" t="s">
        <v>817</v>
      </c>
      <c r="K99" s="155" t="s">
        <v>792</v>
      </c>
      <c r="L99" s="578" t="s">
        <v>1036</v>
      </c>
      <c r="M99" s="155"/>
      <c r="N99" s="580">
        <f t="shared" si="92"/>
        <v>0</v>
      </c>
      <c r="O99" s="580">
        <f t="shared" si="92"/>
        <v>0</v>
      </c>
      <c r="P99" s="581">
        <f t="shared" si="92"/>
        <v>0</v>
      </c>
      <c r="Q99" s="581">
        <f t="shared" si="92"/>
        <v>0</v>
      </c>
      <c r="R99" s="582">
        <f t="shared" si="92"/>
        <v>0</v>
      </c>
      <c r="S99" s="582">
        <f t="shared" si="92"/>
        <v>0</v>
      </c>
      <c r="T99" s="582">
        <f t="shared" si="92"/>
        <v>0</v>
      </c>
      <c r="U99" s="582">
        <f t="shared" si="92"/>
        <v>0</v>
      </c>
      <c r="V99" s="582">
        <f t="shared" si="92"/>
        <v>0</v>
      </c>
      <c r="W99" s="560" t="str">
        <f t="shared" si="94"/>
        <v>-</v>
      </c>
      <c r="X99" s="560" t="str">
        <f t="shared" si="95"/>
        <v>-</v>
      </c>
      <c r="Y99" s="560" t="str">
        <f t="shared" si="96"/>
        <v>-</v>
      </c>
      <c r="Z99" s="560" t="str">
        <f t="shared" si="97"/>
        <v>-</v>
      </c>
      <c r="AA99" s="562" t="str">
        <f t="shared" si="98"/>
        <v>-</v>
      </c>
      <c r="AB99" s="593">
        <f t="shared" si="119"/>
        <v>0</v>
      </c>
      <c r="AC99" s="593">
        <f t="shared" si="119"/>
        <v>0</v>
      </c>
      <c r="AD99" s="605">
        <f t="shared" si="99"/>
        <v>0</v>
      </c>
      <c r="AE99" s="618" t="str">
        <f t="shared" si="120"/>
        <v>-</v>
      </c>
      <c r="AF99" s="605">
        <f t="shared" si="121"/>
        <v>0</v>
      </c>
      <c r="AG99" s="618" t="str">
        <f t="shared" si="138"/>
        <v>-</v>
      </c>
      <c r="AH99" s="580">
        <f t="shared" si="122"/>
        <v>0</v>
      </c>
      <c r="AI99" s="580">
        <f t="shared" si="101"/>
        <v>0</v>
      </c>
      <c r="AJ99" s="580">
        <f t="shared" si="102"/>
        <v>0</v>
      </c>
      <c r="AK99" s="580">
        <f t="shared" si="103"/>
        <v>0</v>
      </c>
      <c r="AL99" s="580">
        <f t="shared" si="104"/>
        <v>0</v>
      </c>
      <c r="AM99" s="580">
        <f t="shared" si="105"/>
        <v>0</v>
      </c>
      <c r="AN99" s="580">
        <f t="shared" si="106"/>
        <v>0</v>
      </c>
      <c r="AO99" s="580">
        <f t="shared" si="107"/>
        <v>0</v>
      </c>
      <c r="AP99" s="580">
        <f t="shared" si="108"/>
        <v>0</v>
      </c>
      <c r="AQ99" s="580">
        <f t="shared" si="109"/>
        <v>0</v>
      </c>
      <c r="AR99" s="580">
        <f t="shared" si="110"/>
        <v>0</v>
      </c>
      <c r="AS99" s="580">
        <f t="shared" si="111"/>
        <v>0</v>
      </c>
      <c r="AT99" s="580">
        <f t="shared" si="112"/>
        <v>0</v>
      </c>
      <c r="AU99" s="580">
        <f t="shared" si="113"/>
        <v>0</v>
      </c>
      <c r="AV99" s="580">
        <f t="shared" si="114"/>
        <v>0</v>
      </c>
      <c r="AW99" s="513">
        <f t="shared" si="123"/>
        <v>0</v>
      </c>
      <c r="AX99" s="513">
        <f t="shared" si="115"/>
        <v>0</v>
      </c>
      <c r="AY99" s="513">
        <f t="shared" si="115"/>
        <v>0</v>
      </c>
      <c r="AZ99" s="513">
        <f t="shared" si="115"/>
        <v>0</v>
      </c>
      <c r="BA99" s="513">
        <f t="shared" si="115"/>
        <v>0</v>
      </c>
      <c r="BB99" s="513">
        <f t="shared" si="115"/>
        <v>0</v>
      </c>
      <c r="BC99" s="513">
        <f t="shared" si="115"/>
        <v>0</v>
      </c>
      <c r="BD99" s="513">
        <f t="shared" si="115"/>
        <v>0</v>
      </c>
      <c r="BE99" s="513">
        <f t="shared" si="115"/>
        <v>0</v>
      </c>
      <c r="BF99" s="513">
        <f t="shared" si="115"/>
        <v>0</v>
      </c>
      <c r="BG99" s="513">
        <f t="shared" si="115"/>
        <v>0</v>
      </c>
      <c r="BH99" s="513">
        <f t="shared" si="115"/>
        <v>0</v>
      </c>
      <c r="BI99" s="513">
        <f t="shared" si="115"/>
        <v>0</v>
      </c>
      <c r="BJ99" s="513">
        <f t="shared" si="115"/>
        <v>0</v>
      </c>
      <c r="BK99" s="513">
        <f t="shared" si="124"/>
        <v>0</v>
      </c>
      <c r="BL99" s="513">
        <f t="shared" si="125"/>
        <v>0</v>
      </c>
      <c r="BM99" s="513">
        <f t="shared" si="126"/>
        <v>0</v>
      </c>
      <c r="BN99" s="513">
        <f t="shared" si="127"/>
        <v>0</v>
      </c>
      <c r="BO99" s="513">
        <f t="shared" si="128"/>
        <v>0</v>
      </c>
      <c r="BP99" s="513">
        <f t="shared" si="129"/>
        <v>0</v>
      </c>
      <c r="BQ99" s="513">
        <f t="shared" si="130"/>
        <v>0</v>
      </c>
      <c r="BR99" s="513">
        <f t="shared" si="131"/>
        <v>0</v>
      </c>
      <c r="BS99" s="513">
        <f t="shared" si="132"/>
        <v>0</v>
      </c>
      <c r="BT99" s="513">
        <f t="shared" si="133"/>
        <v>0</v>
      </c>
      <c r="BU99" s="513">
        <f t="shared" si="134"/>
        <v>0</v>
      </c>
      <c r="BV99" s="513">
        <f t="shared" si="135"/>
        <v>0</v>
      </c>
      <c r="BW99" s="513">
        <f t="shared" si="136"/>
        <v>0</v>
      </c>
      <c r="BX99" s="513">
        <f t="shared" si="137"/>
        <v>0</v>
      </c>
    </row>
    <row r="100" spans="10:123" ht="15.75" x14ac:dyDescent="0.25">
      <c r="J100" s="155" t="s">
        <v>817</v>
      </c>
      <c r="K100" s="155" t="s">
        <v>790</v>
      </c>
      <c r="L100" s="578" t="s">
        <v>1036</v>
      </c>
      <c r="M100" s="155"/>
      <c r="N100" s="580">
        <f t="shared" si="92"/>
        <v>3.2805677744000978</v>
      </c>
      <c r="O100" s="580">
        <f t="shared" si="92"/>
        <v>8.7791106651863626E-2</v>
      </c>
      <c r="P100" s="581">
        <f t="shared" si="92"/>
        <v>2.6063465845553212E-2</v>
      </c>
      <c r="Q100" s="581">
        <f t="shared" si="92"/>
        <v>0</v>
      </c>
      <c r="R100" s="582">
        <f t="shared" si="92"/>
        <v>3.6990181091585597E-2</v>
      </c>
      <c r="S100" s="582">
        <f t="shared" si="92"/>
        <v>5.0800925560278022E-2</v>
      </c>
      <c r="T100" s="582">
        <f t="shared" si="92"/>
        <v>0</v>
      </c>
      <c r="U100" s="582">
        <f t="shared" si="92"/>
        <v>0</v>
      </c>
      <c r="V100" s="582">
        <f t="shared" si="92"/>
        <v>0</v>
      </c>
      <c r="W100" s="560">
        <f t="shared" si="94"/>
        <v>0.42134314627414909</v>
      </c>
      <c r="X100" s="560">
        <f t="shared" si="95"/>
        <v>0.57865685372585085</v>
      </c>
      <c r="Y100" s="560">
        <f t="shared" si="96"/>
        <v>0</v>
      </c>
      <c r="Z100" s="560">
        <f t="shared" si="97"/>
        <v>0</v>
      </c>
      <c r="AA100" s="562" t="str">
        <f t="shared" si="98"/>
        <v>-</v>
      </c>
      <c r="AB100" s="593">
        <f t="shared" si="119"/>
        <v>34.198855287999997</v>
      </c>
      <c r="AC100" s="593">
        <f t="shared" si="119"/>
        <v>10.42467573902014</v>
      </c>
      <c r="AD100" s="605">
        <f t="shared" si="99"/>
        <v>33.307514591244193</v>
      </c>
      <c r="AE100" s="605">
        <f t="shared" si="120"/>
        <v>10.152972558945223</v>
      </c>
      <c r="AF100" s="605">
        <f t="shared" si="121"/>
        <v>0.89134069675580474</v>
      </c>
      <c r="AG100" s="605">
        <f>+IF(P100=0,"-",AF100/P100)</f>
        <v>34.198855287999997</v>
      </c>
      <c r="AH100" s="580">
        <f t="shared" si="122"/>
        <v>3.3683588810519614</v>
      </c>
      <c r="AI100" s="580">
        <f t="shared" si="101"/>
        <v>3.3683588810519614</v>
      </c>
      <c r="AJ100" s="580">
        <f t="shared" si="102"/>
        <v>3.0751987685605915</v>
      </c>
      <c r="AK100" s="580">
        <f t="shared" si="103"/>
        <v>3.4930679115729726</v>
      </c>
      <c r="AL100" s="580">
        <f t="shared" si="104"/>
        <v>2.7288246831254654</v>
      </c>
      <c r="AM100" s="580">
        <f t="shared" si="105"/>
        <v>2.4582950069742102</v>
      </c>
      <c r="AN100" s="580">
        <f t="shared" si="106"/>
        <v>2.0525004927473267</v>
      </c>
      <c r="AO100" s="580">
        <f t="shared" si="107"/>
        <v>1.6467059785204439</v>
      </c>
      <c r="AP100" s="580">
        <f t="shared" si="108"/>
        <v>0.98038529706751343</v>
      </c>
      <c r="AQ100" s="580">
        <f t="shared" si="109"/>
        <v>0.82911070247183327</v>
      </c>
      <c r="AR100" s="580">
        <f t="shared" si="110"/>
        <v>0.60219881057831304</v>
      </c>
      <c r="AS100" s="580">
        <f t="shared" si="111"/>
        <v>0.4903086312459346</v>
      </c>
      <c r="AT100" s="580">
        <f t="shared" si="112"/>
        <v>0.41571517835768235</v>
      </c>
      <c r="AU100" s="580">
        <f t="shared" si="113"/>
        <v>0</v>
      </c>
      <c r="AV100" s="580">
        <f t="shared" si="114"/>
        <v>0</v>
      </c>
      <c r="AW100" s="513">
        <f t="shared" si="123"/>
        <v>3.2805677744000978</v>
      </c>
      <c r="AX100" s="513">
        <f t="shared" si="115"/>
        <v>2.9950484304879255</v>
      </c>
      <c r="AY100" s="513">
        <f t="shared" si="115"/>
        <v>3.4020264553634925</v>
      </c>
      <c r="AZ100" s="513">
        <f t="shared" si="115"/>
        <v>2.6577020541983223</v>
      </c>
      <c r="BA100" s="513">
        <f t="shared" si="115"/>
        <v>2.394223319021644</v>
      </c>
      <c r="BB100" s="513">
        <f t="shared" si="115"/>
        <v>1.9990052162566256</v>
      </c>
      <c r="BC100" s="513">
        <f t="shared" si="115"/>
        <v>1.603787113491608</v>
      </c>
      <c r="BD100" s="513">
        <f t="shared" si="115"/>
        <v>0.95483305836191179</v>
      </c>
      <c r="BE100" s="513">
        <f t="shared" si="115"/>
        <v>0.80750120399577607</v>
      </c>
      <c r="BF100" s="513">
        <f t="shared" si="115"/>
        <v>0.58650342244657239</v>
      </c>
      <c r="BG100" s="513">
        <f t="shared" si="115"/>
        <v>0.47752948898167624</v>
      </c>
      <c r="BH100" s="513">
        <f t="shared" si="115"/>
        <v>0.40488020000507885</v>
      </c>
      <c r="BI100" s="513">
        <f t="shared" si="115"/>
        <v>0</v>
      </c>
      <c r="BJ100" s="513">
        <f t="shared" si="115"/>
        <v>0</v>
      </c>
      <c r="BK100" s="513">
        <f t="shared" si="124"/>
        <v>8.7791106651863626E-2</v>
      </c>
      <c r="BL100" s="513">
        <f t="shared" si="125"/>
        <v>8.0150338072666277E-2</v>
      </c>
      <c r="BM100" s="513">
        <f t="shared" si="126"/>
        <v>9.1041456209480051E-2</v>
      </c>
      <c r="BN100" s="513">
        <f t="shared" si="127"/>
        <v>7.1122628927143133E-2</v>
      </c>
      <c r="BO100" s="513">
        <f t="shared" si="128"/>
        <v>6.407168795256632E-2</v>
      </c>
      <c r="BP100" s="513">
        <f t="shared" si="129"/>
        <v>5.3495276490701085E-2</v>
      </c>
      <c r="BQ100" s="513">
        <f t="shared" si="130"/>
        <v>4.2918865028835872E-2</v>
      </c>
      <c r="BR100" s="513">
        <f t="shared" si="131"/>
        <v>2.5552238705601676E-2</v>
      </c>
      <c r="BS100" s="513">
        <f t="shared" si="132"/>
        <v>2.1609498476057257E-2</v>
      </c>
      <c r="BT100" s="513">
        <f t="shared" si="133"/>
        <v>1.569538813174063E-2</v>
      </c>
      <c r="BU100" s="513">
        <f t="shared" si="134"/>
        <v>1.277914226425836E-2</v>
      </c>
      <c r="BV100" s="513">
        <f t="shared" si="135"/>
        <v>1.0834978352603516E-2</v>
      </c>
      <c r="BW100" s="513">
        <f t="shared" si="136"/>
        <v>0</v>
      </c>
      <c r="BX100" s="513">
        <f t="shared" si="137"/>
        <v>0</v>
      </c>
    </row>
    <row r="101" spans="10:123" ht="15.75" x14ac:dyDescent="0.25">
      <c r="J101" s="155" t="s">
        <v>830</v>
      </c>
      <c r="K101" s="155" t="s">
        <v>792</v>
      </c>
      <c r="L101" s="578" t="s">
        <v>1036</v>
      </c>
      <c r="M101" s="155"/>
      <c r="N101" s="580">
        <f t="shared" si="92"/>
        <v>0</v>
      </c>
      <c r="O101" s="580">
        <f t="shared" si="92"/>
        <v>0</v>
      </c>
      <c r="P101" s="581">
        <f t="shared" si="92"/>
        <v>0</v>
      </c>
      <c r="Q101" s="581">
        <f t="shared" si="92"/>
        <v>0</v>
      </c>
      <c r="R101" s="582">
        <f t="shared" si="92"/>
        <v>0</v>
      </c>
      <c r="S101" s="582">
        <f t="shared" si="92"/>
        <v>0</v>
      </c>
      <c r="T101" s="582">
        <f t="shared" si="92"/>
        <v>0</v>
      </c>
      <c r="U101" s="582">
        <f t="shared" si="92"/>
        <v>0</v>
      </c>
      <c r="V101" s="582">
        <f t="shared" si="92"/>
        <v>0</v>
      </c>
      <c r="W101" s="560" t="str">
        <f t="shared" si="94"/>
        <v>-</v>
      </c>
      <c r="X101" s="560" t="str">
        <f t="shared" si="95"/>
        <v>-</v>
      </c>
      <c r="Y101" s="560" t="str">
        <f t="shared" si="96"/>
        <v>-</v>
      </c>
      <c r="Z101" s="560" t="str">
        <f t="shared" si="97"/>
        <v>-</v>
      </c>
      <c r="AA101" s="562" t="str">
        <f t="shared" si="98"/>
        <v>-</v>
      </c>
      <c r="AB101" s="593">
        <f t="shared" si="119"/>
        <v>0</v>
      </c>
      <c r="AC101" s="593">
        <f t="shared" si="119"/>
        <v>0</v>
      </c>
      <c r="AD101" s="605">
        <f t="shared" si="99"/>
        <v>0</v>
      </c>
      <c r="AE101" s="618" t="str">
        <f t="shared" si="120"/>
        <v>-</v>
      </c>
      <c r="AF101" s="605">
        <f t="shared" si="121"/>
        <v>0</v>
      </c>
      <c r="AG101" s="618" t="str">
        <f t="shared" si="138"/>
        <v>-</v>
      </c>
      <c r="AH101" s="580">
        <f t="shared" si="122"/>
        <v>0</v>
      </c>
      <c r="AI101" s="580">
        <f t="shared" si="101"/>
        <v>0</v>
      </c>
      <c r="AJ101" s="580">
        <f t="shared" si="102"/>
        <v>0</v>
      </c>
      <c r="AK101" s="580">
        <f t="shared" si="103"/>
        <v>0</v>
      </c>
      <c r="AL101" s="580">
        <f t="shared" si="104"/>
        <v>0</v>
      </c>
      <c r="AM101" s="580">
        <f t="shared" si="105"/>
        <v>0</v>
      </c>
      <c r="AN101" s="580">
        <f t="shared" si="106"/>
        <v>0</v>
      </c>
      <c r="AO101" s="580">
        <f t="shared" si="107"/>
        <v>0</v>
      </c>
      <c r="AP101" s="580">
        <f t="shared" si="108"/>
        <v>0</v>
      </c>
      <c r="AQ101" s="580">
        <f t="shared" si="109"/>
        <v>0</v>
      </c>
      <c r="AR101" s="580">
        <f t="shared" si="110"/>
        <v>0</v>
      </c>
      <c r="AS101" s="580">
        <f t="shared" si="111"/>
        <v>0</v>
      </c>
      <c r="AT101" s="580">
        <f t="shared" si="112"/>
        <v>0</v>
      </c>
      <c r="AU101" s="580">
        <f t="shared" si="113"/>
        <v>0</v>
      </c>
      <c r="AV101" s="580">
        <f t="shared" si="114"/>
        <v>0</v>
      </c>
      <c r="AW101" s="513">
        <f t="shared" si="123"/>
        <v>0</v>
      </c>
      <c r="AX101" s="513">
        <f t="shared" si="115"/>
        <v>0</v>
      </c>
      <c r="AY101" s="513">
        <f t="shared" si="115"/>
        <v>0</v>
      </c>
      <c r="AZ101" s="513">
        <f t="shared" si="115"/>
        <v>0</v>
      </c>
      <c r="BA101" s="513">
        <f t="shared" si="115"/>
        <v>0</v>
      </c>
      <c r="BB101" s="513">
        <f t="shared" si="115"/>
        <v>0</v>
      </c>
      <c r="BC101" s="513">
        <f t="shared" si="115"/>
        <v>0</v>
      </c>
      <c r="BD101" s="513">
        <f t="shared" si="115"/>
        <v>0</v>
      </c>
      <c r="BE101" s="513">
        <f t="shared" si="115"/>
        <v>0</v>
      </c>
      <c r="BF101" s="513">
        <f t="shared" si="115"/>
        <v>0</v>
      </c>
      <c r="BG101" s="513">
        <f t="shared" si="115"/>
        <v>0</v>
      </c>
      <c r="BH101" s="513">
        <f t="shared" si="115"/>
        <v>0</v>
      </c>
      <c r="BI101" s="513">
        <f t="shared" si="115"/>
        <v>0</v>
      </c>
      <c r="BJ101" s="513">
        <f t="shared" si="115"/>
        <v>0</v>
      </c>
      <c r="BK101" s="513">
        <f t="shared" si="124"/>
        <v>0</v>
      </c>
      <c r="BL101" s="513">
        <f t="shared" si="125"/>
        <v>0</v>
      </c>
      <c r="BM101" s="513">
        <f t="shared" si="126"/>
        <v>0</v>
      </c>
      <c r="BN101" s="513">
        <f t="shared" si="127"/>
        <v>0</v>
      </c>
      <c r="BO101" s="513">
        <f t="shared" si="128"/>
        <v>0</v>
      </c>
      <c r="BP101" s="513">
        <f t="shared" si="129"/>
        <v>0</v>
      </c>
      <c r="BQ101" s="513">
        <f t="shared" si="130"/>
        <v>0</v>
      </c>
      <c r="BR101" s="513">
        <f t="shared" si="131"/>
        <v>0</v>
      </c>
      <c r="BS101" s="513">
        <f t="shared" si="132"/>
        <v>0</v>
      </c>
      <c r="BT101" s="513">
        <f t="shared" si="133"/>
        <v>0</v>
      </c>
      <c r="BU101" s="513">
        <f t="shared" si="134"/>
        <v>0</v>
      </c>
      <c r="BV101" s="513">
        <f t="shared" si="135"/>
        <v>0</v>
      </c>
      <c r="BW101" s="513">
        <f t="shared" si="136"/>
        <v>0</v>
      </c>
      <c r="BX101" s="513">
        <f t="shared" si="137"/>
        <v>0</v>
      </c>
    </row>
    <row r="102" spans="10:123" ht="15.75" x14ac:dyDescent="0.25">
      <c r="J102" s="155" t="s">
        <v>830</v>
      </c>
      <c r="K102" s="155" t="s">
        <v>790</v>
      </c>
      <c r="L102" s="578" t="s">
        <v>1036</v>
      </c>
      <c r="M102" s="155"/>
      <c r="N102" s="580">
        <f t="shared" si="92"/>
        <v>0</v>
      </c>
      <c r="O102" s="580">
        <f t="shared" si="92"/>
        <v>0</v>
      </c>
      <c r="P102" s="581">
        <f t="shared" si="92"/>
        <v>0</v>
      </c>
      <c r="Q102" s="581">
        <f t="shared" si="92"/>
        <v>0</v>
      </c>
      <c r="R102" s="582">
        <f t="shared" si="92"/>
        <v>0</v>
      </c>
      <c r="S102" s="582">
        <f t="shared" si="92"/>
        <v>0</v>
      </c>
      <c r="T102" s="582">
        <f t="shared" si="92"/>
        <v>0</v>
      </c>
      <c r="U102" s="582">
        <f t="shared" si="92"/>
        <v>0</v>
      </c>
      <c r="V102" s="582">
        <f t="shared" si="92"/>
        <v>0</v>
      </c>
      <c r="W102" s="594" t="str">
        <f t="shared" si="94"/>
        <v>-</v>
      </c>
      <c r="X102" s="594" t="str">
        <f t="shared" si="95"/>
        <v>-</v>
      </c>
      <c r="Y102" s="594" t="str">
        <f t="shared" si="96"/>
        <v>-</v>
      </c>
      <c r="Z102" s="594" t="str">
        <f t="shared" si="97"/>
        <v>-</v>
      </c>
      <c r="AA102" s="595" t="str">
        <f t="shared" si="98"/>
        <v>-</v>
      </c>
      <c r="AB102" s="593">
        <f t="shared" si="119"/>
        <v>0</v>
      </c>
      <c r="AC102" s="593">
        <f t="shared" si="119"/>
        <v>0</v>
      </c>
      <c r="AD102" s="605">
        <f t="shared" si="99"/>
        <v>0</v>
      </c>
      <c r="AE102" s="618" t="str">
        <f t="shared" si="120"/>
        <v>-</v>
      </c>
      <c r="AF102" s="605">
        <f t="shared" si="121"/>
        <v>0</v>
      </c>
      <c r="AG102" s="618" t="str">
        <f t="shared" si="138"/>
        <v>-</v>
      </c>
      <c r="AH102" s="580">
        <f t="shared" si="122"/>
        <v>0</v>
      </c>
      <c r="AI102" s="580">
        <f t="shared" si="101"/>
        <v>0</v>
      </c>
      <c r="AJ102" s="580">
        <f t="shared" si="102"/>
        <v>0</v>
      </c>
      <c r="AK102" s="580">
        <f t="shared" si="103"/>
        <v>0</v>
      </c>
      <c r="AL102" s="580">
        <f t="shared" si="104"/>
        <v>0</v>
      </c>
      <c r="AM102" s="580">
        <f t="shared" si="105"/>
        <v>0</v>
      </c>
      <c r="AN102" s="580">
        <f t="shared" si="106"/>
        <v>0</v>
      </c>
      <c r="AO102" s="580">
        <f t="shared" si="107"/>
        <v>0</v>
      </c>
      <c r="AP102" s="580">
        <f t="shared" si="108"/>
        <v>0</v>
      </c>
      <c r="AQ102" s="580">
        <f t="shared" si="109"/>
        <v>0</v>
      </c>
      <c r="AR102" s="580">
        <f t="shared" si="110"/>
        <v>0</v>
      </c>
      <c r="AS102" s="580">
        <f t="shared" si="111"/>
        <v>0</v>
      </c>
      <c r="AT102" s="580">
        <f t="shared" si="112"/>
        <v>0</v>
      </c>
      <c r="AU102" s="580">
        <f t="shared" si="113"/>
        <v>0</v>
      </c>
      <c r="AV102" s="580">
        <f t="shared" si="114"/>
        <v>0</v>
      </c>
      <c r="AW102" s="513">
        <f t="shared" si="123"/>
        <v>0</v>
      </c>
      <c r="AX102" s="513">
        <f t="shared" si="115"/>
        <v>0</v>
      </c>
      <c r="AY102" s="513">
        <f t="shared" si="115"/>
        <v>0</v>
      </c>
      <c r="AZ102" s="513">
        <f t="shared" si="115"/>
        <v>0</v>
      </c>
      <c r="BA102" s="513">
        <f t="shared" si="115"/>
        <v>0</v>
      </c>
      <c r="BB102" s="513">
        <f t="shared" si="115"/>
        <v>0</v>
      </c>
      <c r="BC102" s="513">
        <f t="shared" si="115"/>
        <v>0</v>
      </c>
      <c r="BD102" s="513">
        <f t="shared" si="115"/>
        <v>0</v>
      </c>
      <c r="BE102" s="513">
        <f t="shared" si="115"/>
        <v>0</v>
      </c>
      <c r="BF102" s="513">
        <f t="shared" si="115"/>
        <v>0</v>
      </c>
      <c r="BG102" s="513">
        <f t="shared" si="115"/>
        <v>0</v>
      </c>
      <c r="BH102" s="513">
        <f t="shared" si="115"/>
        <v>0</v>
      </c>
      <c r="BI102" s="513">
        <f t="shared" si="115"/>
        <v>0</v>
      </c>
      <c r="BJ102" s="513">
        <f t="shared" si="115"/>
        <v>0</v>
      </c>
      <c r="BK102" s="513">
        <f t="shared" si="124"/>
        <v>0</v>
      </c>
      <c r="BL102" s="513">
        <f t="shared" si="125"/>
        <v>0</v>
      </c>
      <c r="BM102" s="513">
        <f t="shared" si="126"/>
        <v>0</v>
      </c>
      <c r="BN102" s="513">
        <f t="shared" si="127"/>
        <v>0</v>
      </c>
      <c r="BO102" s="513">
        <f t="shared" si="128"/>
        <v>0</v>
      </c>
      <c r="BP102" s="513">
        <f t="shared" si="129"/>
        <v>0</v>
      </c>
      <c r="BQ102" s="513">
        <f t="shared" si="130"/>
        <v>0</v>
      </c>
      <c r="BR102" s="513">
        <f t="shared" si="131"/>
        <v>0</v>
      </c>
      <c r="BS102" s="513">
        <f t="shared" si="132"/>
        <v>0</v>
      </c>
      <c r="BT102" s="513">
        <f t="shared" si="133"/>
        <v>0</v>
      </c>
      <c r="BU102" s="513">
        <f t="shared" si="134"/>
        <v>0</v>
      </c>
      <c r="BV102" s="513">
        <f t="shared" si="135"/>
        <v>0</v>
      </c>
      <c r="BW102" s="513">
        <f t="shared" si="136"/>
        <v>0</v>
      </c>
      <c r="BX102" s="513">
        <f t="shared" si="137"/>
        <v>0</v>
      </c>
    </row>
    <row r="104" spans="10:123" x14ac:dyDescent="0.25">
      <c r="AI104" s="57"/>
      <c r="AJ104" s="57"/>
      <c r="AK104" s="57"/>
      <c r="AL104" s="57"/>
      <c r="AM104" s="57"/>
      <c r="AN104" s="57"/>
      <c r="AO104" s="57"/>
      <c r="AP104" s="57"/>
      <c r="AQ104" s="57"/>
      <c r="AR104" s="57"/>
      <c r="AS104" s="57"/>
      <c r="AT104" s="57"/>
      <c r="AU104" s="57"/>
      <c r="AV104" s="689" t="s">
        <v>9</v>
      </c>
      <c r="AW104" s="685">
        <f>+SUM(AW90:AW95)</f>
        <v>1025.6624631771094</v>
      </c>
      <c r="AX104" s="685">
        <f>+SUM(AX90:AX95)</f>
        <v>971.57652717500991</v>
      </c>
      <c r="AY104" s="685">
        <f t="shared" ref="AY104:BX104" si="141">+SUM(AY90:AY95)</f>
        <v>587.45269905868224</v>
      </c>
      <c r="AZ104" s="685">
        <f t="shared" si="141"/>
        <v>583.80882350140098</v>
      </c>
      <c r="BA104" s="685">
        <f t="shared" si="141"/>
        <v>491.64198180044281</v>
      </c>
      <c r="BB104" s="685">
        <f t="shared" si="141"/>
        <v>395.55490364858457</v>
      </c>
      <c r="BC104" s="685">
        <f t="shared" si="141"/>
        <v>259.08358501121182</v>
      </c>
      <c r="BD104" s="685">
        <f t="shared" si="141"/>
        <v>203.01753298333946</v>
      </c>
      <c r="BE104" s="685">
        <f t="shared" si="141"/>
        <v>77.110660270184596</v>
      </c>
      <c r="BF104" s="685">
        <f t="shared" si="141"/>
        <v>113.14283421871541</v>
      </c>
      <c r="BG104" s="685">
        <f t="shared" si="141"/>
        <v>93.852736485768659</v>
      </c>
      <c r="BH104" s="685">
        <f t="shared" si="141"/>
        <v>77.289458691355691</v>
      </c>
      <c r="BI104" s="685">
        <f t="shared" si="141"/>
        <v>71.463716236286629</v>
      </c>
      <c r="BJ104" s="685">
        <f t="shared" si="141"/>
        <v>58.10098973082475</v>
      </c>
      <c r="BK104" s="684">
        <f t="shared" si="141"/>
        <v>334.25667316952502</v>
      </c>
      <c r="BL104" s="685">
        <f t="shared" si="141"/>
        <v>309.16286047379833</v>
      </c>
      <c r="BM104" s="685">
        <f t="shared" si="141"/>
        <v>254.3052648806358</v>
      </c>
      <c r="BN104" s="685">
        <f t="shared" si="141"/>
        <v>194.55634642916442</v>
      </c>
      <c r="BO104" s="685">
        <f t="shared" si="141"/>
        <v>121.22384774909479</v>
      </c>
      <c r="BP104" s="685">
        <f t="shared" si="141"/>
        <v>74.76382565249844</v>
      </c>
      <c r="BQ104" s="685">
        <f t="shared" si="141"/>
        <v>53.922348074396865</v>
      </c>
      <c r="BR104" s="685">
        <f t="shared" si="141"/>
        <v>41.269166088667482</v>
      </c>
      <c r="BS104" s="685">
        <f t="shared" si="141"/>
        <v>31.344236079012198</v>
      </c>
      <c r="BT104" s="685">
        <f t="shared" si="141"/>
        <v>17.69403914381996</v>
      </c>
      <c r="BU104" s="685">
        <f t="shared" si="141"/>
        <v>8.5518145152151508</v>
      </c>
      <c r="BV104" s="685">
        <f t="shared" si="141"/>
        <v>7.0326021336820999</v>
      </c>
      <c r="BW104" s="685">
        <f t="shared" si="141"/>
        <v>6.2929834743419137</v>
      </c>
      <c r="BX104" s="686">
        <f t="shared" si="141"/>
        <v>5.1711410056949765</v>
      </c>
    </row>
    <row r="105" spans="10:123" x14ac:dyDescent="0.25">
      <c r="AV105" s="211" t="s">
        <v>249</v>
      </c>
      <c r="AW105" s="687">
        <f>+AW104*1000/($D$8*365)</f>
        <v>461.63196063013703</v>
      </c>
      <c r="AX105" s="687">
        <f t="shared" ref="AX105:BJ105" si="142">+AX104*1000/($D$8*365)</f>
        <v>437.28886767748605</v>
      </c>
      <c r="AY105" s="687">
        <f t="shared" si="142"/>
        <v>264.4017412940043</v>
      </c>
      <c r="AZ105" s="687">
        <f t="shared" si="142"/>
        <v>262.76169939114538</v>
      </c>
      <c r="BA105" s="687">
        <f t="shared" si="142"/>
        <v>221.27908560053632</v>
      </c>
      <c r="BB105" s="687">
        <f t="shared" si="142"/>
        <v>178.0320449112798</v>
      </c>
      <c r="BC105" s="687">
        <f t="shared" si="142"/>
        <v>116.60879442280806</v>
      </c>
      <c r="BD105" s="687">
        <f t="shared" si="142"/>
        <v>91.374487375784184</v>
      </c>
      <c r="BE105" s="687">
        <f t="shared" si="142"/>
        <v>34.706101240894242</v>
      </c>
      <c r="BF105" s="687">
        <f t="shared" si="142"/>
        <v>50.923525298806915</v>
      </c>
      <c r="BG105" s="687">
        <f t="shared" si="142"/>
        <v>42.241404272730641</v>
      </c>
      <c r="BH105" s="687">
        <f t="shared" si="142"/>
        <v>34.786575147940731</v>
      </c>
      <c r="BI105" s="687">
        <f t="shared" si="142"/>
        <v>32.164514764323698</v>
      </c>
      <c r="BJ105" s="687">
        <f t="shared" si="142"/>
        <v>26.150195378029196</v>
      </c>
      <c r="BK105" s="690">
        <f>+BK104*1000/($D$7*365)</f>
        <v>907.10221917808201</v>
      </c>
      <c r="BL105" s="687">
        <f t="shared" ref="BL105:BX105" si="143">+BL104*1000/($D$7*365)</f>
        <v>839.00289607978675</v>
      </c>
      <c r="BM105" s="687">
        <f t="shared" si="143"/>
        <v>690.13093421443909</v>
      </c>
      <c r="BN105" s="687">
        <f t="shared" si="143"/>
        <v>527.98495218543667</v>
      </c>
      <c r="BO105" s="687">
        <f t="shared" si="143"/>
        <v>328.97599401026821</v>
      </c>
      <c r="BP105" s="687">
        <f t="shared" si="143"/>
        <v>202.89327815223328</v>
      </c>
      <c r="BQ105" s="687">
        <f t="shared" si="143"/>
        <v>146.33389705512664</v>
      </c>
      <c r="BR105" s="687">
        <f t="shared" si="143"/>
        <v>111.99582580561683</v>
      </c>
      <c r="BS105" s="687">
        <f t="shared" si="143"/>
        <v>85.061655870946794</v>
      </c>
      <c r="BT105" s="687">
        <f t="shared" si="143"/>
        <v>48.017896012034754</v>
      </c>
      <c r="BU105" s="687">
        <f t="shared" si="143"/>
        <v>23.207823649990946</v>
      </c>
      <c r="BV105" s="687">
        <f t="shared" si="143"/>
        <v>19.085001180587238</v>
      </c>
      <c r="BW105" s="687">
        <f t="shared" si="143"/>
        <v>17.077831896960898</v>
      </c>
      <c r="BX105" s="688">
        <f t="shared" si="143"/>
        <v>14.033387688178426</v>
      </c>
    </row>
    <row r="107" spans="10:123" ht="31.5" x14ac:dyDescent="0.25">
      <c r="J107" s="573" t="str">
        <f t="shared" ref="J107:M120" si="144">J89</f>
        <v>Basin</v>
      </c>
      <c r="K107" s="573" t="str">
        <f t="shared" si="144"/>
        <v>Type Fluid</v>
      </c>
      <c r="L107" s="573" t="str">
        <f t="shared" si="144"/>
        <v>CAM</v>
      </c>
      <c r="M107" s="573" t="str">
        <f t="shared" si="144"/>
        <v>Type of Oil producing</v>
      </c>
      <c r="N107" s="756" t="s">
        <v>1109</v>
      </c>
    </row>
    <row r="108" spans="10:123" ht="15.75" x14ac:dyDescent="0.25">
      <c r="J108" s="155" t="str">
        <f t="shared" si="144"/>
        <v>Guajira</v>
      </c>
      <c r="K108" s="155" t="str">
        <f t="shared" si="144"/>
        <v>Doesn't Apply</v>
      </c>
      <c r="L108" s="578" t="str">
        <f t="shared" si="144"/>
        <v>CAM1</v>
      </c>
      <c r="M108" s="579" t="str">
        <f t="shared" si="144"/>
        <v>GU - Gas</v>
      </c>
      <c r="N108" s="386">
        <v>1.0581999999999999E-2</v>
      </c>
      <c r="O108" s="386" t="s">
        <v>982</v>
      </c>
    </row>
    <row r="109" spans="10:123" ht="15.75" x14ac:dyDescent="0.25">
      <c r="J109" s="155" t="str">
        <f t="shared" si="144"/>
        <v>Llanos Orientales</v>
      </c>
      <c r="K109" s="155" t="str">
        <f t="shared" si="144"/>
        <v>Light Oil</v>
      </c>
      <c r="L109" s="578" t="str">
        <f t="shared" si="144"/>
        <v>CAM2</v>
      </c>
      <c r="M109" s="583" t="str">
        <f t="shared" si="144"/>
        <v>LLO - Ligth</v>
      </c>
      <c r="N109" s="386">
        <v>1.0581999999999999E-2</v>
      </c>
      <c r="O109" s="386" t="s">
        <v>982</v>
      </c>
    </row>
    <row r="110" spans="10:123" x14ac:dyDescent="0.25">
      <c r="J110" s="155" t="str">
        <f t="shared" si="144"/>
        <v>Llanos Orientales</v>
      </c>
      <c r="K110" s="155" t="str">
        <f t="shared" si="144"/>
        <v>Heavy Oil</v>
      </c>
      <c r="L110" s="578" t="str">
        <f t="shared" si="144"/>
        <v>CAM3</v>
      </c>
      <c r="M110" s="156" t="str">
        <f t="shared" si="144"/>
        <v>LLO - Heavy</v>
      </c>
      <c r="N110" s="386">
        <v>1.0581999999999999E-2</v>
      </c>
      <c r="O110" s="386" t="s">
        <v>982</v>
      </c>
    </row>
    <row r="111" spans="10:123" x14ac:dyDescent="0.25">
      <c r="J111" s="155" t="str">
        <f t="shared" si="144"/>
        <v>Putumayo</v>
      </c>
      <c r="K111" s="155" t="str">
        <f t="shared" si="144"/>
        <v>Light Oil</v>
      </c>
      <c r="L111" s="578" t="str">
        <f t="shared" si="144"/>
        <v>CAM4</v>
      </c>
      <c r="M111" s="156" t="str">
        <f t="shared" si="144"/>
        <v>PU - Ligth</v>
      </c>
      <c r="N111" s="386">
        <v>1.0581999999999999E-2</v>
      </c>
      <c r="O111" s="386" t="s">
        <v>982</v>
      </c>
      <c r="P111" s="753"/>
    </row>
    <row r="112" spans="10:123" x14ac:dyDescent="0.25">
      <c r="J112" s="155" t="str">
        <f t="shared" si="144"/>
        <v>VMM</v>
      </c>
      <c r="K112" s="155" t="str">
        <f t="shared" si="144"/>
        <v>Medium Oil</v>
      </c>
      <c r="L112" s="578" t="str">
        <f t="shared" si="144"/>
        <v>CAM5</v>
      </c>
      <c r="M112" s="156" t="str">
        <f t="shared" si="144"/>
        <v>VMM - Medium</v>
      </c>
      <c r="N112" s="386">
        <v>1.0581999999999999E-2</v>
      </c>
      <c r="O112" s="386" t="s">
        <v>982</v>
      </c>
      <c r="P112" s="753"/>
    </row>
    <row r="113" spans="10:19" ht="15.75" x14ac:dyDescent="0.25">
      <c r="J113" s="155" t="str">
        <f t="shared" si="144"/>
        <v>VSM</v>
      </c>
      <c r="K113" s="155" t="str">
        <f t="shared" si="144"/>
        <v>Medium Oil</v>
      </c>
      <c r="L113" s="578" t="str">
        <f t="shared" si="144"/>
        <v>CAM6</v>
      </c>
      <c r="M113" s="583" t="str">
        <f t="shared" si="144"/>
        <v>VSM - Medium</v>
      </c>
      <c r="N113" s="386">
        <v>1.0581999999999999E-2</v>
      </c>
      <c r="O113" s="386" t="s">
        <v>982</v>
      </c>
      <c r="P113" s="753"/>
    </row>
    <row r="114" spans="10:19" x14ac:dyDescent="0.25">
      <c r="J114" s="155" t="str">
        <f t="shared" si="144"/>
        <v>Llanos Orientales</v>
      </c>
      <c r="K114" s="155" t="str">
        <f t="shared" si="144"/>
        <v>Medium Oil</v>
      </c>
      <c r="L114" s="578" t="str">
        <f t="shared" si="144"/>
        <v>P</v>
      </c>
      <c r="M114" s="155">
        <f t="shared" si="144"/>
        <v>0</v>
      </c>
      <c r="N114" s="754"/>
      <c r="O114" s="755"/>
      <c r="P114" s="753"/>
    </row>
    <row r="115" spans="10:19" x14ac:dyDescent="0.25">
      <c r="J115" s="155" t="str">
        <f t="shared" si="144"/>
        <v>Putumayo</v>
      </c>
      <c r="K115" s="155" t="str">
        <f t="shared" si="144"/>
        <v>Medium Oil</v>
      </c>
      <c r="L115" s="578" t="str">
        <f t="shared" si="144"/>
        <v>P</v>
      </c>
      <c r="M115" s="155">
        <f t="shared" si="144"/>
        <v>0</v>
      </c>
      <c r="N115" s="754"/>
      <c r="O115" s="755"/>
      <c r="P115" s="753"/>
    </row>
    <row r="116" spans="10:19" x14ac:dyDescent="0.25">
      <c r="J116" s="155" t="str">
        <f t="shared" si="144"/>
        <v>Putumayo</v>
      </c>
      <c r="K116" s="155" t="str">
        <f t="shared" si="144"/>
        <v>Heavy Oil</v>
      </c>
      <c r="L116" s="578" t="str">
        <f t="shared" si="144"/>
        <v>P</v>
      </c>
      <c r="M116" s="155">
        <f t="shared" si="144"/>
        <v>0</v>
      </c>
      <c r="N116" s="754"/>
      <c r="O116" s="755"/>
      <c r="P116" s="753"/>
    </row>
    <row r="117" spans="10:19" x14ac:dyDescent="0.25">
      <c r="J117" s="155" t="str">
        <f t="shared" si="144"/>
        <v>VMM</v>
      </c>
      <c r="K117" s="155" t="str">
        <f t="shared" si="144"/>
        <v>Light Oil</v>
      </c>
      <c r="L117" s="578" t="str">
        <f t="shared" si="144"/>
        <v>P</v>
      </c>
      <c r="M117" s="155">
        <f t="shared" si="144"/>
        <v>0</v>
      </c>
      <c r="N117" s="754"/>
      <c r="O117" s="755"/>
      <c r="P117" s="753"/>
    </row>
    <row r="118" spans="10:19" x14ac:dyDescent="0.25">
      <c r="J118" s="155" t="str">
        <f t="shared" si="144"/>
        <v>VMM</v>
      </c>
      <c r="K118" s="155" t="str">
        <f t="shared" si="144"/>
        <v>Heavy Oil</v>
      </c>
      <c r="L118" s="578" t="str">
        <f t="shared" si="144"/>
        <v>P</v>
      </c>
      <c r="M118" s="155">
        <f t="shared" si="144"/>
        <v>0</v>
      </c>
      <c r="N118" s="754"/>
      <c r="O118" s="755"/>
      <c r="P118" s="753"/>
    </row>
    <row r="119" spans="10:19" x14ac:dyDescent="0.25">
      <c r="J119" s="155" t="str">
        <f t="shared" si="144"/>
        <v>VSM</v>
      </c>
      <c r="K119" s="155" t="str">
        <f t="shared" si="144"/>
        <v>Light Oil</v>
      </c>
      <c r="L119" s="578" t="str">
        <f t="shared" si="144"/>
        <v>P</v>
      </c>
      <c r="M119" s="155">
        <f t="shared" si="144"/>
        <v>0</v>
      </c>
      <c r="N119" s="753"/>
      <c r="O119" s="753"/>
      <c r="P119" s="753"/>
    </row>
    <row r="120" spans="10:19" x14ac:dyDescent="0.25">
      <c r="J120" s="155" t="str">
        <f t="shared" si="144"/>
        <v>VSM</v>
      </c>
      <c r="K120" s="155" t="str">
        <f t="shared" si="144"/>
        <v>Heavy Oil</v>
      </c>
      <c r="L120" s="578" t="str">
        <f t="shared" si="144"/>
        <v>P</v>
      </c>
      <c r="M120" s="155">
        <f t="shared" si="144"/>
        <v>0</v>
      </c>
      <c r="N120" s="753"/>
      <c r="O120" s="753"/>
      <c r="P120" s="753"/>
    </row>
    <row r="125" spans="10:19" x14ac:dyDescent="0.25">
      <c r="J125" t="s">
        <v>1110</v>
      </c>
    </row>
    <row r="126" spans="10:19" ht="31.5" x14ac:dyDescent="0.25">
      <c r="J126" s="573" t="str">
        <f t="shared" ref="J126:M139" si="145">J107</f>
        <v>Basin</v>
      </c>
      <c r="K126" s="573" t="str">
        <f t="shared" si="145"/>
        <v>Type Fluid</v>
      </c>
      <c r="L126" s="573" t="str">
        <f t="shared" si="145"/>
        <v>CAM</v>
      </c>
      <c r="M126" s="573" t="str">
        <f t="shared" si="145"/>
        <v>Type of Oil producing</v>
      </c>
      <c r="N126" s="486" t="s">
        <v>1111</v>
      </c>
      <c r="S126" t="s">
        <v>1114</v>
      </c>
    </row>
    <row r="127" spans="10:19" ht="15.75" x14ac:dyDescent="0.25">
      <c r="J127" s="155" t="str">
        <f t="shared" si="145"/>
        <v>Guajira</v>
      </c>
      <c r="K127" s="155" t="str">
        <f t="shared" si="145"/>
        <v>Doesn't Apply</v>
      </c>
      <c r="L127" s="578" t="str">
        <f t="shared" si="145"/>
        <v>CAM1</v>
      </c>
      <c r="M127" s="579" t="str">
        <f t="shared" si="145"/>
        <v>GU - Gas</v>
      </c>
      <c r="N127" s="773">
        <f>+T90</f>
        <v>5.6186813035864835</v>
      </c>
      <c r="O127" s="774" t="s">
        <v>9</v>
      </c>
      <c r="S127" t="s">
        <v>891</v>
      </c>
    </row>
    <row r="128" spans="10:19" ht="15.75" x14ac:dyDescent="0.25">
      <c r="J128" s="155" t="str">
        <f t="shared" si="145"/>
        <v>Llanos Orientales</v>
      </c>
      <c r="K128" s="155" t="str">
        <f t="shared" si="145"/>
        <v>Light Oil</v>
      </c>
      <c r="L128" s="578" t="str">
        <f t="shared" si="145"/>
        <v>CAM2</v>
      </c>
      <c r="M128" s="583" t="str">
        <f t="shared" si="145"/>
        <v>LLO - Ligth</v>
      </c>
      <c r="N128" s="773">
        <f t="shared" ref="N128:N132" si="146">+T91</f>
        <v>69.637902700685089</v>
      </c>
      <c r="O128" s="774" t="s">
        <v>9</v>
      </c>
      <c r="S128" t="s">
        <v>1116</v>
      </c>
    </row>
    <row r="129" spans="10:19" x14ac:dyDescent="0.25">
      <c r="J129" s="155" t="str">
        <f t="shared" si="145"/>
        <v>Llanos Orientales</v>
      </c>
      <c r="K129" s="155" t="str">
        <f t="shared" si="145"/>
        <v>Heavy Oil</v>
      </c>
      <c r="L129" s="578" t="str">
        <f t="shared" si="145"/>
        <v>CAM3</v>
      </c>
      <c r="M129" s="156" t="str">
        <f t="shared" si="145"/>
        <v>LLO - Heavy</v>
      </c>
      <c r="N129" s="773">
        <f t="shared" si="146"/>
        <v>0.4330294316488485</v>
      </c>
      <c r="O129" s="774" t="s">
        <v>9</v>
      </c>
      <c r="S129" t="s">
        <v>1115</v>
      </c>
    </row>
    <row r="130" spans="10:19" x14ac:dyDescent="0.25">
      <c r="J130" s="155" t="str">
        <f t="shared" si="145"/>
        <v>Putumayo</v>
      </c>
      <c r="K130" s="155" t="str">
        <f t="shared" si="145"/>
        <v>Light Oil</v>
      </c>
      <c r="L130" s="578" t="str">
        <f t="shared" si="145"/>
        <v>CAM4</v>
      </c>
      <c r="M130" s="156" t="str">
        <f t="shared" si="145"/>
        <v>PU - Ligth</v>
      </c>
      <c r="N130" s="773">
        <f t="shared" si="146"/>
        <v>0</v>
      </c>
      <c r="O130" s="774" t="s">
        <v>9</v>
      </c>
      <c r="S130" t="s">
        <v>831</v>
      </c>
    </row>
    <row r="131" spans="10:19" x14ac:dyDescent="0.25">
      <c r="J131" s="155" t="str">
        <f t="shared" si="145"/>
        <v>VMM</v>
      </c>
      <c r="K131" s="155" t="str">
        <f t="shared" si="145"/>
        <v>Medium Oil</v>
      </c>
      <c r="L131" s="578" t="str">
        <f t="shared" si="145"/>
        <v>CAM5</v>
      </c>
      <c r="M131" s="156" t="str">
        <f t="shared" si="145"/>
        <v>VMM - Medium</v>
      </c>
      <c r="N131" s="773">
        <f t="shared" si="146"/>
        <v>1.3766222989813104</v>
      </c>
      <c r="O131" s="774" t="s">
        <v>9</v>
      </c>
      <c r="S131" t="s">
        <v>848</v>
      </c>
    </row>
    <row r="132" spans="10:19" ht="15.75" x14ac:dyDescent="0.25">
      <c r="J132" s="155" t="str">
        <f t="shared" si="145"/>
        <v>VSM</v>
      </c>
      <c r="K132" s="155" t="str">
        <f t="shared" si="145"/>
        <v>Medium Oil</v>
      </c>
      <c r="L132" s="578" t="str">
        <f t="shared" si="145"/>
        <v>CAM6</v>
      </c>
      <c r="M132" s="583" t="str">
        <f t="shared" si="145"/>
        <v>VSM - Medium</v>
      </c>
      <c r="N132" s="773">
        <f t="shared" si="146"/>
        <v>1.0198649246869729</v>
      </c>
      <c r="O132" s="774" t="s">
        <v>9</v>
      </c>
    </row>
    <row r="133" spans="10:19" x14ac:dyDescent="0.25">
      <c r="J133" s="155" t="str">
        <f t="shared" si="145"/>
        <v>Llanos Orientales</v>
      </c>
      <c r="K133" s="155" t="str">
        <f t="shared" si="145"/>
        <v>Medium Oil</v>
      </c>
      <c r="L133" s="578" t="str">
        <f t="shared" si="145"/>
        <v>P</v>
      </c>
      <c r="M133" s="155">
        <f t="shared" si="145"/>
        <v>0</v>
      </c>
    </row>
    <row r="134" spans="10:19" x14ac:dyDescent="0.25">
      <c r="J134" s="155" t="str">
        <f t="shared" si="145"/>
        <v>Putumayo</v>
      </c>
      <c r="K134" s="155" t="str">
        <f t="shared" si="145"/>
        <v>Medium Oil</v>
      </c>
      <c r="L134" s="578" t="str">
        <f t="shared" si="145"/>
        <v>P</v>
      </c>
      <c r="M134" s="155">
        <f t="shared" si="145"/>
        <v>0</v>
      </c>
    </row>
    <row r="135" spans="10:19" x14ac:dyDescent="0.25">
      <c r="J135" s="155" t="str">
        <f t="shared" si="145"/>
        <v>Putumayo</v>
      </c>
      <c r="K135" s="155" t="str">
        <f t="shared" si="145"/>
        <v>Heavy Oil</v>
      </c>
      <c r="L135" s="578" t="str">
        <f t="shared" si="145"/>
        <v>P</v>
      </c>
      <c r="M135" s="155">
        <f t="shared" si="145"/>
        <v>0</v>
      </c>
    </row>
    <row r="136" spans="10:19" x14ac:dyDescent="0.25">
      <c r="J136" s="155" t="str">
        <f t="shared" si="145"/>
        <v>VMM</v>
      </c>
      <c r="K136" s="155" t="str">
        <f t="shared" si="145"/>
        <v>Light Oil</v>
      </c>
      <c r="L136" s="578" t="str">
        <f t="shared" si="145"/>
        <v>P</v>
      </c>
      <c r="M136" s="155">
        <f t="shared" si="145"/>
        <v>0</v>
      </c>
    </row>
    <row r="137" spans="10:19" x14ac:dyDescent="0.25">
      <c r="J137" s="155" t="str">
        <f t="shared" si="145"/>
        <v>VMM</v>
      </c>
      <c r="K137" s="155" t="str">
        <f t="shared" si="145"/>
        <v>Heavy Oil</v>
      </c>
      <c r="L137" s="578" t="str">
        <f t="shared" si="145"/>
        <v>P</v>
      </c>
      <c r="M137" s="155">
        <f t="shared" si="145"/>
        <v>0</v>
      </c>
    </row>
    <row r="138" spans="10:19" x14ac:dyDescent="0.25">
      <c r="J138" s="155" t="str">
        <f t="shared" si="145"/>
        <v>VSM</v>
      </c>
      <c r="K138" s="155" t="str">
        <f t="shared" si="145"/>
        <v>Light Oil</v>
      </c>
      <c r="L138" s="578" t="str">
        <f t="shared" si="145"/>
        <v>P</v>
      </c>
      <c r="M138" s="155">
        <f t="shared" si="145"/>
        <v>0</v>
      </c>
    </row>
    <row r="139" spans="10:19" x14ac:dyDescent="0.25">
      <c r="J139" s="155" t="str">
        <f t="shared" si="145"/>
        <v>VSM</v>
      </c>
      <c r="K139" s="155" t="str">
        <f t="shared" si="145"/>
        <v>Heavy Oil</v>
      </c>
      <c r="L139" s="578" t="str">
        <f t="shared" si="145"/>
        <v>P</v>
      </c>
      <c r="M139" s="155">
        <f t="shared" si="145"/>
        <v>0</v>
      </c>
    </row>
  </sheetData>
  <autoFilter ref="J89:AA89" xr:uid="{BEFD9108-B7A7-4B47-A26B-A6F5A2B2A550}">
    <sortState xmlns:xlrd2="http://schemas.microsoft.com/office/spreadsheetml/2017/richdata2" ref="J90:AA102">
      <sortCondition ref="L89"/>
    </sortState>
  </autoFilter>
  <mergeCells count="12">
    <mergeCell ref="CD60:CQ60"/>
    <mergeCell ref="AI59:AV59"/>
    <mergeCell ref="AW59:BJ59"/>
    <mergeCell ref="AI88:AV88"/>
    <mergeCell ref="BK59:BX59"/>
    <mergeCell ref="AW88:BJ88"/>
    <mergeCell ref="BK88:BX88"/>
    <mergeCell ref="AA30:AM30"/>
    <mergeCell ref="R58:V58"/>
    <mergeCell ref="W58:Z58"/>
    <mergeCell ref="R87:V87"/>
    <mergeCell ref="W87:Z87"/>
  </mergeCells>
  <conditionalFormatting sqref="I5:I24">
    <cfRule type="containsBlanks" dxfId="80" priority="93">
      <formula>LEN(TRIM(I5))=0</formula>
    </cfRule>
  </conditionalFormatting>
  <conditionalFormatting sqref="K5:L16">
    <cfRule type="containsText" dxfId="79" priority="90" operator="containsText" text="Oil and Gas">
      <formula>NOT(ISERROR(SEARCH("Oil and Gas",K5)))</formula>
    </cfRule>
    <cfRule type="containsText" dxfId="78" priority="91" operator="containsText" text="Gas">
      <formula>NOT(ISERROR(SEARCH("Gas",K5)))</formula>
    </cfRule>
    <cfRule type="containsText" dxfId="77" priority="92" operator="containsText" text="Oil">
      <formula>NOT(ISERROR(SEARCH("Oil",K5)))</formula>
    </cfRule>
  </conditionalFormatting>
  <conditionalFormatting sqref="K17:L24">
    <cfRule type="containsText" dxfId="76" priority="83" operator="containsText" text="Oil and Gas">
      <formula>NOT(ISERROR(SEARCH("Oil and Gas",K17)))</formula>
    </cfRule>
    <cfRule type="containsText" dxfId="75" priority="84" operator="containsText" text="Gas">
      <formula>NOT(ISERROR(SEARCH("Gas",K17)))</formula>
    </cfRule>
    <cfRule type="containsText" dxfId="74" priority="85" operator="containsText" text="Oil">
      <formula>NOT(ISERROR(SEARCH("Oil",K17)))</formula>
    </cfRule>
  </conditionalFormatting>
  <conditionalFormatting sqref="Q5:Y24 W61:AA83">
    <cfRule type="cellIs" dxfId="73" priority="78" operator="equal">
      <formula>0</formula>
    </cfRule>
  </conditionalFormatting>
  <conditionalFormatting sqref="I32:I54">
    <cfRule type="containsBlanks" dxfId="72" priority="77">
      <formula>LEN(TRIM(I32))=0</formula>
    </cfRule>
  </conditionalFormatting>
  <conditionalFormatting sqref="K32:L43">
    <cfRule type="containsText" dxfId="71" priority="74" operator="containsText" text="Oil and Gas">
      <formula>NOT(ISERROR(SEARCH("Oil and Gas",K32)))</formula>
    </cfRule>
    <cfRule type="containsText" dxfId="70" priority="75" operator="containsText" text="Gas">
      <formula>NOT(ISERROR(SEARCH("Gas",K32)))</formula>
    </cfRule>
    <cfRule type="containsText" dxfId="69" priority="76" operator="containsText" text="Oil">
      <formula>NOT(ISERROR(SEARCH("Oil",K32)))</formula>
    </cfRule>
  </conditionalFormatting>
  <conditionalFormatting sqref="K44:L54">
    <cfRule type="containsText" dxfId="68" priority="71" operator="containsText" text="Oil and Gas">
      <formula>NOT(ISERROR(SEARCH("Oil and Gas",K44)))</formula>
    </cfRule>
    <cfRule type="containsText" dxfId="67" priority="72" operator="containsText" text="Gas">
      <formula>NOT(ISERROR(SEARCH("Gas",K44)))</formula>
    </cfRule>
    <cfRule type="containsText" dxfId="66" priority="73" operator="containsText" text="Oil">
      <formula>NOT(ISERROR(SEARCH("Oil",K44)))</formula>
    </cfRule>
  </conditionalFormatting>
  <conditionalFormatting sqref="Q32:Y54">
    <cfRule type="cellIs" dxfId="65" priority="66" operator="equal">
      <formula>0</formula>
    </cfRule>
  </conditionalFormatting>
  <conditionalFormatting sqref="I61:I80">
    <cfRule type="containsBlanks" dxfId="64" priority="65">
      <formula>LEN(TRIM(I61))=0</formula>
    </cfRule>
  </conditionalFormatting>
  <conditionalFormatting sqref="K61:L72">
    <cfRule type="containsText" dxfId="63" priority="62" operator="containsText" text="Oil and Gas">
      <formula>NOT(ISERROR(SEARCH("Oil and Gas",K61)))</formula>
    </cfRule>
    <cfRule type="containsText" dxfId="62" priority="63" operator="containsText" text="Gas">
      <formula>NOT(ISERROR(SEARCH("Gas",K61)))</formula>
    </cfRule>
    <cfRule type="containsText" dxfId="61" priority="64" operator="containsText" text="Oil">
      <formula>NOT(ISERROR(SEARCH("Oil",K61)))</formula>
    </cfRule>
  </conditionalFormatting>
  <conditionalFormatting sqref="K73:L83">
    <cfRule type="containsText" dxfId="60" priority="59" operator="containsText" text="Oil and Gas">
      <formula>NOT(ISERROR(SEARCH("Oil and Gas",K73)))</formula>
    </cfRule>
    <cfRule type="containsText" dxfId="59" priority="60" operator="containsText" text="Gas">
      <formula>NOT(ISERROR(SEARCH("Gas",K73)))</formula>
    </cfRule>
    <cfRule type="containsText" dxfId="58" priority="61" operator="containsText" text="Oil">
      <formula>NOT(ISERROR(SEARCH("Oil",K73)))</formula>
    </cfRule>
  </conditionalFormatting>
  <conditionalFormatting sqref="N61:N83">
    <cfRule type="cellIs" dxfId="57" priority="54" operator="equal">
      <formula>0</formula>
    </cfRule>
  </conditionalFormatting>
  <conditionalFormatting sqref="R61:V83">
    <cfRule type="cellIs" dxfId="56" priority="53" operator="equal">
      <formula>0</formula>
    </cfRule>
  </conditionalFormatting>
  <conditionalFormatting sqref="P61:P83">
    <cfRule type="cellIs" dxfId="55" priority="51" operator="equal">
      <formula>0</formula>
    </cfRule>
  </conditionalFormatting>
  <conditionalFormatting sqref="Q61:Q83">
    <cfRule type="cellIs" dxfId="54" priority="50" operator="equal">
      <formula>0</formula>
    </cfRule>
  </conditionalFormatting>
  <conditionalFormatting sqref="M90">
    <cfRule type="containsBlanks" dxfId="53" priority="49">
      <formula>LEN(TRIM(M90))=0</formula>
    </cfRule>
  </conditionalFormatting>
  <conditionalFormatting sqref="N90:V102">
    <cfRule type="cellIs" dxfId="52" priority="48" operator="equal">
      <formula>0</formula>
    </cfRule>
  </conditionalFormatting>
  <conditionalFormatting sqref="W90:Z102">
    <cfRule type="cellIs" dxfId="51" priority="47" operator="equal">
      <formula>0</formula>
    </cfRule>
  </conditionalFormatting>
  <conditionalFormatting sqref="AA90:AA102">
    <cfRule type="cellIs" dxfId="50" priority="46" operator="equal">
      <formula>0</formula>
    </cfRule>
  </conditionalFormatting>
  <conditionalFormatting sqref="DS61:DW80">
    <cfRule type="cellIs" dxfId="49" priority="29" operator="equal">
      <formula>0</formula>
    </cfRule>
  </conditionalFormatting>
  <conditionalFormatting sqref="DE61:DF72">
    <cfRule type="containsText" dxfId="48" priority="25" operator="containsText" text="Oil and Gas">
      <formula>NOT(ISERROR(SEARCH("Oil and Gas",DE61)))</formula>
    </cfRule>
    <cfRule type="containsText" dxfId="47" priority="26" operator="containsText" text="Gas">
      <formula>NOT(ISERROR(SEARCH("Gas",DE61)))</formula>
    </cfRule>
    <cfRule type="containsText" dxfId="46" priority="27" operator="containsText" text="Oil">
      <formula>NOT(ISERROR(SEARCH("Oil",DE61)))</formula>
    </cfRule>
  </conditionalFormatting>
  <conditionalFormatting sqref="DE73:DF80">
    <cfRule type="containsText" dxfId="45" priority="22" operator="containsText" text="Oil and Gas">
      <formula>NOT(ISERROR(SEARCH("Oil and Gas",DE73)))</formula>
    </cfRule>
    <cfRule type="containsText" dxfId="44" priority="23" operator="containsText" text="Gas">
      <formula>NOT(ISERROR(SEARCH("Gas",DE73)))</formula>
    </cfRule>
    <cfRule type="containsText" dxfId="43" priority="24" operator="containsText" text="Oil">
      <formula>NOT(ISERROR(SEARCH("Oil",DE73)))</formula>
    </cfRule>
  </conditionalFormatting>
  <conditionalFormatting sqref="DH61:DH80">
    <cfRule type="cellIs" dxfId="42" priority="17" operator="equal">
      <formula>0</formula>
    </cfRule>
  </conditionalFormatting>
  <conditionalFormatting sqref="DN61:DR80">
    <cfRule type="cellIs" dxfId="41" priority="16" operator="equal">
      <formula>0</formula>
    </cfRule>
  </conditionalFormatting>
  <conditionalFormatting sqref="DJ61:DJ80">
    <cfRule type="cellIs" dxfId="40" priority="15" operator="equal">
      <formula>0</formula>
    </cfRule>
  </conditionalFormatting>
  <conditionalFormatting sqref="DK61:DK80">
    <cfRule type="cellIs" dxfId="39" priority="14" operator="equal">
      <formula>0</formula>
    </cfRule>
  </conditionalFormatting>
  <conditionalFormatting sqref="AB90:AC102">
    <cfRule type="cellIs" dxfId="38" priority="13" operator="equal">
      <formula>0</formula>
    </cfRule>
  </conditionalFormatting>
  <conditionalFormatting sqref="DF90">
    <cfRule type="containsBlanks" dxfId="37" priority="12">
      <formula>LEN(TRIM(DF90))=0</formula>
    </cfRule>
  </conditionalFormatting>
  <conditionalFormatting sqref="DG90:DH95 DG97:DI97">
    <cfRule type="cellIs" dxfId="36" priority="11" operator="equal">
      <formula>0</formula>
    </cfRule>
  </conditionalFormatting>
  <conditionalFormatting sqref="DM90:DQ95">
    <cfRule type="cellIs" dxfId="35" priority="10" operator="equal">
      <formula>0</formula>
    </cfRule>
  </conditionalFormatting>
  <conditionalFormatting sqref="DI90:DI95">
    <cfRule type="cellIs" dxfId="34" priority="9" operator="equal">
      <formula>0</formula>
    </cfRule>
  </conditionalFormatting>
  <conditionalFormatting sqref="DL90:DL96">
    <cfRule type="cellIs" dxfId="33" priority="8" operator="equal">
      <formula>0</formula>
    </cfRule>
  </conditionalFormatting>
  <conditionalFormatting sqref="DM97:DQ97">
    <cfRule type="cellIs" dxfId="32" priority="6" operator="equal">
      <formula>0</formula>
    </cfRule>
  </conditionalFormatting>
  <conditionalFormatting sqref="AH90:BJ102">
    <cfRule type="cellIs" dxfId="31" priority="5" operator="equal">
      <formula>0</formula>
    </cfRule>
  </conditionalFormatting>
  <conditionalFormatting sqref="BK90:BX102">
    <cfRule type="cellIs" dxfId="30" priority="3" operator="equal">
      <formula>0</formula>
    </cfRule>
  </conditionalFormatting>
  <conditionalFormatting sqref="M108">
    <cfRule type="containsBlanks" dxfId="17" priority="2">
      <formula>LEN(TRIM(M108))=0</formula>
    </cfRule>
  </conditionalFormatting>
  <conditionalFormatting sqref="M127">
    <cfRule type="containsBlanks" dxfId="16" priority="1">
      <formula>LEN(TRIM(M127))=0</formula>
    </cfRule>
  </conditionalFormatting>
  <pageMargins left="0.7" right="0.7" top="0.75" bottom="0.75" header="0.3" footer="0.3"/>
  <pageSetup paperSize="9" orientation="portrait" r:id="rId1"/>
  <ignoredErrors>
    <ignoredError sqref="P90:P95 AF90:AF102 BO75" formula="1"/>
  </ignoredErrors>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79" operator="containsText" id="{E426D479-C00D-4D12-87DA-A5CC5D2C967F}">
            <xm:f>NOT(ISERROR(SEARCH($I$8,J5)))</xm:f>
            <xm:f>$I$8</xm:f>
            <x14:dxf>
              <fill>
                <patternFill>
                  <bgColor theme="7" tint="0.79998168889431442"/>
                </patternFill>
              </fill>
            </x14:dxf>
          </x14:cfRule>
          <x14:cfRule type="containsText" priority="80" operator="containsText" id="{EFC91A7F-DF34-40D0-9009-60D5ED70E3E1}">
            <xm:f>NOT(ISERROR(SEARCH($I$7,J5)))</xm:f>
            <xm:f>$I$7</xm:f>
            <x14:dxf>
              <fill>
                <patternFill>
                  <bgColor theme="5" tint="0.79998168889431442"/>
                </patternFill>
              </fill>
            </x14:dxf>
          </x14:cfRule>
          <x14:cfRule type="containsText" priority="81" operator="containsText" id="{90D23800-7152-4BA1-ACEB-1A926D949FC1}">
            <xm:f>NOT(ISERROR(SEARCH($I$6,J5)))</xm:f>
            <xm:f>$I$6</xm:f>
            <x14:dxf>
              <fill>
                <patternFill>
                  <bgColor theme="0" tint="-0.24994659260841701"/>
                </patternFill>
              </fill>
            </x14:dxf>
          </x14:cfRule>
          <x14:cfRule type="containsText" priority="82" operator="containsText" id="{36B538CF-C6E3-43C6-AB52-EC03B24B3533}">
            <xm:f>NOT(ISERROR(SEARCH($I$5,J5)))</xm:f>
            <xm:f>$I$5</xm:f>
            <x14:dxf>
              <fill>
                <patternFill>
                  <bgColor theme="0" tint="-0.34998626667073579"/>
                </patternFill>
              </fill>
            </x14:dxf>
          </x14:cfRule>
          <xm:sqref>M5:M24 M61:M81 M83 J82</xm:sqref>
        </x14:conditionalFormatting>
        <x14:conditionalFormatting xmlns:xm="http://schemas.microsoft.com/office/excel/2006/main">
          <x14:cfRule type="containsText" priority="67" operator="containsText" id="{1E6AAD92-B6E8-4AA7-8E0B-9D57CFDC9D19}">
            <xm:f>NOT(ISERROR(SEARCH($I$8,M32)))</xm:f>
            <xm:f>$I$8</xm:f>
            <x14:dxf>
              <fill>
                <patternFill>
                  <bgColor theme="7" tint="0.79998168889431442"/>
                </patternFill>
              </fill>
            </x14:dxf>
          </x14:cfRule>
          <x14:cfRule type="containsText" priority="68" operator="containsText" id="{95BACFEB-B2A0-443D-95E3-E05996ADD04C}">
            <xm:f>NOT(ISERROR(SEARCH($I$7,M32)))</xm:f>
            <xm:f>$I$7</xm:f>
            <x14:dxf>
              <fill>
                <patternFill>
                  <bgColor theme="5" tint="0.79998168889431442"/>
                </patternFill>
              </fill>
            </x14:dxf>
          </x14:cfRule>
          <x14:cfRule type="containsText" priority="69" operator="containsText" id="{572D0E88-D465-48B6-B56C-418B3A0A929D}">
            <xm:f>NOT(ISERROR(SEARCH($I$6,M32)))</xm:f>
            <xm:f>$I$6</xm:f>
            <x14:dxf>
              <fill>
                <patternFill>
                  <bgColor theme="0" tint="-0.24994659260841701"/>
                </patternFill>
              </fill>
            </x14:dxf>
          </x14:cfRule>
          <x14:cfRule type="containsText" priority="70" operator="containsText" id="{40A88DC0-1E1C-47E1-AAFF-63191854C578}">
            <xm:f>NOT(ISERROR(SEARCH($I$5,M32)))</xm:f>
            <xm:f>$I$5</xm:f>
            <x14:dxf>
              <fill>
                <patternFill>
                  <bgColor theme="0" tint="-0.34998626667073579"/>
                </patternFill>
              </fill>
            </x14:dxf>
          </x14:cfRule>
          <xm:sqref>M32:M54</xm:sqref>
        </x14:conditionalFormatting>
        <x14:conditionalFormatting xmlns:xm="http://schemas.microsoft.com/office/excel/2006/main">
          <x14:cfRule type="containsText" priority="18" operator="containsText" id="{812B0EAC-02E2-4623-9BB1-5DCEB8797CEF}">
            <xm:f>NOT(ISERROR(SEARCH($I$8,DG61)))</xm:f>
            <xm:f>$I$8</xm:f>
            <x14:dxf>
              <fill>
                <patternFill>
                  <bgColor theme="7" tint="0.79998168889431442"/>
                </patternFill>
              </fill>
            </x14:dxf>
          </x14:cfRule>
          <x14:cfRule type="containsText" priority="19" operator="containsText" id="{145CD0CF-D24A-4A66-B056-3E4B41263839}">
            <xm:f>NOT(ISERROR(SEARCH($I$7,DG61)))</xm:f>
            <xm:f>$I$7</xm:f>
            <x14:dxf>
              <fill>
                <patternFill>
                  <bgColor theme="5" tint="0.79998168889431442"/>
                </patternFill>
              </fill>
            </x14:dxf>
          </x14:cfRule>
          <x14:cfRule type="containsText" priority="20" operator="containsText" id="{8D1B8649-9A46-4492-80C5-51BCB48E184B}">
            <xm:f>NOT(ISERROR(SEARCH($I$6,DG61)))</xm:f>
            <xm:f>$I$6</xm:f>
            <x14:dxf>
              <fill>
                <patternFill>
                  <bgColor theme="0" tint="-0.24994659260841701"/>
                </patternFill>
              </fill>
            </x14:dxf>
          </x14:cfRule>
          <x14:cfRule type="containsText" priority="21" operator="containsText" id="{2A7324C7-DF73-41C5-9EB9-EEC02ECE8EDB}">
            <xm:f>NOT(ISERROR(SEARCH($I$5,DG61)))</xm:f>
            <xm:f>$I$5</xm:f>
            <x14:dxf>
              <fill>
                <patternFill>
                  <bgColor theme="0" tint="-0.34998626667073579"/>
                </patternFill>
              </fill>
            </x14:dxf>
          </x14:cfRule>
          <xm:sqref>DG61:DG80</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95EDB-C003-4F59-843F-A883A4E67E9D}">
  <dimension ref="A3:AJ92"/>
  <sheetViews>
    <sheetView showGridLines="0" topLeftCell="Y1" zoomScale="130" zoomScaleNormal="130" workbookViewId="0">
      <selection activeCell="AJ16" sqref="AJ8:AJ16"/>
    </sheetView>
  </sheetViews>
  <sheetFormatPr baseColWidth="10" defaultRowHeight="15" x14ac:dyDescent="0.25"/>
  <cols>
    <col min="1" max="2" width="11.42578125" style="757"/>
    <col min="3" max="3" width="17.42578125" style="757" customWidth="1"/>
    <col min="4" max="8" width="11.42578125" style="757"/>
    <col min="9" max="9" width="22.42578125" style="757" customWidth="1"/>
    <col min="10" max="10" width="14.85546875" style="757" customWidth="1"/>
    <col min="11" max="11" width="13.7109375" style="757" customWidth="1"/>
    <col min="12" max="12" width="11.28515625" style="757" customWidth="1"/>
    <col min="13" max="13" width="10.85546875" style="757" customWidth="1"/>
    <col min="14" max="14" width="4.140625" style="757" customWidth="1"/>
    <col min="15" max="15" width="15.28515625" style="757" customWidth="1"/>
    <col min="16" max="16" width="14.42578125" style="757" customWidth="1"/>
    <col min="17" max="17" width="11.42578125" style="757"/>
    <col min="18" max="18" width="5.85546875" style="757" customWidth="1"/>
    <col min="19" max="19" width="18.85546875" style="757" customWidth="1"/>
    <col min="20" max="20" width="20.28515625" style="757" bestFit="1" customWidth="1"/>
    <col min="21" max="21" width="11.42578125" style="757"/>
    <col min="22" max="22" width="21.140625" style="757" customWidth="1"/>
    <col min="23" max="23" width="12.5703125" style="757" customWidth="1"/>
    <col min="24" max="24" width="11.42578125" style="757"/>
    <col min="25" max="25" width="7.85546875" customWidth="1"/>
    <col min="26" max="26" width="5.7109375" customWidth="1"/>
    <col min="28" max="28" width="12.28515625" customWidth="1"/>
    <col min="29" max="29" width="11.5703125" customWidth="1"/>
    <col min="32" max="32" width="14.140625" customWidth="1"/>
  </cols>
  <sheetData>
    <row r="3" spans="3:36" x14ac:dyDescent="0.25">
      <c r="C3" s="757" t="s">
        <v>1075</v>
      </c>
      <c r="J3" s="765" t="s">
        <v>1076</v>
      </c>
      <c r="K3" s="765"/>
      <c r="L3" s="765"/>
      <c r="M3" s="765"/>
      <c r="N3" s="765"/>
      <c r="O3" s="765"/>
      <c r="P3" s="765"/>
      <c r="Q3" s="765"/>
      <c r="R3" s="765"/>
      <c r="S3" s="765"/>
      <c r="T3" s="765"/>
      <c r="U3" s="765"/>
      <c r="W3" s="757" t="s">
        <v>1093</v>
      </c>
      <c r="AF3" t="s">
        <v>1108</v>
      </c>
    </row>
    <row r="5" spans="3:36" x14ac:dyDescent="0.25">
      <c r="J5" s="757" t="s">
        <v>1077</v>
      </c>
      <c r="O5" s="757" t="s">
        <v>1078</v>
      </c>
      <c r="S5" s="757" t="s">
        <v>1085</v>
      </c>
      <c r="W5" s="757" t="s">
        <v>1106</v>
      </c>
      <c r="AA5" t="s">
        <v>1107</v>
      </c>
      <c r="AF5" t="s">
        <v>1112</v>
      </c>
      <c r="AJ5" t="s">
        <v>1113</v>
      </c>
    </row>
    <row r="7" spans="3:36" x14ac:dyDescent="0.25">
      <c r="W7" s="317" t="s">
        <v>11</v>
      </c>
      <c r="X7" s="318" t="s">
        <v>12</v>
      </c>
      <c r="Y7" s="318" t="s">
        <v>31</v>
      </c>
      <c r="AA7" s="317" t="s">
        <v>11</v>
      </c>
      <c r="AB7" s="318" t="s">
        <v>13</v>
      </c>
      <c r="AC7" s="327" t="s">
        <v>951</v>
      </c>
      <c r="AF7" s="317" t="s">
        <v>11</v>
      </c>
      <c r="AG7" s="327" t="s">
        <v>14</v>
      </c>
      <c r="AH7" s="772" t="s">
        <v>626</v>
      </c>
    </row>
    <row r="8" spans="3:36" x14ac:dyDescent="0.25">
      <c r="C8" s="374" t="s">
        <v>11</v>
      </c>
      <c r="D8" s="766" t="s">
        <v>13</v>
      </c>
      <c r="E8" s="766" t="s">
        <v>14</v>
      </c>
      <c r="F8" s="766" t="s">
        <v>937</v>
      </c>
      <c r="G8" s="766" t="s">
        <v>938</v>
      </c>
      <c r="H8" s="766" t="s">
        <v>31</v>
      </c>
      <c r="J8" s="374" t="s">
        <v>11</v>
      </c>
      <c r="K8" s="340" t="s">
        <v>1</v>
      </c>
      <c r="L8" s="340" t="s">
        <v>625</v>
      </c>
      <c r="M8" s="340" t="s">
        <v>552</v>
      </c>
      <c r="O8" s="767" t="s">
        <v>11</v>
      </c>
      <c r="P8" s="766" t="s">
        <v>12</v>
      </c>
      <c r="Q8" s="766" t="s">
        <v>153</v>
      </c>
      <c r="S8" s="374" t="s">
        <v>11</v>
      </c>
      <c r="T8" s="768" t="s">
        <v>13</v>
      </c>
      <c r="U8" s="768" t="s">
        <v>31</v>
      </c>
      <c r="W8" t="s">
        <v>1094</v>
      </c>
      <c r="X8" t="s">
        <v>1086</v>
      </c>
      <c r="Y8" s="289">
        <v>1</v>
      </c>
      <c r="AA8" t="s">
        <v>1094</v>
      </c>
      <c r="AB8" t="s">
        <v>1100</v>
      </c>
      <c r="AC8" s="298">
        <f>+('5. Data'!O90-'5. Data'!S90)/('5. Data'!AH90-'5. Data'!S90)</f>
        <v>1</v>
      </c>
      <c r="AF8" s="19" t="str" cm="1">
        <f t="array" ref="AF8:AF13">+_xlfn.ANCHORARRAY(PROCESS!N84)</f>
        <v>PLT-CAM1</v>
      </c>
      <c r="AG8" s="19" t="s">
        <v>552</v>
      </c>
      <c r="AH8" s="436" cm="1">
        <f t="array" ref="AH8:AH13">+'5. Data'!N127:N132</f>
        <v>5.6186813035864835</v>
      </c>
      <c r="AJ8" s="57"/>
    </row>
    <row r="9" spans="3:36" x14ac:dyDescent="0.25">
      <c r="C9" s="758" t="str" cm="1">
        <f t="array" ref="C9:C14">+PROCESS!D24:D29</f>
        <v>MIN-CAM1</v>
      </c>
      <c r="D9" s="758" t="str" cm="1">
        <f t="array" ref="D9:D14">+COMM!D20:D25</f>
        <v>R-CAM1</v>
      </c>
      <c r="E9" s="759" t="s">
        <v>552</v>
      </c>
      <c r="F9" s="760" cm="1">
        <f t="array" ref="F9:F14">+'5. Data'!AB90:AB95</f>
        <v>266.73883552000007</v>
      </c>
      <c r="G9" s="769">
        <v>1E-4</v>
      </c>
      <c r="H9" s="761">
        <v>1</v>
      </c>
      <c r="J9" s="759" t="str">
        <f>+PROCESS!N24</f>
        <v>PROF-CAM1</v>
      </c>
      <c r="K9" s="759" t="s">
        <v>626</v>
      </c>
      <c r="L9" s="759" cm="1">
        <f t="array" ref="L9:L22">+TRANSPOSE('5. Data'!AI89:AV89)</f>
        <v>2019</v>
      </c>
      <c r="M9" s="762" cm="1">
        <f t="array" ref="M9:M22">+TRANSPOSE('5. Data'!AI90:AV90)</f>
        <v>68.585731940983607</v>
      </c>
      <c r="O9" s="763" t="s">
        <v>989</v>
      </c>
      <c r="P9" s="763" t="s">
        <v>1079</v>
      </c>
      <c r="Q9" s="764">
        <f>100%-Q10</f>
        <v>0.98952880617307648</v>
      </c>
      <c r="S9" s="757" t="s">
        <v>989</v>
      </c>
      <c r="T9" s="757" t="s">
        <v>1086</v>
      </c>
      <c r="U9" s="442">
        <f>+('5. Data'!AH90-'5. Data'!S90)/'5. Data'!AH90</f>
        <v>0.99864638182395205</v>
      </c>
      <c r="W9" t="s">
        <v>1095</v>
      </c>
      <c r="X9" t="s">
        <v>1087</v>
      </c>
      <c r="Y9" s="289">
        <v>1</v>
      </c>
      <c r="AA9" t="s">
        <v>1095</v>
      </c>
      <c r="AB9" t="s">
        <v>1007</v>
      </c>
      <c r="AC9" s="298">
        <f>+('5. Data'!O91-'5. Data'!S91)/('5. Data'!AH91-'5. Data'!S91)</f>
        <v>0.7014363033114478</v>
      </c>
      <c r="AF9" s="19" t="str">
        <v>PLT-CAM2</v>
      </c>
      <c r="AG9" s="19" t="s">
        <v>552</v>
      </c>
      <c r="AH9" s="436">
        <v>69.637902700685089</v>
      </c>
    </row>
    <row r="10" spans="3:36" x14ac:dyDescent="0.25">
      <c r="C10" s="758" t="str">
        <v>MIN-CAM2</v>
      </c>
      <c r="D10" s="758" t="str">
        <v>R-CAM2</v>
      </c>
      <c r="E10" s="759" t="s">
        <v>552</v>
      </c>
      <c r="F10" s="760">
        <v>2182.2418034400002</v>
      </c>
      <c r="G10" s="769">
        <v>1E-4</v>
      </c>
      <c r="H10" s="761">
        <v>1</v>
      </c>
      <c r="J10" s="759"/>
      <c r="K10" s="759" t="s">
        <v>626</v>
      </c>
      <c r="L10" s="759">
        <v>2020</v>
      </c>
      <c r="M10" s="762">
        <v>48.786177197519166</v>
      </c>
      <c r="O10" s="763"/>
      <c r="P10" s="763" t="s">
        <v>995</v>
      </c>
      <c r="Q10" s="764">
        <f>+'5. Data'!N108/(1+'5. Data'!N108)</f>
        <v>1.0471193826923493E-2</v>
      </c>
      <c r="S10" s="757" t="s">
        <v>990</v>
      </c>
      <c r="T10" s="757" t="s">
        <v>1087</v>
      </c>
      <c r="U10" s="442">
        <f>+('5. Data'!AH91-'5. Data'!S91)/'5. Data'!AH91</f>
        <v>0.99102804789693677</v>
      </c>
      <c r="W10" t="s">
        <v>1096</v>
      </c>
      <c r="X10" t="s">
        <v>1088</v>
      </c>
      <c r="Y10" s="289">
        <v>1</v>
      </c>
      <c r="AB10" t="s">
        <v>1101</v>
      </c>
      <c r="AC10" s="298">
        <f>100%-AC9</f>
        <v>0.2985636966885522</v>
      </c>
      <c r="AF10" s="19" t="str">
        <v>PLT-CAM3</v>
      </c>
      <c r="AG10" s="19" t="s">
        <v>552</v>
      </c>
      <c r="AH10" s="436">
        <v>0.4330294316488485</v>
      </c>
    </row>
    <row r="11" spans="3:36" x14ac:dyDescent="0.25">
      <c r="C11" s="758" t="str">
        <v>MIN-CAM3</v>
      </c>
      <c r="D11" s="758" t="str">
        <v>R-CAM3</v>
      </c>
      <c r="E11" s="759" t="s">
        <v>552</v>
      </c>
      <c r="F11" s="760">
        <v>7958.3611650879984</v>
      </c>
      <c r="G11" s="769">
        <v>1E-4</v>
      </c>
      <c r="H11" s="761">
        <v>1</v>
      </c>
      <c r="J11" s="759"/>
      <c r="K11" s="759" t="s">
        <v>626</v>
      </c>
      <c r="L11" s="759">
        <v>2023</v>
      </c>
      <c r="M11" s="762">
        <v>43.035587284288795</v>
      </c>
      <c r="O11" s="763" t="s">
        <v>990</v>
      </c>
      <c r="P11" s="763" t="s">
        <v>1080</v>
      </c>
      <c r="Q11" s="764">
        <f>100%-Q12</f>
        <v>0.98952880617307648</v>
      </c>
      <c r="S11" s="757" t="s">
        <v>991</v>
      </c>
      <c r="T11" s="757" t="s">
        <v>1088</v>
      </c>
      <c r="U11" s="442">
        <f>+('5. Data'!AH92-'5. Data'!S92)/'5. Data'!AH92</f>
        <v>0.99822310952824356</v>
      </c>
      <c r="W11" t="s">
        <v>1097</v>
      </c>
      <c r="X11" t="s">
        <v>1089</v>
      </c>
      <c r="Y11" s="289">
        <v>1</v>
      </c>
      <c r="AA11" t="s">
        <v>1096</v>
      </c>
      <c r="AB11" t="s">
        <v>1008</v>
      </c>
      <c r="AC11" s="265">
        <f>+('5. Data'!O92-'5. Data'!S92)/('5. Data'!AH92-'5. Data'!S92)</f>
        <v>1.0474627382808092E-3</v>
      </c>
      <c r="AF11" s="19" t="str">
        <v>PLT-CAM4</v>
      </c>
      <c r="AG11" s="19" t="s">
        <v>552</v>
      </c>
      <c r="AH11" s="436">
        <v>0</v>
      </c>
    </row>
    <row r="12" spans="3:36" x14ac:dyDescent="0.25">
      <c r="C12" s="758" t="str">
        <v>MIN-CAM4</v>
      </c>
      <c r="D12" s="758" t="str">
        <v>R-CAM4</v>
      </c>
      <c r="E12" s="759" t="s">
        <v>552</v>
      </c>
      <c r="F12" s="760">
        <v>44.660401360000002</v>
      </c>
      <c r="G12" s="769">
        <v>1E-4</v>
      </c>
      <c r="H12" s="761">
        <v>1</v>
      </c>
      <c r="J12" s="759"/>
      <c r="K12" s="759" t="s">
        <v>626</v>
      </c>
      <c r="L12" s="759">
        <v>2025</v>
      </c>
      <c r="M12" s="762">
        <v>34.570563154586416</v>
      </c>
      <c r="O12" s="763"/>
      <c r="P12" s="763" t="s">
        <v>996</v>
      </c>
      <c r="Q12" s="764">
        <f>+'5. Data'!N109/(1+'5. Data'!N109)</f>
        <v>1.0471193826923493E-2</v>
      </c>
      <c r="S12" s="757" t="s">
        <v>992</v>
      </c>
      <c r="T12" s="757" t="s">
        <v>1089</v>
      </c>
      <c r="U12" s="442">
        <f>+('5. Data'!AH93-'5. Data'!S93)/'5. Data'!AH93</f>
        <v>0.7735806069794926</v>
      </c>
      <c r="W12" t="s">
        <v>1098</v>
      </c>
      <c r="X12" t="s">
        <v>1090</v>
      </c>
      <c r="Y12" s="289">
        <v>1</v>
      </c>
      <c r="AB12" t="s">
        <v>1102</v>
      </c>
      <c r="AC12" s="298">
        <f>100%-AC11</f>
        <v>0.99895253726171918</v>
      </c>
      <c r="AF12" s="19" t="str">
        <v>PLT-CAM5</v>
      </c>
      <c r="AG12" s="19" t="s">
        <v>552</v>
      </c>
      <c r="AH12" s="436">
        <v>1.3766222989813104</v>
      </c>
    </row>
    <row r="13" spans="3:36" x14ac:dyDescent="0.25">
      <c r="C13" s="758" t="str">
        <v>MIN-CAM5</v>
      </c>
      <c r="D13" s="758" t="str">
        <v>R-CAM5</v>
      </c>
      <c r="E13" s="759" t="s">
        <v>552</v>
      </c>
      <c r="F13" s="760">
        <v>1100.1753392559999</v>
      </c>
      <c r="G13" s="769">
        <v>1E-4</v>
      </c>
      <c r="H13" s="761">
        <v>1</v>
      </c>
      <c r="J13" s="759"/>
      <c r="K13" s="759" t="s">
        <v>626</v>
      </c>
      <c r="L13" s="759">
        <v>2027</v>
      </c>
      <c r="M13" s="762">
        <v>27.716174687025134</v>
      </c>
      <c r="O13" s="763" t="s">
        <v>991</v>
      </c>
      <c r="P13" s="763" t="s">
        <v>1081</v>
      </c>
      <c r="Q13" s="764">
        <f>100%-Q14</f>
        <v>0.98952880617307648</v>
      </c>
      <c r="S13" s="757" t="s">
        <v>993</v>
      </c>
      <c r="T13" s="757" t="s">
        <v>1090</v>
      </c>
      <c r="U13" s="442">
        <f>+('5. Data'!AH94-'5. Data'!S94)/'5. Data'!AH94</f>
        <v>0.99534655375631631</v>
      </c>
      <c r="W13" t="s">
        <v>1099</v>
      </c>
      <c r="X13" t="s">
        <v>1091</v>
      </c>
      <c r="Y13" s="289">
        <v>1</v>
      </c>
      <c r="AA13" t="s">
        <v>1097</v>
      </c>
      <c r="AB13" t="s">
        <v>969</v>
      </c>
      <c r="AC13" s="63">
        <f>+('5. Data'!O93-'5. Data'!S93)/('5. Data'!AH93-'5. Data'!S93)</f>
        <v>0</v>
      </c>
      <c r="AF13" s="19" t="str">
        <v>PLT-CAM6</v>
      </c>
      <c r="AG13" s="19" t="s">
        <v>552</v>
      </c>
      <c r="AH13" s="436">
        <v>1.0198649246869729</v>
      </c>
    </row>
    <row r="14" spans="3:36" x14ac:dyDescent="0.25">
      <c r="C14" s="758" t="str">
        <v>MIN-CAM6</v>
      </c>
      <c r="D14" s="758" t="str">
        <v>R-CAM6</v>
      </c>
      <c r="E14" s="759" t="s">
        <v>552</v>
      </c>
      <c r="F14" s="760">
        <v>317.27238555200006</v>
      </c>
      <c r="G14" s="769">
        <v>1E-4</v>
      </c>
      <c r="H14" s="761">
        <v>1</v>
      </c>
      <c r="J14" s="759"/>
      <c r="K14" s="759" t="s">
        <v>626</v>
      </c>
      <c r="L14" s="759">
        <v>2030</v>
      </c>
      <c r="M14" s="762">
        <v>5.2673740760556509</v>
      </c>
      <c r="O14" s="763"/>
      <c r="P14" s="763" t="s">
        <v>997</v>
      </c>
      <c r="Q14" s="764">
        <f>+'5. Data'!N110/(1+'5. Data'!N110)</f>
        <v>1.0471193826923493E-2</v>
      </c>
      <c r="S14" s="757" t="s">
        <v>994</v>
      </c>
      <c r="T14" s="757" t="s">
        <v>1091</v>
      </c>
      <c r="U14" s="442">
        <f>+('5. Data'!AH95-'5. Data'!S95)/'5. Data'!AH95</f>
        <v>0.99191020232553617</v>
      </c>
      <c r="AB14" t="s">
        <v>1103</v>
      </c>
      <c r="AC14" s="298">
        <f>100%-('5. Data'!O93-'5. Data'!S93)/('5. Data'!AH93-'5. Data'!S93)</f>
        <v>1</v>
      </c>
    </row>
    <row r="15" spans="3:36" x14ac:dyDescent="0.25">
      <c r="J15" s="759"/>
      <c r="K15" s="759" t="s">
        <v>626</v>
      </c>
      <c r="L15" s="759">
        <v>2033</v>
      </c>
      <c r="M15" s="762">
        <v>3.6668988156729534</v>
      </c>
      <c r="O15" s="763" t="s">
        <v>992</v>
      </c>
      <c r="P15" s="763" t="s">
        <v>1082</v>
      </c>
      <c r="Q15" s="764">
        <f>100%-Q16</f>
        <v>0.98952880617307648</v>
      </c>
      <c r="AA15" t="s">
        <v>1098</v>
      </c>
      <c r="AB15" t="s">
        <v>1009</v>
      </c>
      <c r="AC15" s="298">
        <f>+('5. Data'!O94-'5. Data'!S94)/('5. Data'!AH94-'5. Data'!S94)</f>
        <v>2.446633894781371E-2</v>
      </c>
      <c r="AJ15" s="57"/>
    </row>
    <row r="16" spans="3:36" x14ac:dyDescent="0.25">
      <c r="J16" s="759"/>
      <c r="K16" s="759" t="s">
        <v>626</v>
      </c>
      <c r="L16" s="759">
        <v>2035</v>
      </c>
      <c r="M16" s="762">
        <v>2.86729599242289</v>
      </c>
      <c r="O16" s="763"/>
      <c r="P16" s="763" t="s">
        <v>998</v>
      </c>
      <c r="Q16" s="764">
        <f>+'5. Data'!N111/(1+'5. Data'!N111)</f>
        <v>1.0471193826923493E-2</v>
      </c>
      <c r="AB16" t="s">
        <v>1104</v>
      </c>
      <c r="AC16" s="298">
        <f>100%-AC15</f>
        <v>0.97553366105218631</v>
      </c>
    </row>
    <row r="17" spans="10:29" x14ac:dyDescent="0.25">
      <c r="J17" s="759"/>
      <c r="K17" s="759" t="s">
        <v>626</v>
      </c>
      <c r="L17" s="759">
        <v>2037</v>
      </c>
      <c r="M17" s="762">
        <v>2.3371052350566992</v>
      </c>
      <c r="O17" s="763" t="s">
        <v>993</v>
      </c>
      <c r="P17" s="763" t="s">
        <v>1083</v>
      </c>
      <c r="Q17" s="764">
        <f>100%-Q18</f>
        <v>0.98952880617307648</v>
      </c>
      <c r="AA17" t="s">
        <v>1099</v>
      </c>
      <c r="AB17" t="s">
        <v>1010</v>
      </c>
      <c r="AC17" s="298">
        <f>+('5. Data'!O95-'5. Data'!S95)/('5. Data'!AH95-'5. Data'!S95)</f>
        <v>4.1419278412092878E-2</v>
      </c>
    </row>
    <row r="18" spans="10:29" x14ac:dyDescent="0.25">
      <c r="J18" s="759"/>
      <c r="K18" s="759" t="s">
        <v>626</v>
      </c>
      <c r="L18" s="759">
        <v>2040</v>
      </c>
      <c r="M18" s="762">
        <v>0</v>
      </c>
      <c r="O18" s="763"/>
      <c r="P18" s="763" t="s">
        <v>999</v>
      </c>
      <c r="Q18" s="764">
        <f>+'5. Data'!N112/(1+'5. Data'!N112)</f>
        <v>1.0471193826923493E-2</v>
      </c>
      <c r="S18" s="758"/>
      <c r="T18" s="758" t="s">
        <v>281</v>
      </c>
      <c r="AB18" t="s">
        <v>1105</v>
      </c>
      <c r="AC18" s="298">
        <f>100%-AC17</f>
        <v>0.95858072158790708</v>
      </c>
    </row>
    <row r="19" spans="10:29" x14ac:dyDescent="0.25">
      <c r="J19" s="759"/>
      <c r="K19" s="759" t="s">
        <v>626</v>
      </c>
      <c r="L19" s="759">
        <v>2043</v>
      </c>
      <c r="M19" s="762">
        <v>0</v>
      </c>
      <c r="O19" s="763" t="s">
        <v>994</v>
      </c>
      <c r="P19" s="763" t="s">
        <v>1084</v>
      </c>
      <c r="Q19" s="764">
        <f>100%-Q20</f>
        <v>0.98952880617307648</v>
      </c>
      <c r="S19" s="758" t="s">
        <v>1092</v>
      </c>
      <c r="T19" s="771">
        <f>+'Bases de Cálculo'!G6</f>
        <v>55.539114956987063</v>
      </c>
    </row>
    <row r="20" spans="10:29" x14ac:dyDescent="0.25">
      <c r="J20" s="759"/>
      <c r="K20" s="759" t="s">
        <v>626</v>
      </c>
      <c r="L20" s="759">
        <v>2045</v>
      </c>
      <c r="M20" s="762">
        <v>0</v>
      </c>
      <c r="O20" s="763"/>
      <c r="P20" s="763" t="s">
        <v>1000</v>
      </c>
      <c r="Q20" s="764">
        <f>+'5. Data'!N113/(1+'5. Data'!N113)</f>
        <v>1.0471193826923493E-2</v>
      </c>
    </row>
    <row r="21" spans="10:29" x14ac:dyDescent="0.25">
      <c r="J21" s="759"/>
      <c r="K21" s="759" t="s">
        <v>626</v>
      </c>
      <c r="L21" s="759">
        <v>2047</v>
      </c>
      <c r="M21" s="762">
        <v>0</v>
      </c>
    </row>
    <row r="22" spans="10:29" x14ac:dyDescent="0.25">
      <c r="J22" s="759"/>
      <c r="K22" s="759" t="s">
        <v>626</v>
      </c>
      <c r="L22" s="759">
        <v>2050</v>
      </c>
      <c r="M22" s="762">
        <v>0</v>
      </c>
    </row>
    <row r="23" spans="10:29" x14ac:dyDescent="0.25">
      <c r="J23" s="759" t="str">
        <f>+PROCESS!N25</f>
        <v>PROF-CAM2</v>
      </c>
      <c r="K23" s="759" t="s">
        <v>626</v>
      </c>
      <c r="L23" s="759">
        <v>2019</v>
      </c>
      <c r="M23" s="762" cm="1">
        <f t="array" ref="M23:M36">+TRANSPOSE('5. Data'!AI91:AV91)</f>
        <v>363.68563536317856</v>
      </c>
    </row>
    <row r="24" spans="10:29" x14ac:dyDescent="0.25">
      <c r="K24" s="759" t="s">
        <v>626</v>
      </c>
      <c r="L24" s="759">
        <v>2020</v>
      </c>
      <c r="M24" s="762">
        <v>357.03963544887284</v>
      </c>
      <c r="S24" s="461" t="s">
        <v>11</v>
      </c>
      <c r="T24" s="461" t="s">
        <v>13</v>
      </c>
      <c r="U24" s="461" t="s">
        <v>777</v>
      </c>
    </row>
    <row r="25" spans="10:29" x14ac:dyDescent="0.25">
      <c r="K25" s="759" t="s">
        <v>626</v>
      </c>
      <c r="L25" s="759">
        <v>2023</v>
      </c>
      <c r="M25" s="762">
        <v>291.71333965512213</v>
      </c>
      <c r="S25" s="759" t="str">
        <f>+S9</f>
        <v>PROF-CAM1</v>
      </c>
      <c r="T25" s="759" t="str">
        <f>+COMM!AK20</f>
        <v>CO2e-CAM1</v>
      </c>
      <c r="U25" s="770">
        <f t="shared" ref="U25:U30" si="0">+(100%-U9)*$T$19</f>
        <v>7.5178755487394514E-2</v>
      </c>
    </row>
    <row r="26" spans="10:29" x14ac:dyDescent="0.25">
      <c r="K26" s="759" t="s">
        <v>626</v>
      </c>
      <c r="L26" s="759">
        <v>2025</v>
      </c>
      <c r="M26" s="762">
        <v>219.06541620476196</v>
      </c>
      <c r="S26" s="759" t="str">
        <f t="shared" ref="S26:S30" si="1">+S10</f>
        <v>PROF-CAM2</v>
      </c>
      <c r="T26" s="349" t="str">
        <f>+COMM!AK21</f>
        <v>CO2e-CAM2</v>
      </c>
      <c r="U26" s="770">
        <f t="shared" si="0"/>
        <v>0.49829427924061059</v>
      </c>
    </row>
    <row r="27" spans="10:29" x14ac:dyDescent="0.25">
      <c r="K27" s="759" t="s">
        <v>626</v>
      </c>
      <c r="L27" s="759">
        <v>2027</v>
      </c>
      <c r="M27" s="762">
        <v>126.28578711913453</v>
      </c>
      <c r="S27" s="759" t="str">
        <f t="shared" si="1"/>
        <v>PROF-CAM3</v>
      </c>
      <c r="T27" s="349" t="str">
        <f>+COMM!AK22</f>
        <v>CO2e-CAM3</v>
      </c>
      <c r="U27" s="770">
        <f t="shared" si="0"/>
        <v>9.8686924176856039E-2</v>
      </c>
    </row>
    <row r="28" spans="10:29" x14ac:dyDescent="0.25">
      <c r="K28" s="759" t="s">
        <v>626</v>
      </c>
      <c r="L28" s="759">
        <v>2030</v>
      </c>
      <c r="M28" s="762">
        <v>93.858549318283977</v>
      </c>
      <c r="S28" s="759" t="str">
        <f t="shared" si="1"/>
        <v>PROF-CAM4</v>
      </c>
      <c r="T28" s="349" t="str">
        <f>+COMM!AK23</f>
        <v>CO2e-CAM4</v>
      </c>
      <c r="U28" s="770">
        <f t="shared" si="0"/>
        <v>12.575132697457194</v>
      </c>
    </row>
    <row r="29" spans="10:29" x14ac:dyDescent="0.25">
      <c r="K29" s="759" t="s">
        <v>626</v>
      </c>
      <c r="L29" s="759">
        <v>2033</v>
      </c>
      <c r="M29" s="762">
        <v>67.926190092891318</v>
      </c>
      <c r="S29" s="759" t="str">
        <f t="shared" si="1"/>
        <v>PROF-CAM5</v>
      </c>
      <c r="T29" s="349" t="str">
        <f>+COMM!AK24</f>
        <v>CO2e-CAM5</v>
      </c>
      <c r="U29" s="770">
        <f t="shared" si="0"/>
        <v>0.25844828587410806</v>
      </c>
    </row>
    <row r="30" spans="10:29" x14ac:dyDescent="0.25">
      <c r="K30" s="759" t="s">
        <v>626</v>
      </c>
      <c r="L30" s="759">
        <v>2035</v>
      </c>
      <c r="M30" s="762">
        <v>51.633133760529908</v>
      </c>
      <c r="S30" s="759" t="str">
        <f t="shared" si="1"/>
        <v>PROF-CAM6</v>
      </c>
      <c r="T30" s="349" t="str">
        <f>+COMM!AK25</f>
        <v>CO2e-CAM6</v>
      </c>
      <c r="U30" s="770">
        <f t="shared" si="0"/>
        <v>0.44930020302081314</v>
      </c>
    </row>
    <row r="31" spans="10:29" x14ac:dyDescent="0.25">
      <c r="K31" s="759" t="s">
        <v>626</v>
      </c>
      <c r="L31" s="759">
        <v>2037</v>
      </c>
      <c r="M31" s="762">
        <v>39.112638374469476</v>
      </c>
    </row>
    <row r="32" spans="10:29" x14ac:dyDescent="0.25">
      <c r="K32" s="759" t="s">
        <v>626</v>
      </c>
      <c r="L32" s="759">
        <v>2040</v>
      </c>
      <c r="M32" s="762">
        <v>23.3968962245543</v>
      </c>
    </row>
    <row r="33" spans="10:13" x14ac:dyDescent="0.25">
      <c r="K33" s="759" t="s">
        <v>626</v>
      </c>
      <c r="L33" s="759">
        <v>2043</v>
      </c>
      <c r="M33" s="762">
        <v>10.786632390437573</v>
      </c>
    </row>
    <row r="34" spans="10:13" x14ac:dyDescent="0.25">
      <c r="K34" s="759" t="s">
        <v>626</v>
      </c>
      <c r="L34" s="759">
        <v>2045</v>
      </c>
      <c r="M34" s="762">
        <v>9.0936013935059616</v>
      </c>
    </row>
    <row r="35" spans="10:13" x14ac:dyDescent="0.25">
      <c r="K35" s="759" t="s">
        <v>626</v>
      </c>
      <c r="L35" s="759">
        <v>2047</v>
      </c>
      <c r="M35" s="762">
        <v>8.1321048795691553</v>
      </c>
    </row>
    <row r="36" spans="10:13" x14ac:dyDescent="0.25">
      <c r="K36" s="759" t="s">
        <v>626</v>
      </c>
      <c r="L36" s="759">
        <v>2050</v>
      </c>
      <c r="M36" s="762">
        <v>6.6898601086639449</v>
      </c>
    </row>
    <row r="37" spans="10:13" x14ac:dyDescent="0.25">
      <c r="J37" s="759" t="str">
        <f>+PROCESS!N26</f>
        <v>PROF-CAM3</v>
      </c>
      <c r="K37" s="759" t="s">
        <v>626</v>
      </c>
      <c r="L37" s="759">
        <v>2019</v>
      </c>
      <c r="M37" s="762" cm="1">
        <f t="array" ref="M37:M50">+TRANSPOSE('5. Data'!AI92:AV92)</f>
        <v>726.70451084468357</v>
      </c>
    </row>
    <row r="38" spans="10:13" x14ac:dyDescent="0.25">
      <c r="K38" s="759" t="s">
        <v>626</v>
      </c>
      <c r="L38" s="759">
        <v>2020</v>
      </c>
      <c r="M38" s="762">
        <v>687.86225103060212</v>
      </c>
    </row>
    <row r="39" spans="10:13" x14ac:dyDescent="0.25">
      <c r="K39" s="759" t="s">
        <v>626</v>
      </c>
      <c r="L39" s="759">
        <v>2023</v>
      </c>
      <c r="M39" s="762">
        <v>385.85872204465466</v>
      </c>
    </row>
    <row r="40" spans="10:13" x14ac:dyDescent="0.25">
      <c r="K40" s="759" t="s">
        <v>626</v>
      </c>
      <c r="L40" s="759">
        <v>2025</v>
      </c>
      <c r="M40" s="762">
        <v>409.06901747594299</v>
      </c>
    </row>
    <row r="41" spans="10:13" x14ac:dyDescent="0.25">
      <c r="K41" s="759" t="s">
        <v>626</v>
      </c>
      <c r="L41" s="759">
        <v>2027</v>
      </c>
      <c r="M41" s="762">
        <v>369.35783750049205</v>
      </c>
    </row>
    <row r="42" spans="10:13" x14ac:dyDescent="0.25">
      <c r="K42" s="759" t="s">
        <v>626</v>
      </c>
      <c r="L42" s="759">
        <v>2030</v>
      </c>
      <c r="M42" s="762">
        <v>309.7910675373156</v>
      </c>
    </row>
    <row r="43" spans="10:13" x14ac:dyDescent="0.25">
      <c r="K43" s="759" t="s">
        <v>626</v>
      </c>
      <c r="L43" s="759">
        <v>2033</v>
      </c>
      <c r="M43" s="762">
        <v>196.2800040437545</v>
      </c>
    </row>
    <row r="44" spans="10:13" x14ac:dyDescent="0.25">
      <c r="K44" s="759" t="s">
        <v>626</v>
      </c>
      <c r="L44" s="759">
        <v>2035</v>
      </c>
      <c r="M44" s="762">
        <v>151.73365907601499</v>
      </c>
    </row>
    <row r="45" spans="10:13" x14ac:dyDescent="0.25">
      <c r="K45" s="759" t="s">
        <v>626</v>
      </c>
      <c r="L45" s="759">
        <v>2037</v>
      </c>
      <c r="M45" s="762">
        <v>35.113596160592415</v>
      </c>
    </row>
    <row r="46" spans="10:13" x14ac:dyDescent="0.25">
      <c r="K46" s="759" t="s">
        <v>626</v>
      </c>
      <c r="L46" s="759">
        <v>2040</v>
      </c>
      <c r="M46" s="762">
        <v>85.07145902842241</v>
      </c>
    </row>
    <row r="47" spans="10:13" x14ac:dyDescent="0.25">
      <c r="K47" s="759" t="s">
        <v>626</v>
      </c>
      <c r="L47" s="759">
        <v>2043</v>
      </c>
      <c r="M47" s="762">
        <v>76.155967420534168</v>
      </c>
    </row>
    <row r="48" spans="10:13" x14ac:dyDescent="0.25">
      <c r="K48" s="759" t="s">
        <v>626</v>
      </c>
      <c r="L48" s="759">
        <v>2045</v>
      </c>
      <c r="M48" s="762">
        <v>62.622403033114466</v>
      </c>
    </row>
    <row r="49" spans="10:13" x14ac:dyDescent="0.25">
      <c r="K49" s="759" t="s">
        <v>626</v>
      </c>
      <c r="L49" s="759">
        <v>2047</v>
      </c>
      <c r="M49" s="762">
        <v>58.552871897120902</v>
      </c>
    </row>
    <row r="50" spans="10:13" x14ac:dyDescent="0.25">
      <c r="K50" s="759" t="s">
        <v>626</v>
      </c>
      <c r="L50" s="759">
        <v>2050</v>
      </c>
      <c r="M50" s="762">
        <v>47.786379701308284</v>
      </c>
    </row>
    <row r="51" spans="10:13" x14ac:dyDescent="0.25">
      <c r="J51" s="759" t="str">
        <f>+PROCESS!N27</f>
        <v>PROF-CAM4</v>
      </c>
      <c r="K51" s="759" t="s">
        <v>626</v>
      </c>
      <c r="L51" s="759">
        <v>2019</v>
      </c>
      <c r="M51" s="762" cm="1">
        <f t="array" ref="M51:M64">+TRANSPOSE('5. Data'!AI93:AV93)</f>
        <v>5.6352908998762912</v>
      </c>
    </row>
    <row r="52" spans="10:13" x14ac:dyDescent="0.25">
      <c r="K52" s="759" t="s">
        <v>626</v>
      </c>
      <c r="L52" s="759">
        <v>2020</v>
      </c>
      <c r="M52" s="762">
        <v>5.3251450871105153</v>
      </c>
    </row>
    <row r="53" spans="10:13" x14ac:dyDescent="0.25">
      <c r="K53" s="759" t="s">
        <v>626</v>
      </c>
      <c r="L53" s="759">
        <v>2023</v>
      </c>
      <c r="M53" s="762">
        <v>4.6229281525464918</v>
      </c>
    </row>
    <row r="54" spans="10:13" x14ac:dyDescent="0.25">
      <c r="K54" s="759" t="s">
        <v>626</v>
      </c>
      <c r="L54" s="759">
        <v>2025</v>
      </c>
      <c r="M54" s="762">
        <v>4.1547835295038089</v>
      </c>
    </row>
    <row r="55" spans="10:13" x14ac:dyDescent="0.25">
      <c r="K55" s="759" t="s">
        <v>626</v>
      </c>
      <c r="L55" s="759">
        <v>2027</v>
      </c>
      <c r="M55" s="762">
        <v>3.4993810572440531</v>
      </c>
    </row>
    <row r="56" spans="10:13" x14ac:dyDescent="0.25">
      <c r="K56" s="759" t="s">
        <v>626</v>
      </c>
      <c r="L56" s="759">
        <v>2030</v>
      </c>
      <c r="M56" s="762">
        <v>2.5162773488544192</v>
      </c>
    </row>
    <row r="57" spans="10:13" x14ac:dyDescent="0.25">
      <c r="K57" s="759" t="s">
        <v>626</v>
      </c>
      <c r="L57" s="759">
        <v>2033</v>
      </c>
      <c r="M57" s="762">
        <v>2.0247254946596036</v>
      </c>
    </row>
    <row r="58" spans="10:13" x14ac:dyDescent="0.25">
      <c r="K58" s="759" t="s">
        <v>626</v>
      </c>
      <c r="L58" s="759">
        <v>2035</v>
      </c>
      <c r="M58" s="762">
        <v>1.6970242585297266</v>
      </c>
    </row>
    <row r="59" spans="10:13" x14ac:dyDescent="0.25">
      <c r="K59" s="759" t="s">
        <v>626</v>
      </c>
      <c r="L59" s="759">
        <v>2037</v>
      </c>
      <c r="M59" s="762">
        <v>1.4629519470083856</v>
      </c>
    </row>
    <row r="60" spans="10:13" x14ac:dyDescent="0.25">
      <c r="K60" s="759" t="s">
        <v>626</v>
      </c>
      <c r="L60" s="759">
        <v>2040</v>
      </c>
      <c r="M60" s="762">
        <v>1.1118434797263739</v>
      </c>
    </row>
    <row r="61" spans="10:13" x14ac:dyDescent="0.25">
      <c r="K61" s="759" t="s">
        <v>626</v>
      </c>
      <c r="L61" s="759">
        <v>2043</v>
      </c>
      <c r="M61" s="762">
        <v>0.99480732396570282</v>
      </c>
    </row>
    <row r="62" spans="10:13" x14ac:dyDescent="0.25">
      <c r="K62" s="759" t="s">
        <v>626</v>
      </c>
      <c r="L62" s="759">
        <v>2045</v>
      </c>
      <c r="M62" s="762">
        <v>0</v>
      </c>
    </row>
    <row r="63" spans="10:13" x14ac:dyDescent="0.25">
      <c r="K63" s="759" t="s">
        <v>626</v>
      </c>
      <c r="L63" s="759">
        <v>2047</v>
      </c>
      <c r="M63" s="762">
        <v>0</v>
      </c>
    </row>
    <row r="64" spans="10:13" x14ac:dyDescent="0.25">
      <c r="K64" s="759" t="s">
        <v>626</v>
      </c>
      <c r="L64" s="759">
        <v>2050</v>
      </c>
      <c r="M64" s="762">
        <v>0</v>
      </c>
    </row>
    <row r="65" spans="10:13" x14ac:dyDescent="0.25">
      <c r="J65" s="759" t="str">
        <f>+PROCESS!N28</f>
        <v>PROF-CAM5</v>
      </c>
      <c r="K65" s="759" t="s">
        <v>626</v>
      </c>
      <c r="L65" s="759">
        <v>2019</v>
      </c>
      <c r="M65" s="762" cm="1">
        <f t="array" ref="M65:M78">+TRANSPOSE('5. Data'!AI94:AV94)</f>
        <v>165.44478873779963</v>
      </c>
    </row>
    <row r="66" spans="10:13" x14ac:dyDescent="0.25">
      <c r="K66" s="759" t="s">
        <v>626</v>
      </c>
      <c r="L66" s="759">
        <v>2020</v>
      </c>
      <c r="M66" s="762">
        <v>153.89107121101256</v>
      </c>
    </row>
    <row r="67" spans="10:13" x14ac:dyDescent="0.25">
      <c r="K67" s="759" t="s">
        <v>626</v>
      </c>
      <c r="L67" s="759">
        <v>2023</v>
      </c>
      <c r="M67" s="762">
        <v>98.967477778380101</v>
      </c>
    </row>
    <row r="68" spans="10:13" x14ac:dyDescent="0.25">
      <c r="K68" s="759" t="s">
        <v>626</v>
      </c>
      <c r="L68" s="759">
        <v>2025</v>
      </c>
      <c r="M68" s="762">
        <v>91.230677358831571</v>
      </c>
    </row>
    <row r="69" spans="10:13" x14ac:dyDescent="0.25">
      <c r="K69" s="759" t="s">
        <v>626</v>
      </c>
      <c r="L69" s="759">
        <v>2027</v>
      </c>
      <c r="M69" s="762">
        <v>73.193552767530946</v>
      </c>
    </row>
    <row r="70" spans="10:13" x14ac:dyDescent="0.25">
      <c r="K70" s="759" t="s">
        <v>626</v>
      </c>
      <c r="L70" s="759">
        <v>2030</v>
      </c>
      <c r="M70" s="762">
        <v>46.137865880580037</v>
      </c>
    </row>
    <row r="71" spans="10:13" x14ac:dyDescent="0.25">
      <c r="K71" s="759" t="s">
        <v>626</v>
      </c>
      <c r="L71" s="759">
        <v>2033</v>
      </c>
      <c r="M71" s="762">
        <v>34.93812928869707</v>
      </c>
    </row>
    <row r="72" spans="10:13" x14ac:dyDescent="0.25">
      <c r="K72" s="759" t="s">
        <v>626</v>
      </c>
      <c r="L72" s="759">
        <v>2035</v>
      </c>
      <c r="M72" s="762">
        <v>27.471638227441758</v>
      </c>
    </row>
    <row r="73" spans="10:13" x14ac:dyDescent="0.25">
      <c r="K73" s="759" t="s">
        <v>626</v>
      </c>
      <c r="L73" s="759">
        <v>2037</v>
      </c>
      <c r="M73" s="762">
        <v>22.774089751023496</v>
      </c>
    </row>
    <row r="74" spans="10:13" x14ac:dyDescent="0.25">
      <c r="K74" s="759" t="s">
        <v>626</v>
      </c>
      <c r="L74" s="759">
        <v>2040</v>
      </c>
      <c r="M74" s="762">
        <v>15.727767036396102</v>
      </c>
    </row>
    <row r="75" spans="10:13" x14ac:dyDescent="0.25">
      <c r="K75" s="759" t="s">
        <v>626</v>
      </c>
      <c r="L75" s="759">
        <v>2043</v>
      </c>
      <c r="M75" s="762">
        <v>9.6596165622714754</v>
      </c>
    </row>
    <row r="76" spans="10:13" x14ac:dyDescent="0.25">
      <c r="K76" s="759" t="s">
        <v>626</v>
      </c>
      <c r="L76" s="759">
        <v>2045</v>
      </c>
      <c r="M76" s="762">
        <v>8.2794492877500225</v>
      </c>
    </row>
    <row r="77" spans="10:13" x14ac:dyDescent="0.25">
      <c r="K77" s="759" t="s">
        <v>626</v>
      </c>
      <c r="L77" s="759">
        <v>2047</v>
      </c>
      <c r="M77" s="762">
        <v>7.0735333286609636</v>
      </c>
    </row>
    <row r="78" spans="10:13" x14ac:dyDescent="0.25">
      <c r="K78" s="759" t="s">
        <v>626</v>
      </c>
      <c r="L78" s="759">
        <v>2050</v>
      </c>
      <c r="M78" s="762">
        <v>5.2903275793547166</v>
      </c>
    </row>
    <row r="79" spans="10:13" x14ac:dyDescent="0.25">
      <c r="J79" s="759" t="str">
        <f>+PROCESS!N29</f>
        <v>PROF-CAM6</v>
      </c>
      <c r="K79" s="759" t="s">
        <v>626</v>
      </c>
      <c r="L79" s="759">
        <v>2019</v>
      </c>
      <c r="M79" s="762" cm="1">
        <f t="array" ref="M79:M92">+TRANSPOSE('5. Data'!AI95:AV95)</f>
        <v>29.863178560112861</v>
      </c>
    </row>
    <row r="80" spans="10:13" x14ac:dyDescent="0.25">
      <c r="K80" s="759" t="s">
        <v>626</v>
      </c>
      <c r="L80" s="759">
        <v>2020</v>
      </c>
      <c r="M80" s="762">
        <v>27.835107673690871</v>
      </c>
    </row>
    <row r="81" spans="11:13" x14ac:dyDescent="0.25">
      <c r="K81" s="759" t="s">
        <v>626</v>
      </c>
      <c r="L81" s="759">
        <v>2023</v>
      </c>
      <c r="M81" s="762">
        <v>17.559909024325922</v>
      </c>
    </row>
    <row r="82" spans="11:13" x14ac:dyDescent="0.25">
      <c r="K82" s="759" t="s">
        <v>626</v>
      </c>
      <c r="L82" s="759">
        <v>2025</v>
      </c>
      <c r="M82" s="762">
        <v>20.274712206938659</v>
      </c>
    </row>
    <row r="83" spans="11:13" x14ac:dyDescent="0.25">
      <c r="K83" s="759" t="s">
        <v>626</v>
      </c>
      <c r="L83" s="759">
        <v>2027</v>
      </c>
      <c r="M83" s="762">
        <v>12.813096418110867</v>
      </c>
    </row>
    <row r="84" spans="11:13" x14ac:dyDescent="0.25">
      <c r="K84" s="759" t="s">
        <v>626</v>
      </c>
      <c r="L84" s="759">
        <v>2030</v>
      </c>
      <c r="M84" s="762">
        <v>12.747595139993381</v>
      </c>
    </row>
    <row r="85" spans="11:13" x14ac:dyDescent="0.25">
      <c r="K85" s="759" t="s">
        <v>626</v>
      </c>
      <c r="L85" s="759">
        <v>2033</v>
      </c>
      <c r="M85" s="762">
        <v>8.1699853499332526</v>
      </c>
    </row>
    <row r="86" spans="11:13" x14ac:dyDescent="0.25">
      <c r="K86" s="759" t="s">
        <v>626</v>
      </c>
      <c r="L86" s="759">
        <v>2035</v>
      </c>
      <c r="M86" s="762">
        <v>8.8839477570677019</v>
      </c>
    </row>
    <row r="87" spans="11:13" x14ac:dyDescent="0.25">
      <c r="K87" s="759" t="s">
        <v>626</v>
      </c>
      <c r="L87" s="759">
        <v>2037</v>
      </c>
      <c r="M87" s="762">
        <v>7.6545148810463139</v>
      </c>
    </row>
    <row r="88" spans="11:13" x14ac:dyDescent="0.25">
      <c r="K88" s="759" t="s">
        <v>626</v>
      </c>
      <c r="L88" s="759">
        <v>2040</v>
      </c>
      <c r="M88" s="762">
        <v>5.5289075934361867</v>
      </c>
    </row>
    <row r="89" spans="11:13" x14ac:dyDescent="0.25">
      <c r="K89" s="759" t="s">
        <v>626</v>
      </c>
      <c r="L89" s="759">
        <v>2043</v>
      </c>
      <c r="M89" s="762">
        <v>4.8075273037748882</v>
      </c>
    </row>
    <row r="90" spans="11:13" x14ac:dyDescent="0.25">
      <c r="K90" s="759" t="s">
        <v>626</v>
      </c>
      <c r="L90" s="759">
        <v>2045</v>
      </c>
      <c r="M90" s="762">
        <v>4.3266071106673554</v>
      </c>
    </row>
    <row r="91" spans="11:13" x14ac:dyDescent="0.25">
      <c r="K91" s="759" t="s">
        <v>626</v>
      </c>
      <c r="L91" s="759">
        <v>2047</v>
      </c>
      <c r="M91" s="762">
        <v>3.9981896052775268</v>
      </c>
    </row>
    <row r="92" spans="11:13" x14ac:dyDescent="0.25">
      <c r="K92" s="759" t="s">
        <v>626</v>
      </c>
      <c r="L92" s="759">
        <v>2050</v>
      </c>
      <c r="M92" s="762">
        <v>3.5055633471927838</v>
      </c>
    </row>
  </sheetData>
  <mergeCells count="1">
    <mergeCell ref="J3:U3"/>
  </mergeCells>
  <pageMargins left="0.7" right="0.7" top="0.75" bottom="0.75" header="0.3" footer="0.3"/>
  <pageSetup paperSize="9" orientation="portrait" r:id="rId1"/>
  <ignoredErrors>
    <ignoredError sqref="Q10:Q18 AC11 AC17" formula="1"/>
  </ignoredError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1449D-B09A-4AEA-A675-02323E058D80}">
  <dimension ref="C4:AB234"/>
  <sheetViews>
    <sheetView showGridLines="0" topLeftCell="F134" zoomScale="85" zoomScaleNormal="85" workbookViewId="0">
      <selection activeCell="N153" sqref="N153:N158"/>
    </sheetView>
  </sheetViews>
  <sheetFormatPr baseColWidth="10" defaultRowHeight="15" x14ac:dyDescent="0.25"/>
  <cols>
    <col min="4" max="4" width="26.5703125" customWidth="1"/>
    <col min="12" max="12" width="27.140625" customWidth="1"/>
    <col min="13" max="13" width="17" customWidth="1"/>
    <col min="14" max="14" width="24.5703125" customWidth="1"/>
    <col min="15" max="15" width="27.28515625" customWidth="1"/>
    <col min="16" max="16" width="30.5703125" customWidth="1"/>
    <col min="17" max="17" width="15.28515625" customWidth="1"/>
    <col min="18" max="18" width="14.42578125" customWidth="1"/>
    <col min="19" max="19" width="16.85546875" customWidth="1"/>
    <col min="20" max="20" width="18.85546875" customWidth="1"/>
    <col min="21" max="22" width="20.28515625" customWidth="1"/>
    <col min="31" max="31" width="20.28515625" bestFit="1" customWidth="1"/>
  </cols>
  <sheetData>
    <row r="4" spans="3:28" x14ac:dyDescent="0.25">
      <c r="E4" s="19" t="str">
        <f>'Bases de Cálculo'!F3</f>
        <v>PCI</v>
      </c>
      <c r="F4" s="19" t="str">
        <f>'Bases de Cálculo'!G3</f>
        <v>F.E. CO2eq</v>
      </c>
      <c r="T4" s="20" t="s">
        <v>919</v>
      </c>
      <c r="U4" s="20" t="s">
        <v>919</v>
      </c>
      <c r="V4" s="486" t="s">
        <v>556</v>
      </c>
    </row>
    <row r="5" spans="3:28" ht="30" x14ac:dyDescent="0.25">
      <c r="E5" s="19"/>
      <c r="F5" s="19" t="str">
        <f>'Bases de Cálculo'!G4</f>
        <v>kt/PJ</v>
      </c>
      <c r="L5" s="470" t="str">
        <f>'5. ANH'!C12</f>
        <v>Deparment</v>
      </c>
      <c r="M5" s="470" t="str">
        <f>'5. ANH'!D12</f>
        <v>Company</v>
      </c>
      <c r="N5" s="470" t="str">
        <f>'5. ANH'!E12</f>
        <v>City-town-location</v>
      </c>
      <c r="O5" s="470" t="str">
        <f>'5. ANH'!F12</f>
        <v>Basin</v>
      </c>
      <c r="P5" s="470" t="str">
        <f>'5. ANH'!G12</f>
        <v>Oilfield</v>
      </c>
      <c r="Q5" s="471" t="str">
        <f>'5. ANH'!H12</f>
        <v>API Gravity</v>
      </c>
      <c r="R5" s="471">
        <f>'5. ANH'!I12</f>
        <v>0</v>
      </c>
      <c r="S5" s="471" t="str">
        <f>'5. ANH'!J12</f>
        <v>Type of Oil producing</v>
      </c>
      <c r="T5" s="472" t="str">
        <f>'5. ANH'!K12</f>
        <v>GFISCA</v>
      </c>
      <c r="U5" s="472" t="str">
        <f>'5. ANH'!W12</f>
        <v>GFISC - GREI</v>
      </c>
      <c r="V5" s="470" t="s">
        <v>920</v>
      </c>
      <c r="W5" s="470" t="s">
        <v>809</v>
      </c>
      <c r="Y5" s="470" t="s">
        <v>808</v>
      </c>
      <c r="Z5" s="470" t="s">
        <v>810</v>
      </c>
      <c r="AA5" s="470" t="s">
        <v>811</v>
      </c>
      <c r="AB5" s="470" t="s">
        <v>812</v>
      </c>
    </row>
    <row r="6" spans="3:28" x14ac:dyDescent="0.25">
      <c r="D6" t="str">
        <f>'Bases de Cálculo'!B5</f>
        <v>Energético</v>
      </c>
      <c r="E6" s="19" t="str">
        <f>'Bases de Cálculo'!F5</f>
        <v>TJ/kbl*</v>
      </c>
      <c r="F6" s="19" t="str">
        <f>'Bases de Cálculo'!G5</f>
        <v>t/TJ</v>
      </c>
      <c r="L6" s="473" t="e" vm="1">
        <f>'5. ANH'!C13</f>
        <v>#VALUE!</v>
      </c>
      <c r="M6" s="474" t="str">
        <f>'5. ANH'!D13</f>
        <v>ECP</v>
      </c>
      <c r="N6" s="474" t="str">
        <f>'5. ANH'!E13</f>
        <v>Manaure</v>
      </c>
      <c r="O6" s="474" t="str">
        <f>'5. ANH'!F13</f>
        <v>Guajira</v>
      </c>
      <c r="P6" s="475" t="str">
        <f>'5. ANH'!G13</f>
        <v>Chuchupa</v>
      </c>
      <c r="Q6" s="473" t="str">
        <f>'5. ANH'!H13</f>
        <v>-</v>
      </c>
      <c r="R6" s="476" t="str">
        <f>'5. ANH'!I13</f>
        <v>GAS</v>
      </c>
      <c r="S6" s="476" t="str">
        <f>'5. ANH'!J13</f>
        <v>Doesn't Apply</v>
      </c>
      <c r="T6" s="477">
        <f>'5. ANH'!K13</f>
        <v>162.95282191780822</v>
      </c>
      <c r="U6" s="479">
        <f>'5. ANH'!W13</f>
        <v>162.95282191780822</v>
      </c>
      <c r="V6" s="478">
        <v>0</v>
      </c>
      <c r="W6" s="478">
        <v>0.22493150684931507</v>
      </c>
      <c r="Y6" s="478">
        <v>6.5319452054794507</v>
      </c>
      <c r="Z6" s="478">
        <v>13.287095890410958</v>
      </c>
      <c r="AA6" s="478">
        <v>0</v>
      </c>
      <c r="AB6" s="478">
        <v>142.90884931506849</v>
      </c>
    </row>
    <row r="7" spans="3:28" x14ac:dyDescent="0.25">
      <c r="C7" s="19" t="str">
        <f>'Bases de Cálculo'!E6</f>
        <v>GAS</v>
      </c>
      <c r="D7" s="143" t="str">
        <f>'Bases de Cálculo'!B6</f>
        <v>Gas Natural</v>
      </c>
      <c r="E7" s="311">
        <f>'Bases de Cálculo'!F6</f>
        <v>1.0095573442026637</v>
      </c>
      <c r="F7" s="312">
        <f>'Bases de Cálculo'!G6</f>
        <v>55.539114956987063</v>
      </c>
      <c r="L7" s="473" t="e" vm="1">
        <f>'5. ANH'!C14</f>
        <v>#VALUE!</v>
      </c>
      <c r="M7" s="474" t="str">
        <f>'5. ANH'!D14</f>
        <v>ECP</v>
      </c>
      <c r="N7" s="474" t="str">
        <f>'5. ANH'!E14</f>
        <v>Manaure</v>
      </c>
      <c r="O7" s="474" t="str">
        <f>'5. ANH'!F14</f>
        <v>Guajira</v>
      </c>
      <c r="P7" s="475" t="str">
        <f>'5. ANH'!G14</f>
        <v>Ballena</v>
      </c>
      <c r="Q7" s="473" t="str">
        <f>'5. ANH'!H14</f>
        <v>-</v>
      </c>
      <c r="R7" s="476" t="str">
        <f>'5. ANH'!I14</f>
        <v>GAS</v>
      </c>
      <c r="S7" s="476" t="str">
        <f>'5. ANH'!J14</f>
        <v>Doesn't Apply</v>
      </c>
      <c r="T7" s="477">
        <f>'5. ANH'!K14</f>
        <v>23.174410958904112</v>
      </c>
      <c r="U7" s="479">
        <f>'5. ANH'!W14</f>
        <v>23.174410958904112</v>
      </c>
      <c r="V7" s="478">
        <v>0</v>
      </c>
      <c r="W7" s="478">
        <v>2.701369863013699E-2</v>
      </c>
      <c r="Y7" s="478">
        <v>0.11695890410958903</v>
      </c>
      <c r="Z7" s="478">
        <v>1.9608219178082194</v>
      </c>
      <c r="AA7" s="478">
        <v>0</v>
      </c>
      <c r="AB7" s="478">
        <v>21.069616438356167</v>
      </c>
    </row>
    <row r="8" spans="3:28" x14ac:dyDescent="0.25">
      <c r="C8" s="19" t="str">
        <f>'Bases de Cálculo'!E7</f>
        <v>LOIL</v>
      </c>
      <c r="D8" s="143" t="str">
        <f>'Bases de Cálculo'!B7</f>
        <v>Petróleo liviano</v>
      </c>
      <c r="E8" s="311">
        <f>'Bases de Cálculo'!F7</f>
        <v>6.0871741676095334</v>
      </c>
      <c r="F8" s="312">
        <f>'Bases de Cálculo'!G7</f>
        <v>77.841777688967127</v>
      </c>
      <c r="L8" s="473" t="e" vm="2">
        <f>'5. ANH'!C15</f>
        <v>#VALUE!</v>
      </c>
      <c r="M8" s="474" t="str">
        <f>'5. ANH'!D15</f>
        <v>ECP</v>
      </c>
      <c r="N8" s="474" t="str">
        <f>'5. ANH'!E15</f>
        <v>Toledo</v>
      </c>
      <c r="O8" s="474" t="str">
        <f>'5. ANH'!F15</f>
        <v>Llanos Orientales</v>
      </c>
      <c r="P8" s="475" t="str">
        <f>'5. ANH'!G15</f>
        <v>Gibraltar</v>
      </c>
      <c r="Q8" s="473" t="str">
        <f>'5. ANH'!H15</f>
        <v>-</v>
      </c>
      <c r="R8" s="476" t="str">
        <f>'5. ANH'!I15</f>
        <v>GAS</v>
      </c>
      <c r="S8" s="476" t="str">
        <f>'5. ANH'!J15</f>
        <v>Doesn't Apply</v>
      </c>
      <c r="T8" s="477">
        <f>'5. ANH'!K15</f>
        <v>35.569315068493154</v>
      </c>
      <c r="U8" s="479">
        <f>'5. ANH'!W15</f>
        <v>35.569315068493154</v>
      </c>
      <c r="V8" s="478">
        <v>0</v>
      </c>
      <c r="W8" s="478">
        <v>0</v>
      </c>
      <c r="Y8" s="478">
        <v>0</v>
      </c>
      <c r="Z8" s="478">
        <v>35.569315068493154</v>
      </c>
      <c r="AA8" s="478">
        <v>3.5723835616438366</v>
      </c>
      <c r="AB8" s="478">
        <v>0</v>
      </c>
    </row>
    <row r="9" spans="3:28" x14ac:dyDescent="0.25">
      <c r="C9" s="19" t="str">
        <f>'Bases de Cálculo'!E8</f>
        <v>MOIL</v>
      </c>
      <c r="D9" s="148" t="str">
        <f>'Bases de Cálculo'!B8</f>
        <v>Petróleo mediano</v>
      </c>
      <c r="E9" s="122">
        <f>+E8</f>
        <v>6.0871741676095334</v>
      </c>
      <c r="F9" s="313">
        <f>+F8</f>
        <v>77.841777688967127</v>
      </c>
      <c r="L9" s="473" t="e" vm="3">
        <f>'5. ANH'!C16</f>
        <v>#VALUE!</v>
      </c>
      <c r="M9" s="474" t="str">
        <f>'5. ANH'!D16</f>
        <v>ECP</v>
      </c>
      <c r="N9" s="474" t="str">
        <f>'5. ANH'!E16</f>
        <v>Aguazul</v>
      </c>
      <c r="O9" s="474" t="str">
        <f>'5. ANH'!F16</f>
        <v>Llanos Orientales</v>
      </c>
      <c r="P9" s="475" t="str">
        <f>'5. ANH'!G16</f>
        <v>Cupiagua (Cupiagua + Liria + Sur)</v>
      </c>
      <c r="Q9" s="473">
        <f>'5. ANH'!H16</f>
        <v>48</v>
      </c>
      <c r="R9" s="476"/>
      <c r="S9" s="476" t="str">
        <f>'5. ANH'!J16</f>
        <v>Light Oil</v>
      </c>
      <c r="T9" s="477">
        <f>'5. ANH'!K16</f>
        <v>649.48632876712327</v>
      </c>
      <c r="U9" s="479">
        <f>'5. ANH'!W16</f>
        <v>253.10243835616438</v>
      </c>
      <c r="V9" s="478">
        <v>10231.853999999999</v>
      </c>
      <c r="W9" s="478">
        <v>2.2383835616438361</v>
      </c>
      <c r="Y9" s="478">
        <v>38.275260273972606</v>
      </c>
      <c r="Z9" s="478">
        <v>16.510794520547947</v>
      </c>
      <c r="AA9" s="478">
        <v>8.2636712328767121</v>
      </c>
      <c r="AB9" s="478">
        <v>196.07800000000003</v>
      </c>
    </row>
    <row r="10" spans="3:28" x14ac:dyDescent="0.25">
      <c r="C10" s="19" t="str">
        <f>'Bases de Cálculo'!E9</f>
        <v>HOIL</v>
      </c>
      <c r="D10" s="151" t="str">
        <f>'Bases de Cálculo'!B9</f>
        <v>Petróleo pesado</v>
      </c>
      <c r="E10" s="314">
        <f>+E9</f>
        <v>6.0871741676095334</v>
      </c>
      <c r="F10" s="315">
        <f>+F9</f>
        <v>77.841777688967127</v>
      </c>
      <c r="L10" s="473" t="e" vm="3">
        <f>'5. ANH'!C17</f>
        <v>#VALUE!</v>
      </c>
      <c r="M10" s="474" t="str">
        <f>'5. ANH'!D17</f>
        <v>ECP</v>
      </c>
      <c r="N10" s="474" t="str">
        <f>'5. ANH'!E17</f>
        <v>Tauramena</v>
      </c>
      <c r="O10" s="474" t="str">
        <f>'5. ANH'!F17</f>
        <v>Llanos Orientales</v>
      </c>
      <c r="P10" s="475" t="str">
        <f>'5. ANH'!G17</f>
        <v>Cusiana (Cusiana + Norte)</v>
      </c>
      <c r="Q10" s="473">
        <f>'5. ANH'!H17</f>
        <v>52</v>
      </c>
      <c r="R10" s="476"/>
      <c r="S10" s="476" t="str">
        <f>'5. ANH'!J17</f>
        <v>Light Oil</v>
      </c>
      <c r="T10" s="477">
        <f>'5. ANH'!K17</f>
        <v>277.3735890410959</v>
      </c>
      <c r="U10" s="479">
        <f>'5. ANH'!W17</f>
        <v>226.87320547945205</v>
      </c>
      <c r="V10" s="478">
        <v>3182.6220821917809</v>
      </c>
      <c r="W10" s="478">
        <v>1.1420547945205479</v>
      </c>
      <c r="Y10" s="478">
        <v>30.359369863013697</v>
      </c>
      <c r="Z10" s="478">
        <v>30.377342465753429</v>
      </c>
      <c r="AA10" s="478">
        <v>30.352082191780823</v>
      </c>
      <c r="AB10" s="478">
        <v>164.99443835616438</v>
      </c>
    </row>
    <row r="11" spans="3:28" x14ac:dyDescent="0.25">
      <c r="C11" s="19" t="str">
        <f>'Bases de Cálculo'!E10</f>
        <v>GSL</v>
      </c>
      <c r="D11" s="143" t="str">
        <f>'Bases de Cálculo'!B10</f>
        <v>Gasolina antes de blending</v>
      </c>
      <c r="E11" s="311">
        <f>'Bases de Cálculo'!F10</f>
        <v>5.3308987344700309</v>
      </c>
      <c r="F11" s="312">
        <f>'Bases de Cálculo'!G10</f>
        <v>69.193827140333724</v>
      </c>
      <c r="L11" s="473" t="e" vm="3">
        <f>'5. ANH'!C18</f>
        <v>#VALUE!</v>
      </c>
      <c r="M11" s="474" t="str">
        <f>'5. ANH'!D18</f>
        <v>ECP</v>
      </c>
      <c r="N11" s="474" t="str">
        <f>'5. ANH'!E18</f>
        <v>Yopal</v>
      </c>
      <c r="O11" s="474" t="str">
        <f>'5. ANH'!F18</f>
        <v>Llanos Orientales</v>
      </c>
      <c r="P11" s="475" t="str">
        <f>'5. ANH'!G18</f>
        <v>Pauto Sur (Sur + Recetor)</v>
      </c>
      <c r="Q11" s="473">
        <f>'5. ANH'!H18</f>
        <v>46</v>
      </c>
      <c r="R11" s="476"/>
      <c r="S11" s="476" t="str">
        <f>'5. ANH'!J18</f>
        <v>Light Oil</v>
      </c>
      <c r="T11" s="477">
        <f>'5. ANH'!K18</f>
        <v>435.40112328767128</v>
      </c>
      <c r="U11" s="479">
        <f>'5. ANH'!W18</f>
        <v>210.16008219178084</v>
      </c>
      <c r="V11" s="478">
        <v>27008.407917808221</v>
      </c>
      <c r="W11" s="478">
        <v>1.2202465753424658</v>
      </c>
      <c r="Y11" s="478">
        <v>9.0779452054794518</v>
      </c>
      <c r="Z11" s="478">
        <v>142.09446575342469</v>
      </c>
      <c r="AA11" s="478">
        <v>0</v>
      </c>
      <c r="AB11" s="478">
        <v>57.767424657534249</v>
      </c>
    </row>
    <row r="12" spans="3:28" x14ac:dyDescent="0.25">
      <c r="C12" s="19" t="str">
        <f>'Bases de Cálculo'!E11</f>
        <v>DSL</v>
      </c>
      <c r="D12" s="148" t="str">
        <f>'Bases de Cálculo'!B11</f>
        <v>Diesel antes de blending</v>
      </c>
      <c r="E12" s="122">
        <f>'Bases de Cálculo'!F11</f>
        <v>5.6708498400612823</v>
      </c>
      <c r="F12" s="313">
        <f>'Bases de Cálculo'!G11</f>
        <v>75.166375708662926</v>
      </c>
      <c r="L12" s="473" t="e" vm="3">
        <f>'5. ANH'!C19</f>
        <v>#VALUE!</v>
      </c>
      <c r="M12" s="474" t="str">
        <f>'5. ANH'!D19</f>
        <v>ECP</v>
      </c>
      <c r="N12" s="474" t="str">
        <f>'5. ANH'!E19</f>
        <v>Yopal</v>
      </c>
      <c r="O12" s="474" t="str">
        <f>'5. ANH'!F19</f>
        <v>Llanos Orientales</v>
      </c>
      <c r="P12" s="475" t="str">
        <f>'5. ANH'!G19</f>
        <v>Floreña (Floreña + Mirador)</v>
      </c>
      <c r="Q12" s="473">
        <f>'5. ANH'!H19</f>
        <v>45.5</v>
      </c>
      <c r="R12" s="476"/>
      <c r="S12" s="476" t="str">
        <f>'5. ANH'!J19</f>
        <v>Light Oil</v>
      </c>
      <c r="T12" s="477">
        <f>'5. ANH'!K19</f>
        <v>166.60876712328769</v>
      </c>
      <c r="U12" s="479">
        <f>'5. ANH'!W19</f>
        <v>4.8020000000000209</v>
      </c>
      <c r="V12" s="478">
        <v>4583.6177808219181</v>
      </c>
      <c r="W12" s="478">
        <v>0.37649315068493155</v>
      </c>
      <c r="Y12" s="478">
        <v>2.923643835616438</v>
      </c>
      <c r="Z12" s="478">
        <v>0</v>
      </c>
      <c r="AA12" s="478">
        <v>0</v>
      </c>
      <c r="AB12" s="478">
        <v>0</v>
      </c>
    </row>
    <row r="13" spans="3:28" x14ac:dyDescent="0.25">
      <c r="C13" s="19" t="str">
        <f>'Bases de Cálculo'!E12</f>
        <v>KER</v>
      </c>
      <c r="D13" s="151" t="str">
        <f>'Bases de Cálculo'!B12</f>
        <v>Keroseno-Jet</v>
      </c>
      <c r="E13" s="314">
        <f>'Bases de Cálculo'!F12</f>
        <v>4.7117947967516214</v>
      </c>
      <c r="F13" s="315">
        <f>'Bases de Cálculo'!G12</f>
        <v>87.735056011523966</v>
      </c>
      <c r="L13" s="473" t="e" vm="4">
        <f>'5. ANH'!C20</f>
        <v>#VALUE!</v>
      </c>
      <c r="M13" s="474" t="str">
        <f>'5. ANH'!D20</f>
        <v>ECP</v>
      </c>
      <c r="N13" s="474" t="str">
        <f>'5. ANH'!E20</f>
        <v>Puerto Gaitan</v>
      </c>
      <c r="O13" s="474" t="str">
        <f>'5. ANH'!F20</f>
        <v>Llanos Orientales</v>
      </c>
      <c r="P13" s="475" t="str">
        <f>'5. ANH'!G20</f>
        <v>Rubiales</v>
      </c>
      <c r="Q13" s="473">
        <f>'5. ANH'!H20</f>
        <v>12.850000000000001</v>
      </c>
      <c r="R13" s="476"/>
      <c r="S13" s="476" t="str">
        <f>'5. ANH'!J20</f>
        <v>Heavy Oil</v>
      </c>
      <c r="T13" s="477">
        <f>'5. ANH'!K20</f>
        <v>0</v>
      </c>
      <c r="U13" s="479">
        <f>'5. ANH'!W20</f>
        <v>0</v>
      </c>
      <c r="V13" s="478">
        <v>119308.68268493151</v>
      </c>
      <c r="W13" s="478">
        <v>0</v>
      </c>
      <c r="Y13" s="478">
        <v>0</v>
      </c>
      <c r="Z13" s="478">
        <v>0</v>
      </c>
      <c r="AA13" s="478">
        <v>0</v>
      </c>
      <c r="AB13" s="478">
        <v>0</v>
      </c>
    </row>
    <row r="14" spans="3:28" x14ac:dyDescent="0.25">
      <c r="C14" s="19" t="str">
        <f>'Bases de Cálculo'!E13</f>
        <v>LPG</v>
      </c>
      <c r="D14" s="143" t="str">
        <f>'Bases de Cálculo'!B13</f>
        <v>Gas licuado de Petróleo</v>
      </c>
      <c r="E14" s="311">
        <f>'Bases de Cálculo'!F13</f>
        <v>4.0562660463586173</v>
      </c>
      <c r="F14" s="312">
        <f>'Bases de Cálculo'!G13</f>
        <v>47.28933824683137</v>
      </c>
      <c r="L14" s="473" t="e" vm="4">
        <f>'5. ANH'!C21</f>
        <v>#VALUE!</v>
      </c>
      <c r="M14" s="474" t="str">
        <f>'5. ANH'!D21</f>
        <v>ECP</v>
      </c>
      <c r="N14" s="474" t="str">
        <f>'5. ANH'!E21</f>
        <v>Acacias/Castilla Nueva</v>
      </c>
      <c r="O14" s="474" t="str">
        <f>'5. ANH'!F21</f>
        <v>Llanos Orientales</v>
      </c>
      <c r="P14" s="475" t="str">
        <f>'5. ANH'!G21</f>
        <v>Castilla (c, e, n, n)</v>
      </c>
      <c r="Q14" s="473">
        <f>'5. ANH'!H21</f>
        <v>13.7</v>
      </c>
      <c r="R14" s="476"/>
      <c r="S14" s="476" t="str">
        <f>'5. ANH'!J21</f>
        <v>Heavy Oil</v>
      </c>
      <c r="T14" s="477">
        <f>'5. ANH'!K21</f>
        <v>0</v>
      </c>
      <c r="U14" s="479">
        <f>'5. ANH'!W21</f>
        <v>0</v>
      </c>
      <c r="V14" s="478">
        <v>114056.06200000001</v>
      </c>
      <c r="W14" s="478">
        <v>0</v>
      </c>
      <c r="Y14" s="478">
        <v>0</v>
      </c>
      <c r="Z14" s="478">
        <v>0</v>
      </c>
      <c r="AA14" s="478">
        <v>0</v>
      </c>
      <c r="AB14" s="478">
        <v>0</v>
      </c>
    </row>
    <row r="15" spans="3:28" x14ac:dyDescent="0.25">
      <c r="C15" s="19" t="str">
        <f>'Bases de Cálculo'!E14</f>
        <v>HFO</v>
      </c>
      <c r="D15" s="148" t="str">
        <f>'Bases de Cálculo'!B14</f>
        <v>Fuel Oil (Combustoleo</v>
      </c>
      <c r="E15" s="122">
        <f>'Bases de Cálculo'!F14</f>
        <v>5.4608206169323079</v>
      </c>
      <c r="F15" s="313">
        <f>'Bases de Cálculo'!G14</f>
        <v>78.281203343664757</v>
      </c>
      <c r="L15" s="473" t="e" vm="4">
        <f>'5. ANH'!C22</f>
        <v>#VALUE!</v>
      </c>
      <c r="M15" s="474" t="str">
        <f>'5. ANH'!D22</f>
        <v>ECP</v>
      </c>
      <c r="N15" s="474" t="str">
        <f>'5. ANH'!E22</f>
        <v>Acacias/Guamal</v>
      </c>
      <c r="O15" s="474" t="str">
        <f>'5. ANH'!F22</f>
        <v>Llanos Orientales</v>
      </c>
      <c r="P15" s="475" t="str">
        <f>'5. ANH'!G22</f>
        <v>Chichimene</v>
      </c>
      <c r="Q15" s="473">
        <f>'5. ANH'!H22</f>
        <v>13.5</v>
      </c>
      <c r="R15" s="476"/>
      <c r="S15" s="476" t="str">
        <f>'5. ANH'!J22</f>
        <v>Heavy Oil</v>
      </c>
      <c r="T15" s="477">
        <f>'5. ANH'!K22</f>
        <v>3.793589041095891</v>
      </c>
      <c r="U15" s="479">
        <f>'5. ANH'!W22</f>
        <v>3.793589041095891</v>
      </c>
      <c r="V15" s="478">
        <v>69090.784575342463</v>
      </c>
      <c r="W15" s="478">
        <v>2.9221917808219184</v>
      </c>
      <c r="Y15" s="478">
        <v>0.87139726027397268</v>
      </c>
      <c r="Z15" s="478">
        <v>0</v>
      </c>
      <c r="AA15" s="478">
        <v>0</v>
      </c>
      <c r="AB15" s="478">
        <v>0</v>
      </c>
    </row>
    <row r="16" spans="3:28" x14ac:dyDescent="0.25">
      <c r="C16" s="19" t="s">
        <v>518</v>
      </c>
      <c r="D16" s="148" t="str">
        <f>'Bases de Cálculo'!B24</f>
        <v>Gasolina de aviación</v>
      </c>
      <c r="E16" s="122">
        <f>'Bases de Cálculo'!F24</f>
        <v>4.7615165047769556</v>
      </c>
      <c r="F16" s="313">
        <f>'Bases de Cálculo'!G24</f>
        <v>56.337812381502502</v>
      </c>
      <c r="L16" s="473" t="e" vm="4">
        <f>'5. ANH'!C23</f>
        <v>#VALUE!</v>
      </c>
      <c r="M16" s="474" t="str">
        <f>'5. ANH'!D23</f>
        <v>ECP</v>
      </c>
      <c r="N16" s="474" t="str">
        <f>'5. ANH'!E23</f>
        <v>Acacias/Guamal</v>
      </c>
      <c r="O16" s="474" t="str">
        <f>'5. ANH'!F23</f>
        <v>Llanos Orientales</v>
      </c>
      <c r="P16" s="475" t="str">
        <f>'5. ANH'!G23</f>
        <v>Akacias</v>
      </c>
      <c r="Q16" s="473">
        <f>'5. ANH'!H23</f>
        <v>8</v>
      </c>
      <c r="R16" s="476"/>
      <c r="S16" s="476" t="str">
        <f>'5. ANH'!J23</f>
        <v>Heavy Oil</v>
      </c>
      <c r="T16" s="477">
        <f>'5. ANH'!K23</f>
        <v>0.58205479452054798</v>
      </c>
      <c r="U16" s="479">
        <f>'5. ANH'!W23</f>
        <v>0.58205479452054798</v>
      </c>
      <c r="V16" s="478">
        <v>19756.607616438356</v>
      </c>
      <c r="W16" s="478">
        <v>0.58205479452054798</v>
      </c>
      <c r="Y16" s="478">
        <v>0</v>
      </c>
      <c r="Z16" s="478">
        <v>0</v>
      </c>
      <c r="AA16" s="478">
        <v>0</v>
      </c>
      <c r="AB16" s="478">
        <v>0</v>
      </c>
    </row>
    <row r="17" spans="3:28" x14ac:dyDescent="0.25">
      <c r="C17" s="19" t="s">
        <v>515</v>
      </c>
      <c r="D17" s="151" t="str">
        <f>'Bases de Cálculo'!B25</f>
        <v>Refinery Gas</v>
      </c>
      <c r="E17" s="314">
        <f>'Bases de Cálculo'!F25</f>
        <v>4.1867999999999999</v>
      </c>
      <c r="F17" s="315">
        <f>'Bases de Cálculo'!G25</f>
        <v>40.784041574326501</v>
      </c>
      <c r="L17" s="473" t="e" vm="4">
        <f>'5. ANH'!C24</f>
        <v>#VALUE!</v>
      </c>
      <c r="M17" s="474" t="str">
        <f>'5. ANH'!D24</f>
        <v>ECP</v>
      </c>
      <c r="N17" s="474" t="str">
        <f>'5. ANH'!E24</f>
        <v>Villavicencio</v>
      </c>
      <c r="O17" s="474" t="str">
        <f>'5. ANH'!F24</f>
        <v>Llanos Orientales</v>
      </c>
      <c r="P17" s="475" t="str">
        <f>'5. ANH'!G24</f>
        <v>Apiay</v>
      </c>
      <c r="Q17" s="473">
        <f>'5. ANH'!H24</f>
        <v>13.5</v>
      </c>
      <c r="R17" s="476"/>
      <c r="S17" s="476" t="str">
        <f>'5. ANH'!J24</f>
        <v>Heavy Oil</v>
      </c>
      <c r="T17" s="477">
        <f>'5. ANH'!K24</f>
        <v>1.1906575342465753</v>
      </c>
      <c r="U17" s="479">
        <f>'5. ANH'!W24</f>
        <v>1.1906575342465753</v>
      </c>
      <c r="V17" s="478">
        <v>1476.5236986301368</v>
      </c>
      <c r="W17" s="478">
        <v>0.1378630136986301</v>
      </c>
      <c r="Y17" s="478">
        <v>0.10038356164383562</v>
      </c>
      <c r="Z17" s="478">
        <v>0</v>
      </c>
      <c r="AA17" s="478">
        <v>0</v>
      </c>
      <c r="AB17" s="478">
        <v>0</v>
      </c>
    </row>
    <row r="18" spans="3:28" x14ac:dyDescent="0.25">
      <c r="C18" s="142" t="s">
        <v>481</v>
      </c>
      <c r="L18" s="473" t="e" vm="5">
        <f>'5. ANH'!C25</f>
        <v>#VALUE!</v>
      </c>
      <c r="M18" s="474" t="str">
        <f>'5. ANH'!D25</f>
        <v>ECP</v>
      </c>
      <c r="N18" s="474" t="str">
        <f>'5. ANH'!E25</f>
        <v>Orito</v>
      </c>
      <c r="O18" s="474" t="str">
        <f>'5. ANH'!F25</f>
        <v>Putumayo</v>
      </c>
      <c r="P18" s="475" t="str">
        <f>'5. ANH'!G25</f>
        <v>Orito</v>
      </c>
      <c r="Q18" s="473">
        <f>'5. ANH'!H25</f>
        <v>35</v>
      </c>
      <c r="R18" s="476"/>
      <c r="S18" s="476" t="str">
        <f>'5. ANH'!J25</f>
        <v>Light Oil</v>
      </c>
      <c r="T18" s="477">
        <f>'5. ANH'!K25</f>
        <v>3.4626301369863017</v>
      </c>
      <c r="U18" s="477">
        <f>'5. ANH'!W25</f>
        <v>3.4626301369863017</v>
      </c>
      <c r="V18" s="478">
        <v>1962.0646849315069</v>
      </c>
      <c r="W18" s="478">
        <v>3.4626301369863017</v>
      </c>
      <c r="Y18" s="478">
        <v>0</v>
      </c>
      <c r="Z18" s="478">
        <v>0</v>
      </c>
      <c r="AA18" s="478">
        <v>0</v>
      </c>
      <c r="AB18" s="478">
        <v>0</v>
      </c>
    </row>
    <row r="19" spans="3:28" x14ac:dyDescent="0.25">
      <c r="L19" s="473" t="e" vm="6">
        <f>'5. ANH'!C26</f>
        <v>#VALUE!</v>
      </c>
      <c r="M19" s="474" t="str">
        <f>'5. ANH'!D26</f>
        <v>ECP</v>
      </c>
      <c r="N19" s="474" t="str">
        <f>'5. ANH'!E26</f>
        <v>Yondo</v>
      </c>
      <c r="O19" s="474" t="str">
        <f>'5. ANH'!F26</f>
        <v>VMM</v>
      </c>
      <c r="P19" s="475" t="str">
        <f>'5. ANH'!G26</f>
        <v>Casabe</v>
      </c>
      <c r="Q19" s="473">
        <f>'5. ANH'!H26</f>
        <v>21</v>
      </c>
      <c r="R19" s="476"/>
      <c r="S19" s="476" t="str">
        <f>'5. ANH'!J26</f>
        <v>Medium Oil</v>
      </c>
      <c r="T19" s="477">
        <f>'5. ANH'!K26</f>
        <v>1.1893972602739726</v>
      </c>
      <c r="U19" s="479">
        <f>'5. ANH'!W26</f>
        <v>1.1893972602739726</v>
      </c>
      <c r="V19" s="478">
        <v>12119.3965753425</v>
      </c>
      <c r="W19" s="478">
        <v>0.23397260273972598</v>
      </c>
      <c r="Y19" s="478">
        <v>0.95542465753424666</v>
      </c>
      <c r="Z19" s="478">
        <v>0</v>
      </c>
      <c r="AA19" s="478">
        <v>0</v>
      </c>
      <c r="AB19" s="478">
        <v>0</v>
      </c>
    </row>
    <row r="20" spans="3:28" x14ac:dyDescent="0.25">
      <c r="L20" s="473" t="e" vm="6">
        <f>'5. ANH'!C27</f>
        <v>#VALUE!</v>
      </c>
      <c r="M20" s="474" t="str">
        <f>'5. ANH'!D27</f>
        <v>ECP</v>
      </c>
      <c r="N20" s="474" t="str">
        <f>'5. ANH'!E27</f>
        <v>Puerto Nare</v>
      </c>
      <c r="O20" s="474" t="str">
        <f>'5. ANH'!F27</f>
        <v>VMM</v>
      </c>
      <c r="P20" s="475" t="str">
        <f>'5. ANH'!G27</f>
        <v>Area Teca-Corcona</v>
      </c>
      <c r="Q20" s="473">
        <f>'5. ANH'!H27</f>
        <v>12.5</v>
      </c>
      <c r="R20" s="476"/>
      <c r="S20" s="476" t="str">
        <f>'5. ANH'!J27</f>
        <v>Heavy Oil</v>
      </c>
      <c r="T20" s="477">
        <f>'5. ANH'!K27</f>
        <v>0.23824657534246574</v>
      </c>
      <c r="U20" s="479">
        <f>'5. ANH'!W27</f>
        <v>0.23824657534246574</v>
      </c>
      <c r="V20" s="478">
        <v>1476.5236986301368</v>
      </c>
      <c r="W20" s="478">
        <v>0.1378630136986301</v>
      </c>
      <c r="Y20" s="478">
        <v>0.10038356164383562</v>
      </c>
      <c r="Z20" s="478">
        <v>0</v>
      </c>
      <c r="AA20" s="478">
        <v>0</v>
      </c>
      <c r="AB20" s="478">
        <v>0</v>
      </c>
    </row>
    <row r="21" spans="3:28" x14ac:dyDescent="0.25">
      <c r="L21" s="473" t="e" vm="7">
        <f>'5. ANH'!C28</f>
        <v>#VALUE!</v>
      </c>
      <c r="M21" s="474" t="str">
        <f>'5. ANH'!D28</f>
        <v>ECP</v>
      </c>
      <c r="N21" s="474" t="str">
        <f>'5. ANH'!E28</f>
        <v>Puerto Wilches</v>
      </c>
      <c r="O21" s="474" t="str">
        <f>'5. ANH'!F28</f>
        <v>VMM</v>
      </c>
      <c r="P21" s="475" t="str">
        <f>'5. ANH'!G28</f>
        <v>Yarigui-Cantagallo</v>
      </c>
      <c r="Q21" s="473">
        <f>'5. ANH'!H28</f>
        <v>21</v>
      </c>
      <c r="R21" s="476"/>
      <c r="S21" s="476" t="str">
        <f>'5. ANH'!J28</f>
        <v>Medium Oil</v>
      </c>
      <c r="T21" s="477">
        <f>'5. ANH'!K28</f>
        <v>5.057041095890412</v>
      </c>
      <c r="U21" s="479">
        <f>'5. ANH'!W28</f>
        <v>5.057041095890412</v>
      </c>
      <c r="V21" s="478">
        <v>17849.99879452055</v>
      </c>
      <c r="W21" s="478">
        <v>0.21123287671232879</v>
      </c>
      <c r="Y21" s="478">
        <v>2.4027123287671235</v>
      </c>
      <c r="Z21" s="478">
        <v>0</v>
      </c>
      <c r="AA21" s="478">
        <v>0</v>
      </c>
      <c r="AB21" s="478">
        <v>2.4430958904109596</v>
      </c>
    </row>
    <row r="22" spans="3:28" x14ac:dyDescent="0.25">
      <c r="L22" s="473" t="e" vm="7">
        <f>'5. ANH'!C29</f>
        <v>#VALUE!</v>
      </c>
      <c r="M22" s="474" t="str">
        <f>'5. ANH'!D29</f>
        <v>ECP</v>
      </c>
      <c r="N22" s="474" t="str">
        <f>'5. ANH'!E29</f>
        <v>Barrancabermeja</v>
      </c>
      <c r="O22" s="474" t="str">
        <f>'5. ANH'!F29</f>
        <v>VMM</v>
      </c>
      <c r="P22" s="475" t="str">
        <f>'5. ANH'!G29</f>
        <v>La Cira</v>
      </c>
      <c r="Q22" s="473">
        <f>'5. ANH'!H29</f>
        <v>22.5</v>
      </c>
      <c r="R22" s="476"/>
      <c r="S22" s="476" t="str">
        <f>'5. ANH'!J29</f>
        <v>Medium Oil</v>
      </c>
      <c r="T22" s="477">
        <f>'5. ANH'!K29</f>
        <v>6.7767123287671236</v>
      </c>
      <c r="U22" s="479">
        <f>'5. ANH'!W29</f>
        <v>6.7767123287671236</v>
      </c>
      <c r="V22" s="478">
        <v>42334.39687671233</v>
      </c>
      <c r="W22" s="478">
        <v>1.6441095890410957</v>
      </c>
      <c r="Y22" s="478">
        <v>1.396739726027397</v>
      </c>
      <c r="Z22" s="478">
        <v>3.7358630136986304</v>
      </c>
      <c r="AA22" s="478">
        <v>0</v>
      </c>
      <c r="AB22" s="478">
        <v>0</v>
      </c>
    </row>
    <row r="23" spans="3:28" x14ac:dyDescent="0.25">
      <c r="L23" s="473" t="e" vm="8">
        <f>'5. ANH'!C30</f>
        <v>#VALUE!</v>
      </c>
      <c r="M23" s="474" t="str">
        <f>'5. ANH'!D30</f>
        <v>ECP</v>
      </c>
      <c r="N23" s="474" t="str">
        <f>'5. ANH'!E30</f>
        <v>Aipe</v>
      </c>
      <c r="O23" s="474" t="str">
        <f>'5. ANH'!F30</f>
        <v>VSM</v>
      </c>
      <c r="P23" s="475" t="str">
        <f>'5. ANH'!G30</f>
        <v>Dina</v>
      </c>
      <c r="Q23" s="473">
        <f>'5. ANH'!H30</f>
        <v>23</v>
      </c>
      <c r="R23" s="476"/>
      <c r="S23" s="476" t="str">
        <f>'5. ANH'!J30</f>
        <v>Medium Oil</v>
      </c>
      <c r="T23" s="477">
        <f>'5. ANH'!K30</f>
        <v>1.9274794520547947</v>
      </c>
      <c r="U23" s="479">
        <f>'5. ANH'!W30</f>
        <v>1.9274794520547947</v>
      </c>
      <c r="V23" s="478">
        <v>4684.6815890410962</v>
      </c>
      <c r="W23" s="478">
        <v>0.22805479452054794</v>
      </c>
      <c r="Y23" s="478">
        <v>0.10339726027397263</v>
      </c>
      <c r="Z23" s="478">
        <v>1.5925479452054794</v>
      </c>
      <c r="AA23" s="478">
        <v>0.55931506849315071</v>
      </c>
      <c r="AB23" s="478">
        <v>3.4794520547945205E-3</v>
      </c>
    </row>
    <row r="24" spans="3:28" x14ac:dyDescent="0.25">
      <c r="L24" s="473" t="e" vm="8">
        <f>'5. ANH'!C31</f>
        <v>#VALUE!</v>
      </c>
      <c r="M24" s="474" t="str">
        <f>'5. ANH'!D31</f>
        <v>ECP</v>
      </c>
      <c r="N24" s="474" t="str">
        <f>'5. ANH'!E31</f>
        <v>Neiva/Palermo</v>
      </c>
      <c r="O24" s="474" t="str">
        <f>'5. ANH'!F31</f>
        <v>VSM</v>
      </c>
      <c r="P24" s="475" t="str">
        <f>'5. ANH'!G31</f>
        <v>San Francisco</v>
      </c>
      <c r="Q24" s="473">
        <f>'5. ANH'!H31</f>
        <v>25.5</v>
      </c>
      <c r="R24" s="476"/>
      <c r="S24" s="476" t="str">
        <f>'5. ANH'!J31</f>
        <v>Medium Oil</v>
      </c>
      <c r="T24" s="477">
        <f>'5. ANH'!K31</f>
        <v>0.8670410958904109</v>
      </c>
      <c r="U24" s="479">
        <f>'5. ANH'!W31</f>
        <v>0.8670410958904109</v>
      </c>
      <c r="V24" s="478">
        <v>4154.1152328767121</v>
      </c>
      <c r="W24" s="478">
        <v>0.41205479452054788</v>
      </c>
      <c r="Y24" s="478">
        <v>0.45498630136986301</v>
      </c>
      <c r="Z24" s="478">
        <v>0</v>
      </c>
      <c r="AA24" s="478">
        <v>0</v>
      </c>
      <c r="AB24" s="478">
        <v>0</v>
      </c>
    </row>
    <row r="25" spans="3:28" x14ac:dyDescent="0.25">
      <c r="L25" s="473" t="e" vm="8">
        <f>'5. ANH'!C32</f>
        <v>#VALUE!</v>
      </c>
      <c r="M25" s="474" t="str">
        <f>'5. ANH'!D32</f>
        <v>ECP</v>
      </c>
      <c r="N25" s="474" t="str">
        <f>'5. ANH'!E32</f>
        <v>Neiva</v>
      </c>
      <c r="O25" s="474" t="str">
        <f>'5. ANH'!F32</f>
        <v>VSM</v>
      </c>
      <c r="P25" s="480" t="str">
        <f>'5. ANH'!G32</f>
        <v>Tello</v>
      </c>
      <c r="Q25" s="473">
        <f>'5. ANH'!H32</f>
        <v>21</v>
      </c>
      <c r="R25" s="476"/>
      <c r="S25" s="476" t="str">
        <f>'5. ANH'!J32</f>
        <v>Medium Oil</v>
      </c>
      <c r="T25" s="477">
        <f>'5. ANH'!K32</f>
        <v>1.1906575342465753</v>
      </c>
      <c r="U25" s="479">
        <f>'5. ANH'!W32</f>
        <v>1.1906575342465753</v>
      </c>
      <c r="V25" s="478">
        <v>3941.1335068493149</v>
      </c>
      <c r="W25" s="478">
        <v>1.5506849315068495E-2</v>
      </c>
      <c r="Y25" s="478">
        <v>0</v>
      </c>
      <c r="Z25" s="478">
        <v>1.1751506849315068</v>
      </c>
      <c r="AA25" s="478">
        <v>0.52964383561643835</v>
      </c>
      <c r="AB25" s="478">
        <v>0</v>
      </c>
    </row>
    <row r="29" spans="3:28" x14ac:dyDescent="0.25">
      <c r="P29" s="486" t="s">
        <v>922</v>
      </c>
      <c r="Q29" s="486" t="s">
        <v>922</v>
      </c>
      <c r="S29" s="486" t="s">
        <v>922</v>
      </c>
      <c r="T29" s="486" t="s">
        <v>922</v>
      </c>
      <c r="U29" s="486" t="s">
        <v>930</v>
      </c>
      <c r="V29" s="20" t="s">
        <v>930</v>
      </c>
    </row>
    <row r="30" spans="3:28" ht="15.75" x14ac:dyDescent="0.25">
      <c r="I30" t="s">
        <v>975</v>
      </c>
      <c r="J30" t="s">
        <v>968</v>
      </c>
      <c r="K30" s="121" t="s">
        <v>961</v>
      </c>
      <c r="L30" s="510" t="s">
        <v>565</v>
      </c>
      <c r="N30" s="516" t="s">
        <v>934</v>
      </c>
      <c r="O30" s="510" t="str">
        <f>+O5</f>
        <v>Basin</v>
      </c>
      <c r="P30" s="511" t="s">
        <v>921</v>
      </c>
      <c r="Q30" s="511" t="s">
        <v>923</v>
      </c>
      <c r="S30" s="511" t="s">
        <v>575</v>
      </c>
      <c r="T30" s="511" t="s">
        <v>661</v>
      </c>
      <c r="U30" s="511" t="s">
        <v>931</v>
      </c>
      <c r="V30" s="511" t="s">
        <v>932</v>
      </c>
      <c r="W30" s="517" t="s">
        <v>936</v>
      </c>
      <c r="Y30" s="515" t="s">
        <v>911</v>
      </c>
      <c r="AB30" t="s">
        <v>933</v>
      </c>
    </row>
    <row r="31" spans="3:28" ht="15.75" x14ac:dyDescent="0.25">
      <c r="I31" s="513">
        <f>+(Y6+Y7)*365*$E$7/1000</f>
        <v>2.4500442407782339</v>
      </c>
      <c r="J31" s="513">
        <f>+(Z6+Z7)*365*$E$7/1000</f>
        <v>5.6186813035864827</v>
      </c>
      <c r="K31" s="513">
        <f>+(AA6+AA7)*365*$E$7/1000</f>
        <v>0</v>
      </c>
      <c r="L31" s="513">
        <f>+(W6+W7)*365*$E$7/1000</f>
        <v>9.2838893372876957E-2</v>
      </c>
      <c r="N31" s="497" t="s">
        <v>57</v>
      </c>
      <c r="O31" s="512" t="s">
        <v>925</v>
      </c>
      <c r="P31" s="513">
        <f>+(U6+U7)*365*$E$7/1000</f>
        <v>68.585731940983621</v>
      </c>
      <c r="Q31" s="513">
        <f>+SUM(V6:V7)*365*(1/1000)*$E$8/1000</f>
        <v>0</v>
      </c>
      <c r="S31" s="122">
        <f>+Q31+P31</f>
        <v>68.585731940983621</v>
      </c>
      <c r="T31" s="122">
        <f>+S31-L31</f>
        <v>68.49289304761075</v>
      </c>
      <c r="U31" s="543">
        <f>+T31/S31</f>
        <v>0.99864638182395205</v>
      </c>
      <c r="V31" s="542">
        <f t="shared" ref="V31:V36" si="0">+Q31/T31</f>
        <v>0</v>
      </c>
      <c r="W31" s="72">
        <f>'5. GlobalData'!BG6</f>
        <v>-2.6851115732294639</v>
      </c>
      <c r="Y31" s="57">
        <f>+'5. GlobalData'!BA5</f>
        <v>2037</v>
      </c>
      <c r="AB31" s="63">
        <f t="shared" ref="AB31:AB36" si="1">+Q31/S31</f>
        <v>0</v>
      </c>
    </row>
    <row r="32" spans="3:28" ht="15.75" x14ac:dyDescent="0.25">
      <c r="I32" s="513">
        <f>+SUM(Y9:Y12)*365*$E$7/1000</f>
        <v>29.713513857188524</v>
      </c>
      <c r="J32" s="513">
        <f>+SUM(Z9:Z12)*365*$E$7/1000</f>
        <v>69.637902700685089</v>
      </c>
      <c r="K32" s="513">
        <f>+SUM(AA9:AA12)*365*$E$7/1000</f>
        <v>14.229458377200496</v>
      </c>
      <c r="L32" s="513">
        <f>+SUM(W9:W12)*365*$E$7/1000</f>
        <v>1.8340325404926532</v>
      </c>
      <c r="N32" s="497" t="s">
        <v>58</v>
      </c>
      <c r="O32" s="514" t="s">
        <v>924</v>
      </c>
      <c r="P32" s="513">
        <f>+SUM(U8:U12)*365*$E$7/1000</f>
        <v>269.18339314049132</v>
      </c>
      <c r="Q32" s="513">
        <f>+SUM(V8:V12)*365*(1/1000)*$E$8/1000</f>
        <v>99.99628148036247</v>
      </c>
      <c r="S32" s="122">
        <f>+P32+Q32</f>
        <v>369.1796746208538</v>
      </c>
      <c r="T32" s="122">
        <f t="shared" ref="T32:T36" si="2">+S32-L32</f>
        <v>367.34564208036113</v>
      </c>
      <c r="U32" s="543">
        <f t="shared" ref="U32:U36" si="3">+T32/S32</f>
        <v>0.99503214107771176</v>
      </c>
      <c r="V32" s="542">
        <f t="shared" si="0"/>
        <v>0.27221306046823096</v>
      </c>
      <c r="W32" s="72">
        <f>'5. GlobalData'!BG7</f>
        <v>-9.382008134021282</v>
      </c>
      <c r="Y32" s="57">
        <f>+'5. GlobalData'!BF5</f>
        <v>2050</v>
      </c>
      <c r="AB32" s="63">
        <f t="shared" si="1"/>
        <v>0.27086074438702046</v>
      </c>
    </row>
    <row r="33" spans="3:28" ht="15.75" x14ac:dyDescent="0.25">
      <c r="I33" s="513">
        <f>+SUM(Y13:Y17)*365*$E$7/1000</f>
        <v>0.35808998998868485</v>
      </c>
      <c r="J33" s="513">
        <f>+SUM(Z13:Z17)*365*$E$7/1000</f>
        <v>0</v>
      </c>
      <c r="K33" s="513">
        <f>+SUM(AA13:AA17)*365*$E$7/1000</f>
        <v>0</v>
      </c>
      <c r="L33" s="513">
        <f>+SUM(W13:W17)*365*$E$7/1000</f>
        <v>1.3420752466626953</v>
      </c>
      <c r="N33" s="497" t="s">
        <v>59</v>
      </c>
      <c r="O33" s="19" t="s">
        <v>926</v>
      </c>
      <c r="P33" s="513">
        <f>+SUM(U13:U17)*365*$E$7/1000</f>
        <v>2.0511176562165523</v>
      </c>
      <c r="Q33" s="513">
        <f>+SUM(V13:V17)*365*(1/1000)*$E$8/1000</f>
        <v>719.17747734585976</v>
      </c>
      <c r="S33" s="122">
        <f>+Q33+P33</f>
        <v>721.2285950020763</v>
      </c>
      <c r="T33" s="122">
        <f t="shared" si="2"/>
        <v>719.88651975541359</v>
      </c>
      <c r="U33" s="543">
        <f t="shared" si="3"/>
        <v>0.99813918186832451</v>
      </c>
      <c r="V33" s="542">
        <f t="shared" si="0"/>
        <v>0.99901506363837078</v>
      </c>
      <c r="W33" s="72">
        <f>'5. GlobalData'!BG8</f>
        <v>-19.949111557879402</v>
      </c>
      <c r="Y33" s="57">
        <f>+'5. GlobalData'!BF5</f>
        <v>2050</v>
      </c>
      <c r="AB33" s="63">
        <f t="shared" si="1"/>
        <v>0.99715607829413555</v>
      </c>
    </row>
    <row r="34" spans="3:28" ht="15.75" x14ac:dyDescent="0.25">
      <c r="I34" s="513">
        <f>+(Y18)*365*$AA$7/1000</f>
        <v>0</v>
      </c>
      <c r="J34" s="513">
        <f>+(Z18)*365*$AA$7/1000</f>
        <v>0</v>
      </c>
      <c r="K34" s="513">
        <f>+(AA18)*365*$AA$7/1000</f>
        <v>0</v>
      </c>
      <c r="L34" s="513">
        <f>+(W18)*365*$E$7/1000</f>
        <v>1.2759391450439788</v>
      </c>
      <c r="N34" s="497" t="s">
        <v>60</v>
      </c>
      <c r="O34" s="19" t="s">
        <v>927</v>
      </c>
      <c r="P34" s="513">
        <f>+(U18)*365*$E$7/1000</f>
        <v>1.2759391450439788</v>
      </c>
      <c r="Q34" s="513">
        <f>+SUM(V18)*365*(1/1000)*$E$8/1000</f>
        <v>4.3593517548323124</v>
      </c>
      <c r="S34" s="122">
        <f>+Q34+P34</f>
        <v>5.6352908998762912</v>
      </c>
      <c r="T34" s="122">
        <f t="shared" si="2"/>
        <v>4.3593517548323124</v>
      </c>
      <c r="U34" s="543">
        <f t="shared" si="3"/>
        <v>0.7735806069794926</v>
      </c>
      <c r="V34" s="542">
        <f t="shared" si="0"/>
        <v>1</v>
      </c>
      <c r="W34" s="72">
        <f>'5. GlobalData'!BG9</f>
        <v>-0.15021157762588969</v>
      </c>
      <c r="Y34" s="57">
        <v>2043</v>
      </c>
      <c r="AB34" s="63">
        <f t="shared" si="1"/>
        <v>0.7735806069794926</v>
      </c>
    </row>
    <row r="35" spans="3:28" ht="15.75" x14ac:dyDescent="0.25">
      <c r="I35" s="513">
        <f>+(Y19+Y21+Y22)*365*$E$7/1000</f>
        <v>1.7521170575840492</v>
      </c>
      <c r="J35" s="513">
        <f>+(Z19+Z21+Z22)*365*$E$7/1000</f>
        <v>1.3766222989813104</v>
      </c>
      <c r="K35" s="513">
        <f>+(AA19+AA21+AA22)*365*$E$7/1000</f>
        <v>0</v>
      </c>
      <c r="L35" s="513">
        <f>+(W19+W21+W22)*365*$E$7/1000</f>
        <v>0.76988843068895141</v>
      </c>
      <c r="N35" s="497" t="s">
        <v>61</v>
      </c>
      <c r="O35" s="19" t="s">
        <v>929</v>
      </c>
      <c r="P35" s="513">
        <f>+(U19++U21+U22)*365*$E$7/1000</f>
        <v>4.7988803578001527</v>
      </c>
      <c r="Q35" s="513">
        <f>+(SUM(V19:V22)-V20)*365*(1/1000)*$E$8/1000</f>
        <v>160.64590837999941</v>
      </c>
      <c r="S35" s="122">
        <f>+Q35+P35</f>
        <v>165.44478873779957</v>
      </c>
      <c r="T35" s="122">
        <f t="shared" si="2"/>
        <v>164.67490030711062</v>
      </c>
      <c r="U35" s="543">
        <f t="shared" si="3"/>
        <v>0.99534655375631631</v>
      </c>
      <c r="V35" s="542">
        <f t="shared" si="0"/>
        <v>0.9755336610521862</v>
      </c>
      <c r="W35" s="72">
        <f>'5. GlobalData'!BG10</f>
        <v>-4.4565773241322679</v>
      </c>
      <c r="Y35" s="57">
        <v>2047</v>
      </c>
      <c r="AB35" s="63">
        <f t="shared" si="1"/>
        <v>0.97099406760157603</v>
      </c>
    </row>
    <row r="36" spans="3:28" ht="15.75" x14ac:dyDescent="0.25">
      <c r="I36" s="544">
        <f>+(Y23+Y24+Y25)*365*$E$7/1000</f>
        <v>0.20575788232194489</v>
      </c>
      <c r="J36" s="544">
        <f>+(Z23+Z24+Z25)*365*$E$7/1000</f>
        <v>1.0198649246869729</v>
      </c>
      <c r="K36" s="544">
        <f>+(AA23+AA24+AA25)*365*$E$7/1000</f>
        <v>0.40126875760023278</v>
      </c>
      <c r="L36" s="544">
        <f>+(W23+W24+W25)*365*$E$7/1000</f>
        <v>0.24158707246769742</v>
      </c>
      <c r="N36" s="497" t="s">
        <v>62</v>
      </c>
      <c r="O36" s="514" t="s">
        <v>928</v>
      </c>
      <c r="P36" s="513">
        <f>+(U23+U24+U25)*365*$E$7/1000</f>
        <v>1.4684920173037526</v>
      </c>
      <c r="Q36" s="513">
        <f>+SUM(V23:V25)*365*(1/1000)*$E$8/1000</f>
        <v>28.394686542809104</v>
      </c>
      <c r="S36" s="122">
        <f>+Q36+P36</f>
        <v>29.863178560112857</v>
      </c>
      <c r="T36" s="122">
        <f t="shared" si="2"/>
        <v>29.621591487645158</v>
      </c>
      <c r="U36" s="543">
        <f t="shared" si="3"/>
        <v>0.99191020232553617</v>
      </c>
      <c r="V36" s="542">
        <f t="shared" si="0"/>
        <v>0.95858072158790719</v>
      </c>
      <c r="W36" s="72">
        <f>'5. GlobalData'!BG11</f>
        <v>-0.72707065395261417</v>
      </c>
      <c r="Y36" s="57">
        <f>+'5. GlobalData'!BF5</f>
        <v>2050</v>
      </c>
      <c r="AB36" s="63">
        <f t="shared" si="1"/>
        <v>0.95082599749561947</v>
      </c>
    </row>
    <row r="37" spans="3:28" ht="15.75" x14ac:dyDescent="0.25">
      <c r="O37" s="514"/>
      <c r="P37" s="513"/>
      <c r="Q37" s="513"/>
    </row>
    <row r="38" spans="3:28" ht="15.75" x14ac:dyDescent="0.25">
      <c r="D38" t="s">
        <v>976</v>
      </c>
      <c r="I38" s="57">
        <f>+SUM(I31:I36)</f>
        <v>34.47952302786144</v>
      </c>
      <c r="J38" t="s">
        <v>9</v>
      </c>
      <c r="O38" s="514"/>
      <c r="P38" s="513"/>
      <c r="Q38" s="513"/>
      <c r="R38" s="513"/>
      <c r="S38" s="513"/>
    </row>
    <row r="39" spans="3:28" x14ac:dyDescent="0.25">
      <c r="C39" t="s">
        <v>977</v>
      </c>
      <c r="D39" s="75">
        <v>3031</v>
      </c>
      <c r="E39" t="s">
        <v>559</v>
      </c>
      <c r="I39">
        <f>+I38/0.0036</f>
        <v>9577.6452855170664</v>
      </c>
      <c r="J39" t="s">
        <v>252</v>
      </c>
    </row>
    <row r="40" spans="3:28" x14ac:dyDescent="0.25">
      <c r="C40" t="s">
        <v>978</v>
      </c>
      <c r="D40" s="75">
        <v>1646</v>
      </c>
      <c r="E40" t="s">
        <v>559</v>
      </c>
    </row>
    <row r="41" spans="3:28" x14ac:dyDescent="0.25">
      <c r="C41" t="s">
        <v>977</v>
      </c>
      <c r="D41" s="75">
        <f>++D39*0.0036</f>
        <v>10.9116</v>
      </c>
      <c r="E41" t="s">
        <v>9</v>
      </c>
      <c r="I41">
        <f>+I38*0.35</f>
        <v>12.067833059751504</v>
      </c>
      <c r="N41" s="316"/>
      <c r="O41" s="1"/>
      <c r="P41" s="1"/>
      <c r="Q41" s="19" t="s">
        <v>9</v>
      </c>
      <c r="R41" t="s">
        <v>19</v>
      </c>
    </row>
    <row r="42" spans="3:28" x14ac:dyDescent="0.25">
      <c r="C42" t="s">
        <v>978</v>
      </c>
      <c r="D42" s="75">
        <f>++D40*0.0036</f>
        <v>5.9256000000000002</v>
      </c>
      <c r="E42" t="s">
        <v>9</v>
      </c>
      <c r="I42">
        <f>+I39*0.35</f>
        <v>3352.1758499309731</v>
      </c>
      <c r="N42" s="317" t="s">
        <v>11</v>
      </c>
      <c r="O42" s="318" t="s">
        <v>13</v>
      </c>
      <c r="P42" s="318" t="s">
        <v>14</v>
      </c>
      <c r="Q42" s="318" t="s">
        <v>937</v>
      </c>
      <c r="R42" s="318" t="s">
        <v>938</v>
      </c>
      <c r="S42" s="318" t="s">
        <v>31</v>
      </c>
    </row>
    <row r="43" spans="3:28" x14ac:dyDescent="0.25">
      <c r="D43" s="75">
        <f>+D42+D41</f>
        <v>16.837199999999999</v>
      </c>
      <c r="E43" t="s">
        <v>9</v>
      </c>
      <c r="N43" t="str" cm="1">
        <f t="array" ref="N43:N48">+PROCESS!D24:D29</f>
        <v>MIN-CAM1</v>
      </c>
      <c r="O43" t="str" cm="1">
        <f t="array" ref="O43:O48">+COMM!D20:D25</f>
        <v>R-CAM1</v>
      </c>
      <c r="P43" t="s">
        <v>552</v>
      </c>
      <c r="Q43" s="436">
        <f>'5. GlobalData'!AS6*1000*E8/1000</f>
        <v>265.40079370777568</v>
      </c>
      <c r="R43" s="519">
        <v>1E-4</v>
      </c>
      <c r="S43" s="289">
        <v>1</v>
      </c>
    </row>
    <row r="44" spans="3:28" x14ac:dyDescent="0.25">
      <c r="N44" t="str">
        <v>MIN-CAM2</v>
      </c>
      <c r="O44" t="str">
        <v>R-CAM2</v>
      </c>
      <c r="P44" t="s">
        <v>552</v>
      </c>
      <c r="Q44" s="436">
        <f>'5. GlobalData'!AS7*1000*E9/1000</f>
        <v>2194.6697743899408</v>
      </c>
      <c r="R44" s="519">
        <v>1E-4</v>
      </c>
      <c r="S44" s="289">
        <v>1</v>
      </c>
    </row>
    <row r="45" spans="3:28" x14ac:dyDescent="0.25">
      <c r="C45" t="s">
        <v>979</v>
      </c>
      <c r="D45" s="57">
        <f>+SUM(S31:S36)</f>
        <v>1359.9372597617025</v>
      </c>
      <c r="E45" t="s">
        <v>9</v>
      </c>
      <c r="N45" t="str">
        <v>MIN-CAM3</v>
      </c>
      <c r="O45" t="str">
        <v>R-CAM3</v>
      </c>
      <c r="P45" t="s">
        <v>552</v>
      </c>
      <c r="Q45" s="436">
        <f>'5. GlobalData'!AS8*1000*E10/1000</f>
        <v>7918.439644193184</v>
      </c>
      <c r="R45" s="519">
        <v>1E-4</v>
      </c>
      <c r="S45" s="289">
        <v>1</v>
      </c>
    </row>
    <row r="46" spans="3:28" x14ac:dyDescent="0.25">
      <c r="D46">
        <f>+D43/D45</f>
        <v>1.2380865278263152E-2</v>
      </c>
      <c r="N46" t="str">
        <v>MIN-CAM4</v>
      </c>
      <c r="O46" t="str">
        <v>R-CAM4</v>
      </c>
      <c r="P46" t="s">
        <v>552</v>
      </c>
      <c r="Q46" s="436">
        <f>'5. GlobalData'!AS9*1000*E11/1000</f>
        <v>38.915560761631227</v>
      </c>
      <c r="R46" s="519">
        <v>1E-4</v>
      </c>
      <c r="S46" s="289">
        <v>1</v>
      </c>
    </row>
    <row r="47" spans="3:28" x14ac:dyDescent="0.25">
      <c r="N47" t="str">
        <v>MIN-CAM5</v>
      </c>
      <c r="O47" t="str">
        <v>R-CAM5</v>
      </c>
      <c r="P47" t="s">
        <v>552</v>
      </c>
      <c r="Q47" s="436">
        <f>'5. GlobalData'!AS10*1000*E12/1000</f>
        <v>1019.7889267382204</v>
      </c>
      <c r="R47" s="519">
        <v>1E-4</v>
      </c>
      <c r="S47" s="289">
        <v>1</v>
      </c>
    </row>
    <row r="48" spans="3:28" x14ac:dyDescent="0.25">
      <c r="N48" t="str">
        <v>MIN-CAM6</v>
      </c>
      <c r="O48" t="str">
        <v>R-CAM6</v>
      </c>
      <c r="P48" t="s">
        <v>552</v>
      </c>
      <c r="Q48" s="436">
        <f>'5. GlobalData'!AS11*1000*E13/1000</f>
        <v>244.3536781595391</v>
      </c>
      <c r="R48" s="519">
        <v>1E-4</v>
      </c>
      <c r="S48" s="289">
        <v>1</v>
      </c>
    </row>
    <row r="53" spans="8:24" x14ac:dyDescent="0.25">
      <c r="I53" t="s">
        <v>980</v>
      </c>
      <c r="N53" s="316"/>
      <c r="O53" s="1"/>
      <c r="S53" s="540"/>
      <c r="T53" s="19"/>
      <c r="U53" s="19"/>
    </row>
    <row r="54" spans="8:24" x14ac:dyDescent="0.25">
      <c r="H54" t="s">
        <v>981</v>
      </c>
      <c r="I54">
        <v>1.0581999999999999E-2</v>
      </c>
      <c r="J54" t="s">
        <v>982</v>
      </c>
      <c r="N54" s="317" t="s">
        <v>11</v>
      </c>
      <c r="O54" s="318" t="s">
        <v>13</v>
      </c>
      <c r="P54" s="318" t="s">
        <v>31</v>
      </c>
      <c r="S54" s="317" t="s">
        <v>11</v>
      </c>
      <c r="T54" s="327" t="s">
        <v>1</v>
      </c>
      <c r="U54" s="327" t="s">
        <v>625</v>
      </c>
      <c r="V54" s="327" t="s">
        <v>552</v>
      </c>
      <c r="W54" s="553"/>
    </row>
    <row r="55" spans="8:24" x14ac:dyDescent="0.25">
      <c r="I55" s="554">
        <f>+I54/(1+I54)</f>
        <v>1.0471193826923493E-2</v>
      </c>
      <c r="K55" t="s">
        <v>995</v>
      </c>
      <c r="L55" t="s">
        <v>989</v>
      </c>
      <c r="N55" t="str" cm="1">
        <f t="array" ref="N55:N60">+PROCESS!N24:N29</f>
        <v>PROF-CAM1</v>
      </c>
      <c r="O55" t="str" cm="1">
        <f t="array" ref="O55:O60">+_xlfn.ANCHORARRAY(COMM!D80)</f>
        <v>FLU-CAM1</v>
      </c>
      <c r="P55" s="442">
        <f>+T31/(S31+T31*P85)</f>
        <v>0.98831158795187002</v>
      </c>
      <c r="S55" s="19" t="str" cm="1">
        <f t="array" ref="S55:S60">+_xlfn.ANCHORARRAY(N55)</f>
        <v>PROF-CAM1</v>
      </c>
      <c r="T55" s="19" t="s">
        <v>626</v>
      </c>
      <c r="U55">
        <v>2019</v>
      </c>
      <c r="V55" s="367">
        <f>+T31</f>
        <v>68.49289304761075</v>
      </c>
    </row>
    <row r="56" spans="8:24" x14ac:dyDescent="0.25">
      <c r="K56" t="s">
        <v>996</v>
      </c>
      <c r="L56" t="s">
        <v>990</v>
      </c>
      <c r="N56" t="str">
        <v>PROF-CAM2</v>
      </c>
      <c r="O56" t="str">
        <v>FLU-CAM2</v>
      </c>
      <c r="P56" s="442">
        <f>+T32/(S32+T32*P87)</f>
        <v>0.98477163366929676</v>
      </c>
      <c r="S56" s="19" t="str">
        <v>PROF-CAM2</v>
      </c>
      <c r="T56" s="19" t="s">
        <v>626</v>
      </c>
      <c r="U56">
        <v>2019</v>
      </c>
      <c r="V56" s="367">
        <f>+T32</f>
        <v>367.34564208036113</v>
      </c>
      <c r="W56" s="19"/>
    </row>
    <row r="57" spans="8:24" x14ac:dyDescent="0.25">
      <c r="K57" t="s">
        <v>997</v>
      </c>
      <c r="L57" t="s">
        <v>991</v>
      </c>
      <c r="N57" t="str">
        <v>PROF-CAM3</v>
      </c>
      <c r="O57" t="str">
        <v>FLU-CAM3</v>
      </c>
      <c r="P57" s="442">
        <f>+T33/(S33+T33*P89)</f>
        <v>0.98781482888934358</v>
      </c>
      <c r="S57" s="19" t="str">
        <v>PROF-CAM3</v>
      </c>
      <c r="T57" s="19" t="s">
        <v>626</v>
      </c>
      <c r="U57">
        <v>2019</v>
      </c>
      <c r="V57" s="367">
        <f t="shared" ref="V57:V60" si="4">+T33</f>
        <v>719.88651975541359</v>
      </c>
      <c r="W57" s="19"/>
    </row>
    <row r="58" spans="8:24" x14ac:dyDescent="0.25">
      <c r="K58" t="s">
        <v>998</v>
      </c>
      <c r="L58" t="s">
        <v>992</v>
      </c>
      <c r="N58" t="str">
        <v>PROF-CAM4</v>
      </c>
      <c r="O58" t="str">
        <v>FLU-CAM4</v>
      </c>
      <c r="P58" s="442">
        <f>+T34/(S34+T34*P91)</f>
        <v>0.76736471302063824</v>
      </c>
      <c r="S58" s="19" t="str">
        <v>PROF-CAM4</v>
      </c>
      <c r="T58" s="19" t="s">
        <v>626</v>
      </c>
      <c r="U58">
        <v>2019</v>
      </c>
      <c r="V58" s="367">
        <f t="shared" si="4"/>
        <v>4.3593517548323124</v>
      </c>
      <c r="W58" s="19"/>
    </row>
    <row r="59" spans="8:24" x14ac:dyDescent="0.25">
      <c r="I59" s="122">
        <f>1/I55</f>
        <v>95.500094500094519</v>
      </c>
      <c r="K59" t="s">
        <v>999</v>
      </c>
      <c r="L59" t="s">
        <v>993</v>
      </c>
      <c r="N59" t="str">
        <v>PROF-CAM5</v>
      </c>
      <c r="O59" t="str">
        <v>FLU-CAM5</v>
      </c>
      <c r="P59" s="442">
        <f>+T35/(S35+T35*P93)</f>
        <v>0.98507959449632709</v>
      </c>
      <c r="S59" s="19" t="str">
        <v>PROF-CAM5</v>
      </c>
      <c r="T59" s="19" t="s">
        <v>626</v>
      </c>
      <c r="U59">
        <v>2019</v>
      </c>
      <c r="V59" s="367">
        <f t="shared" si="4"/>
        <v>164.67490030711062</v>
      </c>
      <c r="W59" s="19"/>
    </row>
    <row r="60" spans="8:24" x14ac:dyDescent="0.25">
      <c r="K60" t="s">
        <v>1000</v>
      </c>
      <c r="L60" t="s">
        <v>994</v>
      </c>
      <c r="N60" t="str">
        <v>PROF-CAM6</v>
      </c>
      <c r="O60" t="str">
        <v>FLU-CAM6</v>
      </c>
      <c r="P60" s="442">
        <f>+T36/(S36+T36*P95)</f>
        <v>0.98171364922756943</v>
      </c>
      <c r="S60" s="19" t="str">
        <v>PROF-CAM6</v>
      </c>
      <c r="T60" s="19" t="s">
        <v>626</v>
      </c>
      <c r="U60">
        <v>2019</v>
      </c>
      <c r="V60" s="367">
        <f t="shared" si="4"/>
        <v>29.621591487645158</v>
      </c>
      <c r="W60" s="19"/>
    </row>
    <row r="61" spans="8:24" x14ac:dyDescent="0.25">
      <c r="Q61" s="537"/>
      <c r="R61" s="57"/>
    </row>
    <row r="62" spans="8:24" x14ac:dyDescent="0.25">
      <c r="Q62" s="537"/>
      <c r="R62" s="57"/>
    </row>
    <row r="63" spans="8:24" x14ac:dyDescent="0.25">
      <c r="J63">
        <f t="shared" ref="J63:J68" si="5">+V55*I55</f>
        <v>0.71720235886827277</v>
      </c>
      <c r="Q63" s="537"/>
      <c r="R63" s="57"/>
    </row>
    <row r="64" spans="8:24" x14ac:dyDescent="0.25">
      <c r="J64">
        <f t="shared" si="5"/>
        <v>0</v>
      </c>
      <c r="N64" s="540"/>
      <c r="O64" s="16"/>
      <c r="P64" s="16"/>
      <c r="Q64" s="541"/>
      <c r="R64" s="16"/>
      <c r="T64" s="540"/>
      <c r="U64" s="16"/>
      <c r="V64" s="16"/>
      <c r="W64" s="541"/>
      <c r="X64" s="16"/>
    </row>
    <row r="65" spans="10:24" x14ac:dyDescent="0.25">
      <c r="J65">
        <f t="shared" si="5"/>
        <v>0</v>
      </c>
      <c r="N65" s="327" t="s">
        <v>11</v>
      </c>
      <c r="O65" s="327" t="s">
        <v>1</v>
      </c>
      <c r="P65" s="327" t="s">
        <v>625</v>
      </c>
      <c r="Q65" s="327" t="s">
        <v>552</v>
      </c>
      <c r="R65" s="393" t="s">
        <v>175</v>
      </c>
      <c r="T65" s="327" t="s">
        <v>11</v>
      </c>
      <c r="U65" s="327" t="s">
        <v>1</v>
      </c>
      <c r="V65" s="327" t="s">
        <v>625</v>
      </c>
      <c r="W65" s="327" t="s">
        <v>552</v>
      </c>
      <c r="X65" s="393" t="s">
        <v>175</v>
      </c>
    </row>
    <row r="66" spans="10:24" x14ac:dyDescent="0.25">
      <c r="J66">
        <f t="shared" si="5"/>
        <v>0</v>
      </c>
      <c r="N66" t="str" cm="1">
        <f t="array" ref="N66:N71">+T66:T71</f>
        <v>PROF-CAM1</v>
      </c>
      <c r="O66" s="19" t="s">
        <v>626</v>
      </c>
      <c r="P66" s="57">
        <v>2025</v>
      </c>
      <c r="Q66" s="122">
        <f>+V55+(P66-2020)*W31</f>
        <v>55.067335181463434</v>
      </c>
      <c r="T66" t="str" cm="1">
        <f t="array" ref="T66:T71">+_xlfn.ANCHORARRAY(N55)</f>
        <v>PROF-CAM1</v>
      </c>
      <c r="U66" s="19" t="s">
        <v>626</v>
      </c>
      <c r="V66" s="57">
        <f t="shared" ref="V66:V71" si="6">+Y31</f>
        <v>2037</v>
      </c>
      <c r="W66" s="122">
        <f t="shared" ref="W66:W71" si="7">+V55+(V66-2020)*W31</f>
        <v>22.845996302709864</v>
      </c>
    </row>
    <row r="67" spans="10:24" x14ac:dyDescent="0.25">
      <c r="J67">
        <f t="shared" si="5"/>
        <v>15726.468541122707</v>
      </c>
      <c r="N67" t="str">
        <v>PROF-CAM2</v>
      </c>
      <c r="O67" s="19" t="s">
        <v>626</v>
      </c>
      <c r="P67" s="57">
        <v>2025</v>
      </c>
      <c r="Q67" s="122">
        <f t="shared" ref="Q67:Q71" si="8">+V56+(P67-2020)*W32</f>
        <v>320.43560141025472</v>
      </c>
      <c r="T67" t="str">
        <v>PROF-CAM2</v>
      </c>
      <c r="U67" s="19" t="s">
        <v>626</v>
      </c>
      <c r="V67" s="57">
        <f t="shared" si="6"/>
        <v>2050</v>
      </c>
      <c r="W67" s="122">
        <f t="shared" si="7"/>
        <v>85.885398059722661</v>
      </c>
    </row>
    <row r="68" spans="10:24" x14ac:dyDescent="0.25">
      <c r="J68">
        <f t="shared" si="5"/>
        <v>0</v>
      </c>
      <c r="N68" t="str">
        <v>PROF-CAM3</v>
      </c>
      <c r="O68" s="19" t="s">
        <v>626</v>
      </c>
      <c r="P68" s="57">
        <v>2025</v>
      </c>
      <c r="Q68" s="122">
        <f t="shared" si="8"/>
        <v>620.14096196601656</v>
      </c>
      <c r="T68" t="str">
        <v>PROF-CAM3</v>
      </c>
      <c r="U68" s="19" t="s">
        <v>626</v>
      </c>
      <c r="V68" s="57">
        <f t="shared" si="6"/>
        <v>2050</v>
      </c>
      <c r="W68" s="122">
        <f t="shared" si="7"/>
        <v>121.41317301903155</v>
      </c>
    </row>
    <row r="69" spans="10:24" x14ac:dyDescent="0.25">
      <c r="J69">
        <f t="shared" ref="J69:J70" si="9">+Q61*I61</f>
        <v>0</v>
      </c>
      <c r="N69" t="str">
        <v>PROF-CAM4</v>
      </c>
      <c r="O69" s="19" t="s">
        <v>626</v>
      </c>
      <c r="P69" s="57">
        <v>2025</v>
      </c>
      <c r="Q69" s="122">
        <f t="shared" si="8"/>
        <v>3.6082938667028639</v>
      </c>
      <c r="T69" t="str">
        <v>PROF-CAM4</v>
      </c>
      <c r="U69" s="19" t="s">
        <v>626</v>
      </c>
      <c r="V69" s="57">
        <f t="shared" si="6"/>
        <v>2043</v>
      </c>
      <c r="W69" s="122">
        <f t="shared" si="7"/>
        <v>0.9044854694368496</v>
      </c>
    </row>
    <row r="70" spans="10:24" x14ac:dyDescent="0.25">
      <c r="J70">
        <f t="shared" si="9"/>
        <v>0</v>
      </c>
      <c r="N70" t="str">
        <v>PROF-CAM5</v>
      </c>
      <c r="O70" s="19" t="s">
        <v>626</v>
      </c>
      <c r="P70" s="57">
        <v>2025</v>
      </c>
      <c r="Q70" s="122">
        <f t="shared" si="8"/>
        <v>142.39201368644927</v>
      </c>
      <c r="T70" t="str">
        <v>PROF-CAM5</v>
      </c>
      <c r="U70" s="19" t="s">
        <v>626</v>
      </c>
      <c r="V70" s="57">
        <f t="shared" si="6"/>
        <v>2047</v>
      </c>
      <c r="W70" s="122">
        <f t="shared" si="7"/>
        <v>44.347312555539389</v>
      </c>
    </row>
    <row r="71" spans="10:24" x14ac:dyDescent="0.25">
      <c r="N71" t="str">
        <v>PROF-CAM6</v>
      </c>
      <c r="O71" s="19" t="s">
        <v>626</v>
      </c>
      <c r="P71" s="57">
        <v>2025</v>
      </c>
      <c r="Q71" s="122">
        <f t="shared" si="8"/>
        <v>25.986238217882089</v>
      </c>
      <c r="T71" t="str">
        <v>PROF-CAM6</v>
      </c>
      <c r="U71" s="19" t="s">
        <v>626</v>
      </c>
      <c r="V71" s="57">
        <f t="shared" si="6"/>
        <v>2050</v>
      </c>
      <c r="W71" s="122">
        <f t="shared" si="7"/>
        <v>7.8094718690667335</v>
      </c>
    </row>
    <row r="72" spans="10:24" x14ac:dyDescent="0.25">
      <c r="R72" s="57"/>
      <c r="T72" s="485"/>
    </row>
    <row r="73" spans="10:24" x14ac:dyDescent="0.25">
      <c r="R73" s="57"/>
      <c r="T73" s="485"/>
    </row>
    <row r="74" spans="10:24" x14ac:dyDescent="0.25">
      <c r="R74" s="57"/>
      <c r="T74" s="485"/>
    </row>
    <row r="75" spans="10:24" x14ac:dyDescent="0.25">
      <c r="N75" s="540"/>
      <c r="O75" s="16"/>
      <c r="P75" s="16"/>
      <c r="Q75" s="541"/>
      <c r="R75" s="16"/>
      <c r="T75" s="485"/>
    </row>
    <row r="76" spans="10:24" x14ac:dyDescent="0.25">
      <c r="N76" s="327" t="s">
        <v>11</v>
      </c>
      <c r="O76" s="327" t="s">
        <v>1</v>
      </c>
      <c r="P76" s="327" t="s">
        <v>625</v>
      </c>
      <c r="Q76" s="327" t="s">
        <v>552</v>
      </c>
      <c r="R76" s="393" t="s">
        <v>175</v>
      </c>
    </row>
    <row r="77" spans="10:24" x14ac:dyDescent="0.25">
      <c r="N77" s="19" t="str">
        <f>+N55</f>
        <v>PROF-CAM1</v>
      </c>
      <c r="O77" s="19" t="s">
        <v>626</v>
      </c>
      <c r="P77" s="436">
        <f>+Y31+3</f>
        <v>2040</v>
      </c>
      <c r="Q77" s="19"/>
      <c r="R77" s="19">
        <v>0</v>
      </c>
    </row>
    <row r="78" spans="10:24" x14ac:dyDescent="0.25">
      <c r="N78" s="19" t="str">
        <f>+N58</f>
        <v>PROF-CAM4</v>
      </c>
      <c r="O78" s="19" t="s">
        <v>626</v>
      </c>
      <c r="P78" s="436">
        <f>+Y34+3</f>
        <v>2046</v>
      </c>
      <c r="Q78" s="19"/>
      <c r="R78" s="19">
        <v>0</v>
      </c>
    </row>
    <row r="79" spans="10:24" x14ac:dyDescent="0.25">
      <c r="N79" s="19" t="str">
        <f>+N59</f>
        <v>PROF-CAM5</v>
      </c>
      <c r="O79" s="19" t="s">
        <v>626</v>
      </c>
      <c r="P79" s="436">
        <f>+Y35+3</f>
        <v>2050</v>
      </c>
      <c r="Q79" s="19"/>
      <c r="R79" s="19">
        <v>0</v>
      </c>
    </row>
    <row r="82" spans="14:16" x14ac:dyDescent="0.25">
      <c r="N82" s="316"/>
    </row>
    <row r="83" spans="14:16" x14ac:dyDescent="0.25">
      <c r="N83" s="317" t="s">
        <v>11</v>
      </c>
      <c r="O83" s="318" t="s">
        <v>12</v>
      </c>
      <c r="P83" s="318" t="s">
        <v>153</v>
      </c>
    </row>
    <row r="84" spans="14:16" x14ac:dyDescent="0.25">
      <c r="N84" t="s">
        <v>989</v>
      </c>
      <c r="O84" t="str">
        <f>+O43</f>
        <v>R-CAM1</v>
      </c>
      <c r="P84" s="265">
        <f>100%-P85</f>
        <v>0.98952880617307648</v>
      </c>
    </row>
    <row r="85" spans="14:16" x14ac:dyDescent="0.25">
      <c r="O85" t="str">
        <f>+COMM!D86</f>
        <v>ELC-CAM1</v>
      </c>
      <c r="P85" s="265">
        <f>+$I$55</f>
        <v>1.0471193826923493E-2</v>
      </c>
    </row>
    <row r="86" spans="14:16" x14ac:dyDescent="0.25">
      <c r="N86" t="s">
        <v>990</v>
      </c>
      <c r="O86" t="str">
        <f>+O44</f>
        <v>R-CAM2</v>
      </c>
      <c r="P86" s="265">
        <f>100%-P87</f>
        <v>0.98952880617307648</v>
      </c>
    </row>
    <row r="87" spans="14:16" x14ac:dyDescent="0.25">
      <c r="O87" t="str">
        <f>+COMM!D87</f>
        <v>ELC-CAM2</v>
      </c>
      <c r="P87" s="265">
        <f>+$I$55</f>
        <v>1.0471193826923493E-2</v>
      </c>
    </row>
    <row r="88" spans="14:16" x14ac:dyDescent="0.25">
      <c r="N88" t="s">
        <v>991</v>
      </c>
      <c r="O88" t="str">
        <f>+O45</f>
        <v>R-CAM3</v>
      </c>
      <c r="P88" s="265">
        <f>100%-P89</f>
        <v>0.98952880617307648</v>
      </c>
    </row>
    <row r="89" spans="14:16" x14ac:dyDescent="0.25">
      <c r="O89" t="str">
        <f>+COMM!D88</f>
        <v>ELC-CAM3</v>
      </c>
      <c r="P89" s="265">
        <f>+$I$55</f>
        <v>1.0471193826923493E-2</v>
      </c>
    </row>
    <row r="90" spans="14:16" x14ac:dyDescent="0.25">
      <c r="N90" t="s">
        <v>992</v>
      </c>
      <c r="O90" t="str">
        <f>+O46</f>
        <v>R-CAM4</v>
      </c>
      <c r="P90" s="265">
        <f>100%-P91</f>
        <v>0.98952880617307648</v>
      </c>
    </row>
    <row r="91" spans="14:16" x14ac:dyDescent="0.25">
      <c r="O91" t="str">
        <f>+COMM!D89</f>
        <v>ELC-CAM4</v>
      </c>
      <c r="P91" s="265">
        <f>+$I$55</f>
        <v>1.0471193826923493E-2</v>
      </c>
    </row>
    <row r="92" spans="14:16" x14ac:dyDescent="0.25">
      <c r="N92" t="s">
        <v>993</v>
      </c>
      <c r="O92" t="str">
        <f>+O47</f>
        <v>R-CAM5</v>
      </c>
      <c r="P92" s="265">
        <f>100%-P93</f>
        <v>0.98952880617307648</v>
      </c>
    </row>
    <row r="93" spans="14:16" x14ac:dyDescent="0.25">
      <c r="O93" t="str">
        <f>+COMM!D90</f>
        <v>ELC-CAM5</v>
      </c>
      <c r="P93" s="265">
        <f>+$I$55</f>
        <v>1.0471193826923493E-2</v>
      </c>
    </row>
    <row r="94" spans="14:16" x14ac:dyDescent="0.25">
      <c r="N94" t="s">
        <v>994</v>
      </c>
      <c r="O94" t="str">
        <f>+O48</f>
        <v>R-CAM6</v>
      </c>
      <c r="P94" s="265">
        <f>100%-P95</f>
        <v>0.98952880617307648</v>
      </c>
    </row>
    <row r="95" spans="14:16" x14ac:dyDescent="0.25">
      <c r="O95" t="str">
        <f>+COMM!D91</f>
        <v>ELC-CAM6</v>
      </c>
      <c r="P95" s="265">
        <f>+$I$55</f>
        <v>1.0471193826923493E-2</v>
      </c>
    </row>
    <row r="98" spans="14:24" x14ac:dyDescent="0.25">
      <c r="R98" s="1"/>
      <c r="S98" s="1"/>
      <c r="T98" s="1"/>
      <c r="U98" s="1"/>
      <c r="V98" s="1"/>
      <c r="W98" s="1"/>
      <c r="X98" s="1"/>
    </row>
    <row r="99" spans="14:24" x14ac:dyDescent="0.25">
      <c r="N99" s="316"/>
      <c r="O99" s="1"/>
      <c r="P99" s="1"/>
      <c r="R99" s="338"/>
      <c r="S99" s="2"/>
      <c r="T99" s="2"/>
      <c r="U99" s="1"/>
      <c r="V99" s="1"/>
      <c r="W99" s="1"/>
      <c r="X99" s="1"/>
    </row>
    <row r="100" spans="14:24" x14ac:dyDescent="0.25">
      <c r="N100" s="317" t="s">
        <v>11</v>
      </c>
      <c r="O100" s="318" t="s">
        <v>12</v>
      </c>
      <c r="P100" s="318" t="s">
        <v>13</v>
      </c>
      <c r="R100" s="461" t="s">
        <v>11</v>
      </c>
      <c r="S100" s="461" t="s">
        <v>13</v>
      </c>
      <c r="T100" s="461" t="s">
        <v>777</v>
      </c>
      <c r="U100" s="417"/>
      <c r="V100" s="417"/>
      <c r="W100" s="417"/>
      <c r="X100" s="1"/>
    </row>
    <row r="101" spans="14:24" x14ac:dyDescent="0.25">
      <c r="N101" s="320" t="str">
        <f>+PROCESS!N91</f>
        <v>COMPRA-ELC-CAM2</v>
      </c>
      <c r="O101" s="22" t="str">
        <f>+'1. EXP_IMP'!$J$51</f>
        <v>ELC-SIN</v>
      </c>
      <c r="P101" s="431" t="str">
        <f>+O87</f>
        <v>ELC-CAM2</v>
      </c>
      <c r="R101" s="548" t="str">
        <f>+N101</f>
        <v>COMPRA-ELC-CAM2</v>
      </c>
      <c r="S101" s="460" t="str">
        <f>+O113</f>
        <v>CO2e-CAM2</v>
      </c>
      <c r="T101" s="462">
        <f>+'4.2 Ref_Barranca'!$P$170</f>
        <v>46.111111111111114</v>
      </c>
      <c r="U101" s="550"/>
      <c r="V101" s="550"/>
      <c r="W101" s="550"/>
      <c r="X101" s="1"/>
    </row>
    <row r="102" spans="14:24" x14ac:dyDescent="0.25">
      <c r="N102" s="320" t="str">
        <f>+PROCESS!N92</f>
        <v>COMPRA-ELC-CAM3</v>
      </c>
      <c r="O102" s="22" t="str">
        <f>+'1. EXP_IMP'!$J$51</f>
        <v>ELC-SIN</v>
      </c>
      <c r="P102" s="431" t="str">
        <f>+O89</f>
        <v>ELC-CAM3</v>
      </c>
      <c r="R102" s="548" t="str">
        <f>+N102</f>
        <v>COMPRA-ELC-CAM3</v>
      </c>
      <c r="S102" s="460" t="str">
        <f>+O114</f>
        <v>CO2e-CAM3</v>
      </c>
      <c r="T102" s="462">
        <f>+'4.2 Ref_Barranca'!$P$170</f>
        <v>46.111111111111114</v>
      </c>
      <c r="U102" s="417"/>
      <c r="V102" s="417"/>
      <c r="W102" s="417"/>
      <c r="X102" s="1"/>
    </row>
    <row r="103" spans="14:24" x14ac:dyDescent="0.25">
      <c r="N103" s="320" t="str">
        <f>+PROCESS!N93</f>
        <v>COMPRA-ELC-CAM4</v>
      </c>
      <c r="O103" s="22" t="str">
        <f>+'1. EXP_IMP'!$J$51</f>
        <v>ELC-SIN</v>
      </c>
      <c r="P103" s="431" t="str">
        <f>+O91</f>
        <v>ELC-CAM4</v>
      </c>
      <c r="R103" s="548" t="str">
        <f>+N103</f>
        <v>COMPRA-ELC-CAM4</v>
      </c>
      <c r="S103" s="460" t="str">
        <f>+O115</f>
        <v>CO2e-CAM4</v>
      </c>
      <c r="T103" s="462">
        <f>+'4.2 Ref_Barranca'!$P$170</f>
        <v>46.111111111111114</v>
      </c>
      <c r="U103" s="417"/>
      <c r="V103" s="417"/>
      <c r="W103" s="417"/>
      <c r="X103" s="1"/>
    </row>
    <row r="104" spans="14:24" x14ac:dyDescent="0.25">
      <c r="N104" s="320" t="str">
        <f>+PROCESS!N94</f>
        <v>COMPRA-ELC-CAM5</v>
      </c>
      <c r="O104" s="22" t="str">
        <f>+'1. EXP_IMP'!$J$51</f>
        <v>ELC-SIN</v>
      </c>
      <c r="P104" s="431" t="str">
        <f>+O93</f>
        <v>ELC-CAM5</v>
      </c>
      <c r="R104" s="548" t="str">
        <f>+N104</f>
        <v>COMPRA-ELC-CAM5</v>
      </c>
      <c r="S104" s="460" t="str">
        <f>+O116</f>
        <v>CO2e-CAM5</v>
      </c>
      <c r="T104" s="462">
        <f>+'4.2 Ref_Barranca'!$P$170</f>
        <v>46.111111111111114</v>
      </c>
      <c r="U104" s="417"/>
      <c r="V104" s="417"/>
      <c r="W104" s="417"/>
      <c r="X104" s="1"/>
    </row>
    <row r="105" spans="14:24" x14ac:dyDescent="0.25">
      <c r="N105" s="320" t="str">
        <f>+PROCESS!N95</f>
        <v>COMPRA-ELC-CAM6</v>
      </c>
      <c r="O105" s="22" t="str">
        <f>+'1. EXP_IMP'!$J$51</f>
        <v>ELC-SIN</v>
      </c>
      <c r="P105" s="431" t="str">
        <f>+O95</f>
        <v>ELC-CAM6</v>
      </c>
      <c r="R105" s="548" t="str">
        <f>+N105</f>
        <v>COMPRA-ELC-CAM6</v>
      </c>
      <c r="S105" s="460" t="str">
        <f>+O117</f>
        <v>CO2e-CAM6</v>
      </c>
      <c r="T105" s="462">
        <f>+'4.2 Ref_Barranca'!$P$170</f>
        <v>46.111111111111114</v>
      </c>
      <c r="U105" s="417"/>
      <c r="V105" s="417"/>
      <c r="W105" s="417"/>
      <c r="X105" s="1"/>
    </row>
    <row r="106" spans="14:24" x14ac:dyDescent="0.25">
      <c r="U106" s="417"/>
      <c r="V106" s="417"/>
      <c r="W106" s="417"/>
      <c r="X106" s="1"/>
    </row>
    <row r="110" spans="14:24" x14ac:dyDescent="0.25">
      <c r="N110" s="338"/>
      <c r="P110" t="s">
        <v>281</v>
      </c>
    </row>
    <row r="111" spans="14:24" x14ac:dyDescent="0.25">
      <c r="N111" s="327" t="s">
        <v>11</v>
      </c>
      <c r="O111" s="327" t="s">
        <v>13</v>
      </c>
      <c r="P111" s="327" t="s">
        <v>777</v>
      </c>
    </row>
    <row r="112" spans="14:24" x14ac:dyDescent="0.25">
      <c r="N112" s="459" t="str" cm="1">
        <f t="array" ref="N112:N117">+_xlfn.ANCHORARRAY(N55)</f>
        <v>PROF-CAM1</v>
      </c>
      <c r="O112" s="538" t="str" cm="1">
        <f t="array" ref="O112:O117">+COMM!AK20:AK25</f>
        <v>CO2e-CAM1</v>
      </c>
      <c r="P112" s="539">
        <f t="shared" ref="P112:P117" si="10">+F7*(100%-U31)</f>
        <v>7.5178755487394514E-2</v>
      </c>
    </row>
    <row r="113" spans="14:16" x14ac:dyDescent="0.25">
      <c r="N113" s="19" t="str">
        <v>PROF-CAM2</v>
      </c>
      <c r="O113" s="19" t="str">
        <v>CO2e-CAM2</v>
      </c>
      <c r="P113" s="122">
        <f t="shared" si="10"/>
        <v>0.38670696981891278</v>
      </c>
    </row>
    <row r="114" spans="14:16" x14ac:dyDescent="0.25">
      <c r="N114" s="19" t="str">
        <v>PROF-CAM3</v>
      </c>
      <c r="O114" s="19" t="str">
        <v>CO2e-CAM3</v>
      </c>
      <c r="P114" s="122">
        <f t="shared" si="10"/>
        <v>0.14484939132548266</v>
      </c>
    </row>
    <row r="115" spans="14:16" x14ac:dyDescent="0.25">
      <c r="N115" s="19" t="str">
        <v>PROF-CAM4</v>
      </c>
      <c r="O115" s="19" t="str">
        <v>CO2e-CAM4</v>
      </c>
      <c r="P115" s="122">
        <f t="shared" si="10"/>
        <v>17.624888055973212</v>
      </c>
    </row>
    <row r="116" spans="14:16" x14ac:dyDescent="0.25">
      <c r="N116" s="19" t="str">
        <v>PROF-CAM5</v>
      </c>
      <c r="O116" s="19" t="str">
        <v>CO2e-CAM5</v>
      </c>
      <c r="P116" s="122">
        <f t="shared" si="10"/>
        <v>0.32198975499228449</v>
      </c>
    </row>
    <row r="117" spans="14:16" x14ac:dyDescent="0.25">
      <c r="N117" s="19" t="str">
        <v>PROF-CAM6</v>
      </c>
      <c r="O117" s="19" t="str">
        <v>CO2e-CAM6</v>
      </c>
      <c r="P117" s="122">
        <f t="shared" si="10"/>
        <v>0.60808077140581573</v>
      </c>
    </row>
    <row r="124" spans="14:16" x14ac:dyDescent="0.25">
      <c r="N124" s="316"/>
      <c r="O124" s="1"/>
    </row>
    <row r="125" spans="14:16" x14ac:dyDescent="0.25">
      <c r="N125" s="317" t="s">
        <v>11</v>
      </c>
      <c r="O125" s="318" t="s">
        <v>12</v>
      </c>
      <c r="P125" s="318" t="s">
        <v>31</v>
      </c>
    </row>
    <row r="126" spans="14:16" x14ac:dyDescent="0.25">
      <c r="N126" t="str" cm="1">
        <f t="array" ref="N126:N131">+_xlfn.ANCHORARRAY(PROCESS!N74)</f>
        <v>SEP-CAM1</v>
      </c>
      <c r="O126" t="str" cm="1">
        <f t="array" ref="O126:O131">+_xlfn.ANCHORARRAY(O55)</f>
        <v>FLU-CAM1</v>
      </c>
      <c r="P126" s="289">
        <v>1</v>
      </c>
    </row>
    <row r="127" spans="14:16" x14ac:dyDescent="0.25">
      <c r="N127" t="str">
        <v>SEP-CAM2</v>
      </c>
      <c r="O127" t="str">
        <v>FLU-CAM2</v>
      </c>
      <c r="P127" s="289">
        <v>1</v>
      </c>
    </row>
    <row r="128" spans="14:16" x14ac:dyDescent="0.25">
      <c r="N128" t="str">
        <v>SEP-CAM3</v>
      </c>
      <c r="O128" t="str">
        <v>FLU-CAM3</v>
      </c>
      <c r="P128" s="289">
        <v>1</v>
      </c>
    </row>
    <row r="129" spans="12:16" x14ac:dyDescent="0.25">
      <c r="N129" t="str">
        <v>SEP-CAM4</v>
      </c>
      <c r="O129" t="str">
        <v>FLU-CAM4</v>
      </c>
      <c r="P129" s="289">
        <v>1</v>
      </c>
    </row>
    <row r="130" spans="12:16" x14ac:dyDescent="0.25">
      <c r="N130" t="str">
        <v>SEP-CAM5</v>
      </c>
      <c r="O130" t="str">
        <v>FLU-CAM5</v>
      </c>
      <c r="P130" s="289">
        <v>1</v>
      </c>
    </row>
    <row r="131" spans="12:16" x14ac:dyDescent="0.25">
      <c r="N131" t="str">
        <v>SEP-CAM6</v>
      </c>
      <c r="O131" t="str">
        <v>FLU-CAM6</v>
      </c>
      <c r="P131" s="289">
        <v>1</v>
      </c>
    </row>
    <row r="135" spans="12:16" x14ac:dyDescent="0.25">
      <c r="N135" s="316"/>
      <c r="O135" s="1"/>
    </row>
    <row r="136" spans="12:16" x14ac:dyDescent="0.25">
      <c r="N136" s="317" t="s">
        <v>11</v>
      </c>
      <c r="O136" s="318" t="s">
        <v>13</v>
      </c>
      <c r="P136" s="327" t="s">
        <v>951</v>
      </c>
    </row>
    <row r="137" spans="12:16" x14ac:dyDescent="0.25">
      <c r="L137" t="s">
        <v>51</v>
      </c>
      <c r="N137" t="str">
        <f>+N126</f>
        <v>SEP-CAM1</v>
      </c>
      <c r="O137" t="str">
        <f>+COMM!D30</f>
        <v>GAS-CAM1</v>
      </c>
      <c r="P137" s="545">
        <f>100%-V31</f>
        <v>1</v>
      </c>
    </row>
    <row r="138" spans="12:16" x14ac:dyDescent="0.25">
      <c r="L138" t="s">
        <v>51</v>
      </c>
      <c r="N138" t="str">
        <f>+N127</f>
        <v>SEP-CAM2</v>
      </c>
      <c r="O138" t="str">
        <f>+COMM!D31</f>
        <v>GAS-CAM2</v>
      </c>
      <c r="P138" s="545">
        <f>100%-P139</f>
        <v>0.72778693953176909</v>
      </c>
    </row>
    <row r="139" spans="12:16" x14ac:dyDescent="0.25">
      <c r="L139" t="s">
        <v>52</v>
      </c>
      <c r="O139" t="str">
        <f>+COMM!D41</f>
        <v>LOIL-CAM2</v>
      </c>
      <c r="P139" s="545">
        <f>+V32</f>
        <v>0.27221306046823096</v>
      </c>
    </row>
    <row r="140" spans="12:16" x14ac:dyDescent="0.25">
      <c r="L140" t="s">
        <v>51</v>
      </c>
      <c r="N140" t="str">
        <f>+N128</f>
        <v>SEP-CAM3</v>
      </c>
      <c r="O140" t="str">
        <f>+COMM!D32</f>
        <v>GAS-CAM3</v>
      </c>
      <c r="P140" s="545">
        <f>100%-P141</f>
        <v>9.8493636162921838E-4</v>
      </c>
    </row>
    <row r="141" spans="12:16" x14ac:dyDescent="0.25">
      <c r="L141" t="s">
        <v>53</v>
      </c>
      <c r="O141" t="str">
        <f>+COMM!D62</f>
        <v>HOIL-CAM3</v>
      </c>
      <c r="P141" s="545">
        <f>+V33</f>
        <v>0.99901506363837078</v>
      </c>
    </row>
    <row r="142" spans="12:16" x14ac:dyDescent="0.25">
      <c r="L142" t="s">
        <v>52</v>
      </c>
      <c r="N142" t="str">
        <f>+N129</f>
        <v>SEP-CAM4</v>
      </c>
      <c r="O142" t="str">
        <f>+COMM!D43</f>
        <v>LOIL-CAM4</v>
      </c>
      <c r="P142" s="545">
        <f>+V34</f>
        <v>1</v>
      </c>
    </row>
    <row r="143" spans="12:16" x14ac:dyDescent="0.25">
      <c r="L143" t="s">
        <v>51</v>
      </c>
      <c r="N143" t="str">
        <f>+N130</f>
        <v>SEP-CAM5</v>
      </c>
      <c r="O143" t="str">
        <f>+COMM!D34</f>
        <v>GAS-CAM5</v>
      </c>
      <c r="P143" s="545">
        <f>100%-P144</f>
        <v>4.6534462436836899E-3</v>
      </c>
    </row>
    <row r="144" spans="12:16" x14ac:dyDescent="0.25">
      <c r="L144" t="s">
        <v>67</v>
      </c>
      <c r="O144" t="str">
        <f>+COMM!D54</f>
        <v>MOIL-CAM5</v>
      </c>
      <c r="P144" s="545">
        <f>+U35</f>
        <v>0.99534655375631631</v>
      </c>
    </row>
    <row r="145" spans="12:16" x14ac:dyDescent="0.25">
      <c r="L145" t="s">
        <v>51</v>
      </c>
      <c r="N145" t="str">
        <f>+N131</f>
        <v>SEP-CAM6</v>
      </c>
      <c r="O145" t="str">
        <f>+COMM!D35</f>
        <v>GAS-CAM6</v>
      </c>
      <c r="P145" s="545">
        <f>100%-P146</f>
        <v>4.1419278412092808E-2</v>
      </c>
    </row>
    <row r="146" spans="12:16" x14ac:dyDescent="0.25">
      <c r="L146" t="s">
        <v>67</v>
      </c>
      <c r="O146" t="str">
        <f>+COMM!D55</f>
        <v>MOIL-CAM6</v>
      </c>
      <c r="P146" s="545">
        <f>+V36</f>
        <v>0.95858072158790719</v>
      </c>
    </row>
    <row r="151" spans="12:16" x14ac:dyDescent="0.25">
      <c r="N151" s="316"/>
      <c r="O151" s="1"/>
    </row>
    <row r="152" spans="12:16" x14ac:dyDescent="0.25">
      <c r="N152" s="317" t="s">
        <v>11</v>
      </c>
      <c r="O152" s="318" t="s">
        <v>626</v>
      </c>
      <c r="P152" s="327" t="s">
        <v>31</v>
      </c>
    </row>
    <row r="153" spans="12:16" x14ac:dyDescent="0.25">
      <c r="N153" t="str" cm="1">
        <f t="array" ref="N153:N158">+_xlfn.ANCHORARRAY(PROCESS!N84)</f>
        <v>PLT-CAM1</v>
      </c>
      <c r="O153" s="57">
        <f>+K31</f>
        <v>0</v>
      </c>
      <c r="P153" s="289">
        <v>1</v>
      </c>
    </row>
    <row r="154" spans="12:16" x14ac:dyDescent="0.25">
      <c r="N154" t="str">
        <v>PLT-CAM2</v>
      </c>
      <c r="O154" s="57">
        <f>+J32</f>
        <v>69.637902700685089</v>
      </c>
      <c r="P154" s="289">
        <v>1</v>
      </c>
    </row>
    <row r="155" spans="12:16" x14ac:dyDescent="0.25">
      <c r="N155" t="str">
        <v>PLT-CAM3</v>
      </c>
      <c r="O155" s="57">
        <f>+J33</f>
        <v>0</v>
      </c>
      <c r="P155" s="289">
        <v>1</v>
      </c>
    </row>
    <row r="156" spans="12:16" x14ac:dyDescent="0.25">
      <c r="N156" t="str">
        <v>PLT-CAM4</v>
      </c>
      <c r="O156" s="57">
        <f>+J34</f>
        <v>0</v>
      </c>
      <c r="P156" s="289">
        <v>1</v>
      </c>
    </row>
    <row r="157" spans="12:16" x14ac:dyDescent="0.25">
      <c r="N157" t="str">
        <v>PLT-CAM5</v>
      </c>
      <c r="O157" s="57">
        <f>+K35</f>
        <v>0</v>
      </c>
      <c r="P157" s="289">
        <v>1</v>
      </c>
    </row>
    <row r="158" spans="12:16" x14ac:dyDescent="0.25">
      <c r="N158" t="str">
        <v>PLT-CAM6</v>
      </c>
      <c r="O158" s="122">
        <f>+J36</f>
        <v>1.0198649246869729</v>
      </c>
      <c r="P158" s="289">
        <v>1</v>
      </c>
    </row>
    <row r="160" spans="12:16" x14ac:dyDescent="0.25">
      <c r="N160" s="316"/>
      <c r="O160" s="1"/>
    </row>
    <row r="161" spans="14:16" x14ac:dyDescent="0.25">
      <c r="N161" s="317" t="s">
        <v>11</v>
      </c>
      <c r="O161" s="318" t="s">
        <v>12</v>
      </c>
    </row>
    <row r="162" spans="14:16" x14ac:dyDescent="0.25">
      <c r="N162" t="str" cm="1">
        <f t="array" ref="N162:N167">+_xlfn.ANCHORARRAY(N153)</f>
        <v>PLT-CAM1</v>
      </c>
      <c r="O162" t="str">
        <f>+O137</f>
        <v>GAS-CAM1</v>
      </c>
    </row>
    <row r="163" spans="14:16" x14ac:dyDescent="0.25">
      <c r="N163" t="str">
        <v>PLT-CAM2</v>
      </c>
      <c r="O163" t="str">
        <f>+O138</f>
        <v>GAS-CAM2</v>
      </c>
    </row>
    <row r="164" spans="14:16" x14ac:dyDescent="0.25">
      <c r="N164" t="str">
        <v>PLT-CAM3</v>
      </c>
      <c r="O164" t="str">
        <f>+O140</f>
        <v>GAS-CAM3</v>
      </c>
    </row>
    <row r="165" spans="14:16" x14ac:dyDescent="0.25">
      <c r="N165" t="str">
        <v>PLT-CAM4</v>
      </c>
      <c r="O165" t="s">
        <v>969</v>
      </c>
    </row>
    <row r="166" spans="14:16" x14ac:dyDescent="0.25">
      <c r="N166" t="str">
        <v>PLT-CAM5</v>
      </c>
      <c r="O166" t="str">
        <f>+O143</f>
        <v>GAS-CAM5</v>
      </c>
    </row>
    <row r="167" spans="14:16" x14ac:dyDescent="0.25">
      <c r="N167" t="str">
        <v>PLT-CAM6</v>
      </c>
      <c r="O167" t="str">
        <f>+O145</f>
        <v>GAS-CAM6</v>
      </c>
    </row>
    <row r="170" spans="14:16" x14ac:dyDescent="0.25">
      <c r="N170" s="316"/>
      <c r="O170" s="1"/>
    </row>
    <row r="171" spans="14:16" x14ac:dyDescent="0.25">
      <c r="N171" s="317" t="s">
        <v>11</v>
      </c>
      <c r="O171" s="318" t="s">
        <v>13</v>
      </c>
      <c r="P171" s="327" t="s">
        <v>951</v>
      </c>
    </row>
    <row r="172" spans="14:16" x14ac:dyDescent="0.25">
      <c r="N172" t="str">
        <f>+N162</f>
        <v>PLT-CAM1</v>
      </c>
      <c r="O172" t="s">
        <v>49</v>
      </c>
      <c r="P172" s="63">
        <f>+K31/J31</f>
        <v>0</v>
      </c>
    </row>
    <row r="173" spans="14:16" x14ac:dyDescent="0.25">
      <c r="O173" t="str">
        <f>+COMM!D70</f>
        <v>GAS-plt-CAM1</v>
      </c>
      <c r="P173" s="63">
        <f>100%-P172</f>
        <v>1</v>
      </c>
    </row>
    <row r="174" spans="14:16" x14ac:dyDescent="0.25">
      <c r="N174" t="s">
        <v>970</v>
      </c>
      <c r="O174" t="s">
        <v>49</v>
      </c>
      <c r="P174" s="63">
        <f>+K32/J32</f>
        <v>0.20433496451438232</v>
      </c>
    </row>
    <row r="175" spans="14:16" x14ac:dyDescent="0.25">
      <c r="O175" t="str">
        <f>+COMM!D71</f>
        <v>GAS-plt-CAM2</v>
      </c>
      <c r="P175" s="63">
        <f>100%-P174</f>
        <v>0.79566503548561762</v>
      </c>
    </row>
    <row r="176" spans="14:16" x14ac:dyDescent="0.25">
      <c r="N176" t="s">
        <v>971</v>
      </c>
      <c r="O176" t="s">
        <v>49</v>
      </c>
      <c r="P176" s="63">
        <v>0</v>
      </c>
    </row>
    <row r="177" spans="14:19" x14ac:dyDescent="0.25">
      <c r="O177" t="str">
        <f>+COMM!D72</f>
        <v>GAS-plt-CAM3</v>
      </c>
      <c r="P177" s="63">
        <f>100%-P176</f>
        <v>1</v>
      </c>
    </row>
    <row r="178" spans="14:19" x14ac:dyDescent="0.25">
      <c r="N178" t="s">
        <v>972</v>
      </c>
      <c r="O178" t="s">
        <v>49</v>
      </c>
      <c r="P178" s="63">
        <v>0</v>
      </c>
    </row>
    <row r="179" spans="14:19" x14ac:dyDescent="0.25">
      <c r="O179" t="str">
        <f>+COMM!D73</f>
        <v>GAS-plt-CAM4</v>
      </c>
      <c r="P179" s="63">
        <f>100%-P178</f>
        <v>1</v>
      </c>
    </row>
    <row r="180" spans="14:19" x14ac:dyDescent="0.25">
      <c r="N180" t="s">
        <v>973</v>
      </c>
      <c r="O180" t="s">
        <v>49</v>
      </c>
      <c r="P180" s="63">
        <f>+K35/J35</f>
        <v>0</v>
      </c>
    </row>
    <row r="181" spans="14:19" x14ac:dyDescent="0.25">
      <c r="O181" t="str">
        <f>+COMM!D74</f>
        <v>GAS-plt-CAM5</v>
      </c>
      <c r="P181" s="63">
        <f>100%-P180</f>
        <v>1</v>
      </c>
    </row>
    <row r="182" spans="14:19" x14ac:dyDescent="0.25">
      <c r="N182" t="s">
        <v>974</v>
      </c>
      <c r="O182" t="s">
        <v>49</v>
      </c>
      <c r="P182" s="63">
        <f>+K36/J36</f>
        <v>0.39345284643786943</v>
      </c>
    </row>
    <row r="183" spans="14:19" x14ac:dyDescent="0.25">
      <c r="O183" t="str">
        <f>+COMM!D75</f>
        <v>GAS-plt-CAM6</v>
      </c>
      <c r="P183" s="63">
        <f>100%-P182</f>
        <v>0.60654715356213051</v>
      </c>
    </row>
    <row r="192" spans="14:19" x14ac:dyDescent="0.25">
      <c r="N192" s="316"/>
      <c r="O192" s="1"/>
      <c r="S192" s="316"/>
    </row>
    <row r="193" spans="14:20" x14ac:dyDescent="0.25">
      <c r="N193" s="317" t="s">
        <v>11</v>
      </c>
      <c r="O193" s="318" t="s">
        <v>12</v>
      </c>
      <c r="P193" s="318" t="s">
        <v>13</v>
      </c>
      <c r="Q193" s="318"/>
      <c r="S193" s="317" t="s">
        <v>11</v>
      </c>
      <c r="T193" s="546" t="s">
        <v>31</v>
      </c>
    </row>
    <row r="194" spans="14:20" x14ac:dyDescent="0.25">
      <c r="N194" t="s">
        <v>952</v>
      </c>
      <c r="O194" t="str" cm="1">
        <f t="array" ref="O194:O199">+COMM!D30:D35</f>
        <v>GAS-CAM1</v>
      </c>
      <c r="P194" t="s">
        <v>51</v>
      </c>
      <c r="Q194" s="289"/>
      <c r="S194" t="s">
        <v>952</v>
      </c>
      <c r="T194" s="289">
        <v>1</v>
      </c>
    </row>
    <row r="195" spans="14:20" x14ac:dyDescent="0.25">
      <c r="O195" t="str">
        <v>GAS-CAM2</v>
      </c>
      <c r="S195" t="str">
        <f>+N206</f>
        <v>COL-LOIL</v>
      </c>
      <c r="T195" s="289">
        <v>1</v>
      </c>
    </row>
    <row r="196" spans="14:20" x14ac:dyDescent="0.25">
      <c r="O196" t="str">
        <v>GAS-CAM3</v>
      </c>
      <c r="S196" t="str">
        <f>+N212</f>
        <v>COL-MOIL</v>
      </c>
      <c r="T196" s="289">
        <v>1</v>
      </c>
    </row>
    <row r="197" spans="14:20" x14ac:dyDescent="0.25">
      <c r="O197" t="str">
        <v>GAS-CAM4</v>
      </c>
      <c r="S197" t="str">
        <f>+N218</f>
        <v>COL-HOIL</v>
      </c>
      <c r="T197" s="289">
        <v>1</v>
      </c>
    </row>
    <row r="198" spans="14:20" x14ac:dyDescent="0.25">
      <c r="O198" t="str">
        <v>GAS-CAM5</v>
      </c>
    </row>
    <row r="199" spans="14:20" x14ac:dyDescent="0.25">
      <c r="O199" t="str">
        <v>GAS-CAM6</v>
      </c>
    </row>
    <row r="200" spans="14:20" x14ac:dyDescent="0.25">
      <c r="O200" t="str" cm="1">
        <f t="array" ref="O200:O205">+COMM!D70:D75</f>
        <v>GAS-plt-CAM1</v>
      </c>
    </row>
    <row r="201" spans="14:20" x14ac:dyDescent="0.25">
      <c r="O201" t="str">
        <v>GAS-plt-CAM2</v>
      </c>
    </row>
    <row r="202" spans="14:20" x14ac:dyDescent="0.25">
      <c r="O202" t="str">
        <v>GAS-plt-CAM3</v>
      </c>
    </row>
    <row r="203" spans="14:20" x14ac:dyDescent="0.25">
      <c r="O203" t="str">
        <v>GAS-plt-CAM4</v>
      </c>
    </row>
    <row r="204" spans="14:20" x14ac:dyDescent="0.25">
      <c r="O204" t="str">
        <v>GAS-plt-CAM5</v>
      </c>
    </row>
    <row r="205" spans="14:20" x14ac:dyDescent="0.25">
      <c r="O205" t="str">
        <v>GAS-plt-CAM6</v>
      </c>
    </row>
    <row r="206" spans="14:20" x14ac:dyDescent="0.25">
      <c r="N206" t="s">
        <v>953</v>
      </c>
      <c r="O206" t="str" cm="1">
        <f t="array" ref="O206:O211">+COMM!D40:D45</f>
        <v>LOIL-CAM1</v>
      </c>
      <c r="P206" t="s">
        <v>52</v>
      </c>
      <c r="Q206" s="289"/>
    </row>
    <row r="207" spans="14:20" x14ac:dyDescent="0.25">
      <c r="O207" t="str">
        <v>LOIL-CAM2</v>
      </c>
    </row>
    <row r="208" spans="14:20" x14ac:dyDescent="0.25">
      <c r="O208" t="str">
        <v>LOIL-CAM3</v>
      </c>
    </row>
    <row r="209" spans="14:17" x14ac:dyDescent="0.25">
      <c r="O209" t="str">
        <v>LOIL-CAM4</v>
      </c>
    </row>
    <row r="210" spans="14:17" x14ac:dyDescent="0.25">
      <c r="O210" t="str">
        <v>LOIL-CAM5</v>
      </c>
    </row>
    <row r="211" spans="14:17" x14ac:dyDescent="0.25">
      <c r="O211" t="str">
        <v>LOIL-CAM6</v>
      </c>
    </row>
    <row r="212" spans="14:17" x14ac:dyDescent="0.25">
      <c r="N212" t="s">
        <v>954</v>
      </c>
      <c r="O212" t="str" cm="1">
        <f t="array" ref="O212:O217">+COMM!D50:D55</f>
        <v>MOIL-CAM1</v>
      </c>
      <c r="P212" t="s">
        <v>67</v>
      </c>
      <c r="Q212" s="289"/>
    </row>
    <row r="213" spans="14:17" x14ac:dyDescent="0.25">
      <c r="O213" t="str">
        <v>MOIL-CAM2</v>
      </c>
    </row>
    <row r="214" spans="14:17" x14ac:dyDescent="0.25">
      <c r="O214" t="str">
        <v>MOIL-CAM3</v>
      </c>
    </row>
    <row r="215" spans="14:17" x14ac:dyDescent="0.25">
      <c r="O215" t="str">
        <v>MOIL-CAM4</v>
      </c>
    </row>
    <row r="216" spans="14:17" x14ac:dyDescent="0.25">
      <c r="O216" t="str">
        <v>MOIL-CAM5</v>
      </c>
    </row>
    <row r="217" spans="14:17" x14ac:dyDescent="0.25">
      <c r="O217" t="str">
        <v>MOIL-CAM6</v>
      </c>
    </row>
    <row r="218" spans="14:17" x14ac:dyDescent="0.25">
      <c r="N218" t="s">
        <v>955</v>
      </c>
      <c r="O218" t="str" cm="1">
        <f t="array" ref="O218:O223">+COMM!D60:D65</f>
        <v>HOIL-CAM1</v>
      </c>
      <c r="P218" t="s">
        <v>53</v>
      </c>
      <c r="Q218" s="289"/>
    </row>
    <row r="219" spans="14:17" x14ac:dyDescent="0.25">
      <c r="O219" t="str">
        <v>HOIL-CAM2</v>
      </c>
    </row>
    <row r="220" spans="14:17" x14ac:dyDescent="0.25">
      <c r="O220" t="str">
        <v>HOIL-CAM3</v>
      </c>
    </row>
    <row r="221" spans="14:17" x14ac:dyDescent="0.25">
      <c r="O221" t="str">
        <v>HOIL-CAM4</v>
      </c>
    </row>
    <row r="222" spans="14:17" x14ac:dyDescent="0.25">
      <c r="O222" t="str">
        <v>HOIL-CAM5</v>
      </c>
    </row>
    <row r="223" spans="14:17" x14ac:dyDescent="0.25">
      <c r="O223" t="str">
        <v>HOIL-CAM6</v>
      </c>
    </row>
    <row r="228" spans="14:18" x14ac:dyDescent="0.25">
      <c r="N228" s="316"/>
      <c r="O228" s="1"/>
      <c r="P228" s="1"/>
    </row>
    <row r="229" spans="14:18" x14ac:dyDescent="0.25">
      <c r="N229" s="317" t="s">
        <v>11</v>
      </c>
      <c r="O229" s="551" t="s">
        <v>12</v>
      </c>
      <c r="P229" s="551" t="s">
        <v>13</v>
      </c>
      <c r="Q229" s="551" t="s">
        <v>31</v>
      </c>
      <c r="R229" s="552" t="s">
        <v>626</v>
      </c>
    </row>
    <row r="230" spans="14:18" x14ac:dyDescent="0.25">
      <c r="N230" s="320" t="str">
        <f>+PROCESS!N54</f>
        <v>AUTO-G-CAM1</v>
      </c>
      <c r="O230" s="19" t="str">
        <f>+O137</f>
        <v>GAS-CAM1</v>
      </c>
      <c r="P230" s="22" t="str">
        <f>+O85</f>
        <v>ELC-CAM1</v>
      </c>
      <c r="Q230">
        <v>0.35</v>
      </c>
      <c r="R230" s="57">
        <f>+I31</f>
        <v>2.4500442407782339</v>
      </c>
    </row>
    <row r="231" spans="14:18" x14ac:dyDescent="0.25">
      <c r="N231" s="320" t="str">
        <f>+PROCESS!N55</f>
        <v>AUTO-G-CAM2</v>
      </c>
      <c r="O231" s="22" t="s">
        <v>1007</v>
      </c>
      <c r="P231" s="549" t="str">
        <f>+P101</f>
        <v>ELC-CAM2</v>
      </c>
      <c r="Q231">
        <v>0.35</v>
      </c>
      <c r="R231" s="57">
        <f t="shared" ref="R231:R234" si="11">+I32</f>
        <v>29.713513857188524</v>
      </c>
    </row>
    <row r="232" spans="14:18" x14ac:dyDescent="0.25">
      <c r="N232" s="320" t="str">
        <f>+PROCESS!N56</f>
        <v>AUTO-G-CAM3</v>
      </c>
      <c r="O232" s="22" t="s">
        <v>1008</v>
      </c>
      <c r="P232" s="549" t="str">
        <f>+P102</f>
        <v>ELC-CAM3</v>
      </c>
      <c r="Q232">
        <v>0.35</v>
      </c>
      <c r="R232" s="57">
        <f t="shared" si="11"/>
        <v>0.35808998998868485</v>
      </c>
    </row>
    <row r="233" spans="14:18" x14ac:dyDescent="0.25">
      <c r="N233" s="320" t="str">
        <f>+PROCESS!N58</f>
        <v>AUTO-G-CAM5</v>
      </c>
      <c r="O233" s="22" t="s">
        <v>1009</v>
      </c>
      <c r="P233" s="549" t="str">
        <f>+P104</f>
        <v>ELC-CAM5</v>
      </c>
      <c r="Q233">
        <v>0.35</v>
      </c>
      <c r="R233" s="57">
        <f t="shared" si="11"/>
        <v>0</v>
      </c>
    </row>
    <row r="234" spans="14:18" x14ac:dyDescent="0.25">
      <c r="N234" s="19" t="str">
        <f>+PROCESS!N59</f>
        <v>AUTO-G-CAM6</v>
      </c>
      <c r="O234" s="19" t="s">
        <v>1010</v>
      </c>
      <c r="P234" s="549" t="str">
        <f>+P105</f>
        <v>ELC-CAM6</v>
      </c>
      <c r="Q234">
        <v>0.35</v>
      </c>
      <c r="R234" s="57">
        <f t="shared" si="11"/>
        <v>1.7521170575840492</v>
      </c>
    </row>
  </sheetData>
  <phoneticPr fontId="8" type="noConversion"/>
  <conditionalFormatting sqref="O6:O25">
    <cfRule type="containsBlanks" dxfId="15" priority="20">
      <formula>LEN(TRIM(O6))=0</formula>
    </cfRule>
  </conditionalFormatting>
  <conditionalFormatting sqref="Q6:R17">
    <cfRule type="containsText" dxfId="14" priority="17" operator="containsText" text="Oil and Gas">
      <formula>NOT(ISERROR(SEARCH("Oil and Gas",Q6)))</formula>
    </cfRule>
    <cfRule type="containsText" dxfId="13" priority="18" operator="containsText" text="Gas">
      <formula>NOT(ISERROR(SEARCH("Gas",Q6)))</formula>
    </cfRule>
    <cfRule type="containsText" dxfId="12" priority="19" operator="containsText" text="Oil">
      <formula>NOT(ISERROR(SEARCH("Oil",Q6)))</formula>
    </cfRule>
  </conditionalFormatting>
  <conditionalFormatting sqref="Q18:R25">
    <cfRule type="containsText" dxfId="11" priority="10" operator="containsText" text="Oil and Gas">
      <formula>NOT(ISERROR(SEARCH("Oil and Gas",Q18)))</formula>
    </cfRule>
    <cfRule type="containsText" dxfId="10" priority="11" operator="containsText" text="Gas">
      <formula>NOT(ISERROR(SEARCH("Gas",Q18)))</formula>
    </cfRule>
    <cfRule type="containsText" dxfId="9" priority="12" operator="containsText" text="Oil">
      <formula>NOT(ISERROR(SEARCH("Oil",Q18)))</formula>
    </cfRule>
  </conditionalFormatting>
  <conditionalFormatting sqref="V6:V25">
    <cfRule type="cellIs" dxfId="8" priority="9" operator="equal">
      <formula>0</formula>
    </cfRule>
  </conditionalFormatting>
  <conditionalFormatting sqref="W6:W25">
    <cfRule type="cellIs" dxfId="7" priority="8" operator="equal">
      <formula>0</formula>
    </cfRule>
  </conditionalFormatting>
  <conditionalFormatting sqref="Y6:Y25">
    <cfRule type="cellIs" dxfId="6" priority="7" operator="equal">
      <formula>0</formula>
    </cfRule>
  </conditionalFormatting>
  <conditionalFormatting sqref="Z6:AB25">
    <cfRule type="cellIs" dxfId="5" priority="6" operator="equal">
      <formula>0</formula>
    </cfRule>
  </conditionalFormatting>
  <conditionalFormatting sqref="O31">
    <cfRule type="containsBlanks" dxfId="4" priority="5">
      <formula>LEN(TRIM(O31))=0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 operator="containsText" id="{8437A55A-D338-49A7-AC4B-FA7CD075074D}">
            <xm:f>NOT(ISERROR(SEARCH($D$8,S6)))</xm:f>
            <xm:f>$D$8</xm:f>
            <x14:dxf>
              <fill>
                <patternFill>
                  <bgColor theme="7" tint="0.79998168889431442"/>
                </patternFill>
              </fill>
            </x14:dxf>
          </x14:cfRule>
          <x14:cfRule type="containsText" priority="2" operator="containsText" id="{7FAF4AA2-796A-4072-ACCE-A3B86CDEEA7B}">
            <xm:f>NOT(ISERROR(SEARCH($D$7,S6)))</xm:f>
            <xm:f>$D$7</xm:f>
            <x14:dxf>
              <fill>
                <patternFill>
                  <bgColor theme="5" tint="0.79998168889431442"/>
                </patternFill>
              </fill>
            </x14:dxf>
          </x14:cfRule>
          <x14:cfRule type="containsText" priority="3" operator="containsText" id="{EB9564AE-09C6-4951-B2C1-1F0CCEE38AE4}">
            <xm:f>NOT(ISERROR(SEARCH($D$6,S6)))</xm:f>
            <xm:f>$D$6</xm:f>
            <x14:dxf>
              <fill>
                <patternFill>
                  <bgColor theme="0" tint="-0.24994659260841701"/>
                </patternFill>
              </fill>
            </x14:dxf>
          </x14:cfRule>
          <x14:cfRule type="containsText" priority="4" operator="containsText" id="{AD93E6B1-FA31-4876-B065-5F40FDAAC512}">
            <xm:f>NOT(ISERROR(SEARCH($D$5,S6)))</xm:f>
            <xm:f>$D$5</xm:f>
            <x14:dxf>
              <fill>
                <patternFill>
                  <bgColor theme="0" tint="-0.34998626667073579"/>
                </patternFill>
              </fill>
            </x14:dxf>
          </x14:cfRule>
          <xm:sqref>S6:S25</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COMM</vt:lpstr>
      <vt:lpstr>PROCESS</vt:lpstr>
      <vt:lpstr>Bases de Cálculo</vt:lpstr>
      <vt:lpstr>1. EXP_IMP</vt:lpstr>
      <vt:lpstr>2. DEM</vt:lpstr>
      <vt:lpstr>3. Scope3</vt:lpstr>
      <vt:lpstr>4. Refinery's Data</vt:lpstr>
      <vt:lpstr>4.1 Ref_Cart</vt:lpstr>
      <vt:lpstr>4.2 Ref_Barranca</vt:lpstr>
      <vt:lpstr>5. ANH</vt:lpstr>
      <vt:lpstr>5. GlobalData</vt:lpstr>
      <vt:lpstr>5. Data</vt:lpstr>
      <vt:lpstr>5. Oilfields</vt:lpstr>
      <vt:lpstr>5. Produccion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2022-11-22T03:27:14Z</dcterms:modified>
</cp:coreProperties>
</file>