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0B936D14-FA08-426B-B285-A74523ACFDF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1" l="1"/>
  <c r="E26" i="11"/>
  <c r="D26" i="11"/>
  <c r="C26" i="11"/>
  <c r="K19" i="3"/>
  <c r="K17" i="3"/>
  <c r="G29" i="10"/>
  <c r="F29" i="10"/>
  <c r="F18" i="10"/>
  <c r="D32" i="10"/>
  <c r="C32" i="10"/>
  <c r="F28" i="10" s="1"/>
  <c r="B26" i="11"/>
  <c r="B4" i="11" a="1"/>
  <c r="B4" i="11" s="1"/>
  <c r="G28" i="10" l="1"/>
  <c r="F14" i="11"/>
  <c r="I88" i="3" l="1"/>
  <c r="M65" i="5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C22" i="10"/>
  <c r="G18" i="10" s="1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94" i="3" a="1"/>
  <c r="I94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I31" i="3"/>
  <c r="I30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30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31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<sst xmlns="http://schemas.openxmlformats.org/spreadsheetml/2006/main" count="1491" uniqueCount="550">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</sst>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299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549595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J14" zoomScale="115" zoomScaleNormal="115" workbookViewId="0">
      <selection activeCell="O35" sqref="O35:Q36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65" t="s">
        <v>102</v>
      </c>
      <c r="Y14" s="265"/>
      <c r="Z14" s="265"/>
      <c r="AA14" s="265"/>
      <c r="AB14" s="265"/>
      <c r="AC14" s="265"/>
      <c r="AD14" s="265"/>
      <c r="AE14" s="265"/>
      <c r="AF14" s="265"/>
    </row>
    <row r="15" spans="1:1409" x14ac:dyDescent="0.25">
      <c r="B15" s="265" t="s">
        <v>83</v>
      </c>
      <c r="C15" s="265"/>
      <c r="D15" s="265"/>
      <c r="E15" s="265"/>
      <c r="F15" s="265"/>
      <c r="G15" s="265"/>
      <c r="H15" s="265"/>
      <c r="I15" s="265"/>
      <c r="J15" s="265"/>
      <c r="M15" s="265" t="s">
        <v>84</v>
      </c>
      <c r="N15" s="265"/>
      <c r="O15" s="265"/>
      <c r="P15" s="265"/>
      <c r="Q15" s="265"/>
      <c r="R15" s="265"/>
      <c r="S15" s="265"/>
      <c r="T15" s="265"/>
      <c r="U15" s="265"/>
      <c r="AI15" s="265" t="s">
        <v>97</v>
      </c>
      <c r="AJ15" s="265"/>
      <c r="AK15" s="265"/>
      <c r="AL15" s="265"/>
      <c r="AM15" s="265"/>
      <c r="AN15" s="265"/>
      <c r="AO15" s="265"/>
      <c r="AP15" s="265"/>
      <c r="AQ15" s="265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66" t="s">
        <v>121</v>
      </c>
      <c r="C18" s="266"/>
      <c r="D18" s="266"/>
      <c r="E18" s="266"/>
      <c r="F18" s="266"/>
      <c r="G18" s="266"/>
      <c r="H18" s="266"/>
      <c r="I18" s="266"/>
      <c r="J18" s="266"/>
      <c r="L18" s="266" t="s">
        <v>127</v>
      </c>
      <c r="M18" s="266"/>
      <c r="N18" s="266"/>
      <c r="O18" s="266"/>
      <c r="P18" s="266"/>
      <c r="Q18" s="266"/>
      <c r="R18" s="266"/>
      <c r="S18" s="266"/>
      <c r="T18" s="266"/>
      <c r="V18" s="266" t="s">
        <v>123</v>
      </c>
      <c r="W18" s="266"/>
      <c r="X18" s="266"/>
      <c r="Y18" s="266"/>
      <c r="Z18" s="266"/>
      <c r="AA18" s="266"/>
      <c r="AB18" s="266"/>
      <c r="AC18" s="266"/>
      <c r="AD18" s="266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zoomScale="130" zoomScaleNormal="130" workbookViewId="0">
      <selection activeCell="E28" sqref="E28:E29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7" ht="23.25" customHeight="1" x14ac:dyDescent="0.25">
      <c r="B2" s="202"/>
      <c r="F2" s="267" t="s">
        <v>281</v>
      </c>
      <c r="G2" s="268"/>
    </row>
    <row r="3" spans="2:7" ht="15" x14ac:dyDescent="0.25">
      <c r="F3" s="212" t="s">
        <v>408</v>
      </c>
      <c r="G3" s="207" t="s">
        <v>409</v>
      </c>
    </row>
    <row r="4" spans="2:7" ht="15" x14ac:dyDescent="0.25">
      <c r="F4" s="213" t="s">
        <v>464</v>
      </c>
      <c r="G4" s="187" t="s">
        <v>285</v>
      </c>
    </row>
    <row r="5" spans="2:7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7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7" ht="15" x14ac:dyDescent="0.25">
      <c r="B7" s="209" t="s">
        <v>411</v>
      </c>
      <c r="C7" s="228" t="s">
        <v>497</v>
      </c>
      <c r="D7" s="269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</row>
    <row r="8" spans="2:7" ht="15" x14ac:dyDescent="0.25">
      <c r="B8" s="210" t="s">
        <v>416</v>
      </c>
      <c r="C8" s="229" t="s">
        <v>498</v>
      </c>
      <c r="D8" s="270"/>
      <c r="E8" s="19" t="s">
        <v>67</v>
      </c>
      <c r="F8" s="220"/>
      <c r="G8" s="218"/>
    </row>
    <row r="9" spans="2:7" ht="15" x14ac:dyDescent="0.25">
      <c r="B9" s="211" t="s">
        <v>412</v>
      </c>
      <c r="C9" s="230" t="s">
        <v>498</v>
      </c>
      <c r="D9" s="271"/>
      <c r="E9" s="153" t="s">
        <v>53</v>
      </c>
      <c r="F9" s="221"/>
      <c r="G9" s="219"/>
    </row>
    <row r="10" spans="2:7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7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7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</row>
    <row r="13" spans="2:7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</row>
    <row r="14" spans="2:7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</row>
    <row r="15" spans="2:7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7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486</v>
      </c>
    </row>
    <row r="20" spans="2:7" ht="10.5" customHeight="1" x14ac:dyDescent="0.2">
      <c r="B20" s="236"/>
      <c r="C20" s="236" t="s">
        <v>89</v>
      </c>
      <c r="D20" s="236" t="s">
        <v>90</v>
      </c>
    </row>
    <row r="21" spans="2:7" ht="10.5" customHeight="1" x14ac:dyDescent="0.2">
      <c r="B21" s="236" t="s">
        <v>490</v>
      </c>
      <c r="C21" s="237">
        <v>0.1</v>
      </c>
      <c r="D21" s="237">
        <v>0.1</v>
      </c>
    </row>
    <row r="22" spans="2:7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8" spans="2:7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</row>
    <row r="29" spans="2:7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</row>
    <row r="30" spans="2:7" x14ac:dyDescent="0.2">
      <c r="B30" s="236"/>
      <c r="C30" s="236" t="s">
        <v>89</v>
      </c>
      <c r="D30" s="236" t="s">
        <v>90</v>
      </c>
    </row>
    <row r="31" spans="2:7" x14ac:dyDescent="0.2">
      <c r="B31" s="236" t="s">
        <v>490</v>
      </c>
      <c r="C31" s="237">
        <v>0.15</v>
      </c>
      <c r="D31" s="237">
        <v>0.15</v>
      </c>
    </row>
    <row r="32" spans="2:7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</row>
    <row r="40" spans="2:14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4" ht="15" x14ac:dyDescent="0.25">
      <c r="C41"/>
      <c r="D41"/>
      <c r="E41" s="295" t="s">
        <v>281</v>
      </c>
      <c r="F41" s="296"/>
      <c r="G41" s="295" t="s">
        <v>488</v>
      </c>
      <c r="H41" s="298"/>
      <c r="I41" s="298"/>
      <c r="J41" s="298"/>
      <c r="K41" s="298"/>
      <c r="L41" s="298"/>
      <c r="M41" s="298"/>
      <c r="N41" s="296"/>
    </row>
    <row r="42" spans="2:14" ht="15" x14ac:dyDescent="0.25">
      <c r="B42"/>
      <c r="C42"/>
      <c r="D42"/>
      <c r="E42" s="175" t="s">
        <v>408</v>
      </c>
      <c r="F42" s="186" t="s">
        <v>409</v>
      </c>
      <c r="G42" s="172"/>
      <c r="K42" s="297" t="s">
        <v>335</v>
      </c>
      <c r="L42" s="297"/>
      <c r="M42" s="297"/>
      <c r="N42" s="174"/>
    </row>
    <row r="43" spans="2:14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4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4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4" ht="15" x14ac:dyDescent="0.25">
      <c r="B46" s="143" t="s">
        <v>411</v>
      </c>
      <c r="C46" s="144" t="s">
        <v>468</v>
      </c>
      <c r="D46" s="145" t="s">
        <v>52</v>
      </c>
      <c r="E46" s="286">
        <f>+G114</f>
        <v>6.0871741676095334</v>
      </c>
      <c r="F46" s="289">
        <f>+L114*1000</f>
        <v>77.841777688967127</v>
      </c>
      <c r="G46" s="280">
        <v>6.0871741676095334</v>
      </c>
      <c r="H46" s="283" t="s">
        <v>478</v>
      </c>
      <c r="I46" s="283">
        <v>40670.462586675276</v>
      </c>
      <c r="J46" s="292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4" ht="15" x14ac:dyDescent="0.25">
      <c r="B47" s="148" t="s">
        <v>416</v>
      </c>
      <c r="C47" t="s">
        <v>468</v>
      </c>
      <c r="D47" s="19" t="s">
        <v>67</v>
      </c>
      <c r="E47" s="287"/>
      <c r="F47" s="290"/>
      <c r="G47" s="281"/>
      <c r="H47" s="284"/>
      <c r="I47" s="284"/>
      <c r="J47" s="293"/>
      <c r="N47" s="179"/>
    </row>
    <row r="48" spans="2:14" ht="15" x14ac:dyDescent="0.25">
      <c r="B48" s="151" t="s">
        <v>412</v>
      </c>
      <c r="C48" s="152" t="s">
        <v>468</v>
      </c>
      <c r="D48" s="153" t="s">
        <v>53</v>
      </c>
      <c r="E48" s="288"/>
      <c r="F48" s="291"/>
      <c r="G48" s="282"/>
      <c r="H48" s="285"/>
      <c r="I48" s="285"/>
      <c r="J48" s="294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1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1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1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1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1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1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1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75" t="s">
        <v>248</v>
      </c>
      <c r="C106" s="276"/>
      <c r="D106" s="276"/>
      <c r="E106" s="276"/>
      <c r="F106" s="276"/>
      <c r="G106" s="276"/>
      <c r="H106" s="276"/>
      <c r="I106" s="276"/>
      <c r="J106" s="276"/>
      <c r="K106" s="276"/>
      <c r="L106" s="277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72" t="s">
        <v>251</v>
      </c>
      <c r="E107" s="273"/>
      <c r="F107" s="273"/>
      <c r="G107" s="273"/>
      <c r="H107" s="273"/>
      <c r="I107" s="273"/>
      <c r="J107" s="274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2">F109*4.1868/3.6</f>
        <v>4.0952630413594004</v>
      </c>
      <c r="I109" s="86">
        <f t="shared" ref="I109:I120" si="3">F109*0.1</f>
        <v>0.3521292382940156</v>
      </c>
      <c r="J109" s="86">
        <f t="shared" ref="J109:J115" si="4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5">G110/4.1868</f>
        <v>6.8692647535293689</v>
      </c>
      <c r="G110" s="91">
        <f>G192</f>
        <v>28.760237670076762</v>
      </c>
      <c r="H110" s="91">
        <f t="shared" si="2"/>
        <v>7.988954908354656</v>
      </c>
      <c r="I110" s="91">
        <f t="shared" si="3"/>
        <v>0.68692647535293694</v>
      </c>
      <c r="J110" s="91">
        <f t="shared" si="4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5"/>
        <v>0.24112862907295876</v>
      </c>
      <c r="G111" s="86">
        <f>G166</f>
        <v>1.0095573442026637</v>
      </c>
      <c r="H111" s="86">
        <f t="shared" si="2"/>
        <v>0.28043259561185102</v>
      </c>
      <c r="I111" s="86">
        <f t="shared" si="3"/>
        <v>2.4112862907295876E-2</v>
      </c>
      <c r="J111" s="86">
        <f t="shared" si="4"/>
        <v>0.95687560110805836</v>
      </c>
      <c r="K111" s="87">
        <f t="shared" ref="K111:K120" si="6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5"/>
        <v>0.85984522785898543</v>
      </c>
      <c r="G112" s="91">
        <v>3.6</v>
      </c>
      <c r="H112" s="91">
        <f t="shared" si="2"/>
        <v>1</v>
      </c>
      <c r="I112" s="91">
        <f t="shared" si="3"/>
        <v>8.5984522785898548E-2</v>
      </c>
      <c r="J112" s="91">
        <f t="shared" si="4"/>
        <v>3.4121411564883757</v>
      </c>
      <c r="K112" s="92">
        <f t="shared" si="6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5"/>
        <v>4.0588160682184977</v>
      </c>
      <c r="G113" s="86">
        <f>G210</f>
        <v>16.993451114417205</v>
      </c>
      <c r="H113" s="86">
        <f t="shared" si="2"/>
        <v>4.720403087338112</v>
      </c>
      <c r="I113" s="86">
        <f t="shared" si="3"/>
        <v>0.40588160682184982</v>
      </c>
      <c r="J113" s="86">
        <f t="shared" si="4"/>
        <v>16.106681649521164</v>
      </c>
      <c r="K113" s="87">
        <f t="shared" si="6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5"/>
        <v>1.4538965719904302</v>
      </c>
      <c r="G114" s="91">
        <f>I177</f>
        <v>6.0871741676095334</v>
      </c>
      <c r="H114" s="91">
        <f t="shared" si="2"/>
        <v>1.6908817132248701</v>
      </c>
      <c r="I114" s="91">
        <f t="shared" si="3"/>
        <v>0.14538965719904304</v>
      </c>
      <c r="J114" s="91">
        <f t="shared" si="4"/>
        <v>5.7695270844481543</v>
      </c>
      <c r="K114" s="92">
        <f t="shared" si="6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5"/>
        <v>0.23884589662749595</v>
      </c>
      <c r="G115" s="86">
        <v>1</v>
      </c>
      <c r="H115" s="86">
        <f t="shared" si="2"/>
        <v>0.27777777777777779</v>
      </c>
      <c r="I115" s="86">
        <f t="shared" si="3"/>
        <v>2.3884589662749596E-2</v>
      </c>
      <c r="J115" s="86">
        <f t="shared" si="4"/>
        <v>0.94781698791343771</v>
      </c>
      <c r="K115" s="87">
        <f t="shared" si="6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7">AVERAGE(F117:F119)</f>
        <v>4.275596997028372</v>
      </c>
      <c r="G116" s="96">
        <f t="shared" si="7"/>
        <v>17.901069507158386</v>
      </c>
      <c r="H116" s="96">
        <f t="shared" si="7"/>
        <v>4.9725193075439966</v>
      </c>
      <c r="I116" s="96">
        <f t="shared" si="7"/>
        <v>0.42755969970283725</v>
      </c>
      <c r="J116" s="96">
        <f t="shared" si="7"/>
        <v>16.966937780703947</v>
      </c>
      <c r="K116" s="97">
        <f t="shared" si="7"/>
        <v>1.8279689577448019</v>
      </c>
      <c r="L116" s="97">
        <f t="shared" si="7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5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6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5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6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5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6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5"/>
        <v>0.85984522785898543</v>
      </c>
      <c r="G120" s="86">
        <v>3.6</v>
      </c>
      <c r="H120" s="86">
        <f t="shared" si="2"/>
        <v>1</v>
      </c>
      <c r="I120" s="86">
        <f t="shared" si="3"/>
        <v>8.5984522785898548E-2</v>
      </c>
      <c r="J120" s="86">
        <f>H120*$H$151/$H$150</f>
        <v>3.4121411564883757</v>
      </c>
      <c r="K120" s="87">
        <f t="shared" si="6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8">F132</f>
        <v>1</v>
      </c>
      <c r="G121" s="91">
        <f t="shared" si="8"/>
        <v>4.1867999999999999</v>
      </c>
      <c r="H121" s="91">
        <f t="shared" si="8"/>
        <v>1.163</v>
      </c>
      <c r="I121" s="91">
        <f t="shared" si="8"/>
        <v>0.1</v>
      </c>
      <c r="J121" s="91">
        <f t="shared" si="8"/>
        <v>3.9683201649959812</v>
      </c>
      <c r="K121" s="92">
        <f t="shared" si="8"/>
        <v>0.17075462526339016</v>
      </c>
      <c r="L121" s="92">
        <f t="shared" si="8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9">F132</f>
        <v>1</v>
      </c>
      <c r="G122" s="86">
        <f t="shared" si="9"/>
        <v>4.1867999999999999</v>
      </c>
      <c r="H122" s="86">
        <f t="shared" si="9"/>
        <v>1.163</v>
      </c>
      <c r="I122" s="86">
        <f t="shared" si="9"/>
        <v>0.1</v>
      </c>
      <c r="J122" s="86">
        <f t="shared" si="9"/>
        <v>3.9683201649959812</v>
      </c>
      <c r="K122" s="87">
        <f t="shared" si="9"/>
        <v>0.17075462526339016</v>
      </c>
      <c r="L122" s="87">
        <f t="shared" si="9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75" t="s">
        <v>293</v>
      </c>
      <c r="C123" s="276"/>
      <c r="D123" s="276"/>
      <c r="E123" s="276"/>
      <c r="F123" s="276"/>
      <c r="G123" s="276"/>
      <c r="H123" s="276"/>
      <c r="I123" s="276"/>
      <c r="J123" s="276"/>
      <c r="K123" s="276"/>
      <c r="L123" s="277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0">F124*4.1868/3.6</f>
        <v>0.81488708051393088</v>
      </c>
      <c r="I124" s="86">
        <f t="shared" ref="I124:I136" si="11">F124*0.1</f>
        <v>7.0067676742384441E-2</v>
      </c>
      <c r="J124" s="86">
        <f t="shared" ref="J124:J134" si="12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3">G125/4.1868</f>
        <v>1.2596999109918081</v>
      </c>
      <c r="G125" s="91">
        <f>I181</f>
        <v>5.274111587340502</v>
      </c>
      <c r="H125" s="91">
        <f t="shared" si="10"/>
        <v>1.4650309964834727</v>
      </c>
      <c r="I125" s="91">
        <f t="shared" si="11"/>
        <v>0.12596999109918081</v>
      </c>
      <c r="J125" s="91">
        <f t="shared" si="12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3"/>
        <v>6.4989968472341646</v>
      </c>
      <c r="G126" s="86">
        <v>27.21</v>
      </c>
      <c r="H126" s="86">
        <f t="shared" si="10"/>
        <v>7.5583333333333336</v>
      </c>
      <c r="I126" s="86">
        <f t="shared" si="11"/>
        <v>0.64989968472341653</v>
      </c>
      <c r="J126" s="86">
        <f t="shared" si="12"/>
        <v>25.790100241124641</v>
      </c>
      <c r="K126" s="87">
        <f t="shared" ref="K126:K136" si="14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0"/>
        <v>5.5833333333333339</v>
      </c>
      <c r="I127" s="91">
        <f t="shared" si="11"/>
        <v>0.48008025222126688</v>
      </c>
      <c r="J127" s="91">
        <f t="shared" si="12"/>
        <v>19.051121457060102</v>
      </c>
      <c r="K127" s="92">
        <f t="shared" si="14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3"/>
        <v>1.3544592146893291</v>
      </c>
      <c r="G128" s="86">
        <f>I189</f>
        <v>5.6708498400612823</v>
      </c>
      <c r="H128" s="86">
        <f t="shared" si="10"/>
        <v>1.5752360666836895</v>
      </c>
      <c r="I128" s="86">
        <f t="shared" si="11"/>
        <v>0.13544592146893292</v>
      </c>
      <c r="J128" s="86">
        <f t="shared" si="12"/>
        <v>5.3749278143162851</v>
      </c>
      <c r="K128" s="87">
        <f t="shared" si="14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3"/>
        <v>0.85984522785898543</v>
      </c>
      <c r="G129" s="91">
        <v>3.6</v>
      </c>
      <c r="H129" s="91">
        <f t="shared" si="10"/>
        <v>1</v>
      </c>
      <c r="I129" s="91">
        <f t="shared" si="11"/>
        <v>8.5984522785898548E-2</v>
      </c>
      <c r="J129" s="91">
        <f t="shared" si="12"/>
        <v>3.4121411564883757</v>
      </c>
      <c r="K129" s="92">
        <f t="shared" si="14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3"/>
        <v>0.85984522785898543</v>
      </c>
      <c r="G130" s="86">
        <v>3.6</v>
      </c>
      <c r="H130" s="86">
        <f t="shared" si="10"/>
        <v>1</v>
      </c>
      <c r="I130" s="86">
        <f t="shared" si="11"/>
        <v>8.5984522785898548E-2</v>
      </c>
      <c r="J130" s="86">
        <f t="shared" si="12"/>
        <v>3.4121411564883757</v>
      </c>
      <c r="K130" s="87">
        <f t="shared" si="14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3"/>
        <v>1.3042945965731128</v>
      </c>
      <c r="G131" s="91">
        <f>I183</f>
        <v>5.4608206169323079</v>
      </c>
      <c r="H131" s="91">
        <f t="shared" si="10"/>
        <v>1.51689461581453</v>
      </c>
      <c r="I131" s="91">
        <f t="shared" si="11"/>
        <v>0.13042945965731129</v>
      </c>
      <c r="J131" s="91">
        <f t="shared" si="12"/>
        <v>5.1758585486763815</v>
      </c>
      <c r="K131" s="92">
        <f t="shared" si="14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3"/>
        <v>1</v>
      </c>
      <c r="G132" s="86">
        <v>4.1867999999999999</v>
      </c>
      <c r="H132" s="86">
        <f t="shared" si="10"/>
        <v>1.163</v>
      </c>
      <c r="I132" s="86">
        <f t="shared" si="11"/>
        <v>0.1</v>
      </c>
      <c r="J132" s="86">
        <f t="shared" si="12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3"/>
        <v>0.96882250080219201</v>
      </c>
      <c r="G133" s="91">
        <f>I190</f>
        <v>4.0562660463586173</v>
      </c>
      <c r="H133" s="91">
        <f t="shared" si="10"/>
        <v>1.1267405684329492</v>
      </c>
      <c r="I133" s="91">
        <f t="shared" si="11"/>
        <v>9.6882250080219209E-2</v>
      </c>
      <c r="J133" s="91">
        <f t="shared" si="12"/>
        <v>3.8445978662351732</v>
      </c>
      <c r="K133" s="92">
        <f t="shared" si="14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3"/>
        <v>1.273263288064878</v>
      </c>
      <c r="G134" s="86">
        <f>(I188*0.99+I178*0.01)</f>
        <v>5.3308987344700309</v>
      </c>
      <c r="H134" s="86">
        <f t="shared" si="10"/>
        <v>1.480805204019453</v>
      </c>
      <c r="I134" s="86">
        <f t="shared" si="11"/>
        <v>0.12732632880648781</v>
      </c>
      <c r="J134" s="86">
        <f t="shared" si="12"/>
        <v>5.0527163813769418</v>
      </c>
      <c r="K134" s="87">
        <f t="shared" si="14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5">E132</f>
        <v>1</v>
      </c>
      <c r="F135" s="91">
        <f t="shared" si="15"/>
        <v>1</v>
      </c>
      <c r="G135" s="91">
        <f t="shared" si="15"/>
        <v>4.1867999999999999</v>
      </c>
      <c r="H135" s="91">
        <f t="shared" si="15"/>
        <v>1.163</v>
      </c>
      <c r="I135" s="91">
        <f t="shared" si="15"/>
        <v>0.1</v>
      </c>
      <c r="J135" s="91">
        <f t="shared" si="15"/>
        <v>3.9683201649959812</v>
      </c>
      <c r="K135" s="92">
        <f t="shared" si="15"/>
        <v>0.17075462526339016</v>
      </c>
      <c r="L135" s="92">
        <f t="shared" si="15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3"/>
        <v>1.1253928529549111</v>
      </c>
      <c r="G136" s="86">
        <f>I175*0.05+I179*0.95</f>
        <v>4.7117947967516214</v>
      </c>
      <c r="H136" s="86">
        <f t="shared" si="10"/>
        <v>1.3088318879865615</v>
      </c>
      <c r="I136" s="86">
        <f t="shared" si="11"/>
        <v>0.11253928529549112</v>
      </c>
      <c r="J136" s="86">
        <f>H136*$H$151/$H$150</f>
        <v>4.4659191519233303</v>
      </c>
      <c r="K136" s="87">
        <f t="shared" si="14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6">E132</f>
        <v>1</v>
      </c>
      <c r="F137" s="91">
        <f t="shared" si="16"/>
        <v>1</v>
      </c>
      <c r="G137" s="91">
        <f t="shared" si="16"/>
        <v>4.1867999999999999</v>
      </c>
      <c r="H137" s="91">
        <f t="shared" si="16"/>
        <v>1.163</v>
      </c>
      <c r="I137" s="91">
        <f t="shared" si="16"/>
        <v>0.1</v>
      </c>
      <c r="J137" s="91">
        <f t="shared" si="16"/>
        <v>3.9683201649959812</v>
      </c>
      <c r="K137" s="92">
        <f t="shared" si="16"/>
        <v>0.17075462526339016</v>
      </c>
      <c r="L137" s="92">
        <f t="shared" si="16"/>
        <v>4.0784041574326496E-2</v>
      </c>
      <c r="M137" s="91" t="str">
        <f t="shared" si="16"/>
        <v>Secundario</v>
      </c>
      <c r="N137" s="91" t="str">
        <f t="shared" si="16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78"/>
      <c r="C140" s="278"/>
      <c r="D140" s="278"/>
      <c r="E140" s="278"/>
      <c r="G140" s="279" t="s">
        <v>430</v>
      </c>
      <c r="H140" s="279"/>
      <c r="I140" s="279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7">H157*$H$143/1000000</f>
        <v>0.62297431020112526</v>
      </c>
      <c r="H157" s="106">
        <v>22.00013218323037</v>
      </c>
      <c r="I157" s="106">
        <f t="shared" ref="I157:I173" si="18">H157/($H$146*1000)</f>
        <v>3.4977415186543204E-3</v>
      </c>
      <c r="J157" s="106">
        <f t="shared" ref="J157:J173" si="19">G157*1000000/$H$150</f>
        <v>590.46563424228214</v>
      </c>
      <c r="K157" s="106">
        <f t="shared" ref="K157:K173" si="20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1">H158/F158</f>
        <v>0.47283633381654921</v>
      </c>
      <c r="F158" s="110">
        <v>31.776669869184339</v>
      </c>
      <c r="G158" s="110">
        <f t="shared" si="17"/>
        <v>0.42546522682624327</v>
      </c>
      <c r="H158" s="110">
        <v>15.025164081843927</v>
      </c>
      <c r="I158" s="110">
        <f t="shared" si="18"/>
        <v>2.3888102033186231E-3</v>
      </c>
      <c r="J158" s="110">
        <f t="shared" si="19"/>
        <v>403.26316975235744</v>
      </c>
      <c r="K158" s="110">
        <f t="shared" si="20"/>
        <v>0.11818478522951202</v>
      </c>
      <c r="L158" s="111">
        <v>40784.041574326497</v>
      </c>
      <c r="M158" s="124">
        <v>1</v>
      </c>
      <c r="N158" s="125">
        <f t="shared" ref="N158:N216" si="22">M158*25</f>
        <v>25</v>
      </c>
      <c r="O158" s="38">
        <v>0.1</v>
      </c>
      <c r="P158" s="38">
        <f t="shared" ref="P158:P216" si="23">O158*310</f>
        <v>31</v>
      </c>
    </row>
    <row r="159" spans="2:18" x14ac:dyDescent="0.2">
      <c r="C159" s="104" t="s">
        <v>338</v>
      </c>
      <c r="D159" s="105"/>
      <c r="E159" s="106">
        <f t="shared" si="21"/>
        <v>0.82805816320750392</v>
      </c>
      <c r="F159" s="106">
        <v>46.703886147213531</v>
      </c>
      <c r="G159" s="106">
        <f t="shared" si="17"/>
        <v>1.0951124328137294</v>
      </c>
      <c r="H159" s="106">
        <v>38.673534177714025</v>
      </c>
      <c r="I159" s="106">
        <f t="shared" si="18"/>
        <v>6.148600610208923E-3</v>
      </c>
      <c r="J159" s="106">
        <f t="shared" si="19"/>
        <v>1037.966167496066</v>
      </c>
      <c r="K159" s="106">
        <f t="shared" si="20"/>
        <v>0.30419789800381369</v>
      </c>
      <c r="L159" s="107">
        <v>56647.701811453429</v>
      </c>
      <c r="M159" s="124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8" x14ac:dyDescent="0.2">
      <c r="C160" s="108" t="s">
        <v>339</v>
      </c>
      <c r="D160" s="109"/>
      <c r="E160" s="110">
        <f t="shared" si="21"/>
        <v>0.68944210535051864</v>
      </c>
      <c r="F160" s="110">
        <v>48.581707173245775</v>
      </c>
      <c r="G160" s="110">
        <f t="shared" si="17"/>
        <v>0.94845214396863864</v>
      </c>
      <c r="H160" s="110">
        <v>33.494274475044961</v>
      </c>
      <c r="I160" s="110">
        <f t="shared" si="18"/>
        <v>5.3251641168715084E-3</v>
      </c>
      <c r="J160" s="110">
        <f t="shared" si="19"/>
        <v>898.9590542763973</v>
      </c>
      <c r="K160" s="110">
        <f t="shared" si="20"/>
        <v>0.26345892888017741</v>
      </c>
      <c r="L160" s="111">
        <v>54911.333346521977</v>
      </c>
      <c r="M160" s="124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2:16" x14ac:dyDescent="0.2">
      <c r="C161" s="104" t="s">
        <v>340</v>
      </c>
      <c r="D161" s="105"/>
      <c r="E161" s="106">
        <f t="shared" si="21"/>
        <v>0.69906138957644803</v>
      </c>
      <c r="F161" s="106">
        <v>47.590537507391971</v>
      </c>
      <c r="G161" s="106">
        <f t="shared" si="17"/>
        <v>0.94206479292054834</v>
      </c>
      <c r="H161" s="106">
        <v>33.268707280607501</v>
      </c>
      <c r="I161" s="106">
        <f t="shared" si="18"/>
        <v>5.2893017986518171E-3</v>
      </c>
      <c r="J161" s="106">
        <f t="shared" si="19"/>
        <v>892.90501444525057</v>
      </c>
      <c r="K161" s="106">
        <f t="shared" si="20"/>
        <v>0.26168466470015234</v>
      </c>
      <c r="L161" s="107">
        <v>54869.575225054097</v>
      </c>
      <c r="M161" s="124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2:16" x14ac:dyDescent="0.2">
      <c r="C162" s="108" t="s">
        <v>341</v>
      </c>
      <c r="D162" s="109"/>
      <c r="E162" s="110">
        <f t="shared" si="21"/>
        <v>0.79827746622006956</v>
      </c>
      <c r="F162" s="110">
        <v>46.674185425559152</v>
      </c>
      <c r="G162" s="110">
        <f t="shared" si="17"/>
        <v>1.0550558869557909</v>
      </c>
      <c r="H162" s="110">
        <v>37.258950479401058</v>
      </c>
      <c r="I162" s="110">
        <f t="shared" si="18"/>
        <v>5.9236997736142978E-3</v>
      </c>
      <c r="J162" s="110">
        <f t="shared" si="19"/>
        <v>999.99989285477818</v>
      </c>
      <c r="K162" s="110">
        <f t="shared" si="20"/>
        <v>0.2930710797099419</v>
      </c>
      <c r="L162" s="111">
        <v>54618.088800570877</v>
      </c>
      <c r="M162" s="124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2:16" x14ac:dyDescent="0.2">
      <c r="C163" s="104" t="s">
        <v>342</v>
      </c>
      <c r="D163" s="105"/>
      <c r="E163" s="106">
        <f t="shared" si="21"/>
        <v>0.72219603487749551</v>
      </c>
      <c r="F163" s="106">
        <v>49.057537361627276</v>
      </c>
      <c r="G163" s="106">
        <f t="shared" si="17"/>
        <v>1.0032419661127179</v>
      </c>
      <c r="H163" s="106">
        <v>35.429158963421813</v>
      </c>
      <c r="I163" s="106">
        <f t="shared" si="18"/>
        <v>5.6327861689769339E-3</v>
      </c>
      <c r="J163" s="106">
        <f t="shared" si="19"/>
        <v>950.88977846931141</v>
      </c>
      <c r="K163" s="106">
        <f t="shared" si="20"/>
        <v>0.27867832392019937</v>
      </c>
      <c r="L163" s="107">
        <v>55801.045967069134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2:16" x14ac:dyDescent="0.2">
      <c r="C164" s="108" t="s">
        <v>343</v>
      </c>
      <c r="D164" s="109"/>
      <c r="E164" s="110">
        <f t="shared" si="21"/>
        <v>0.81264331694746639</v>
      </c>
      <c r="F164" s="110">
        <v>46.681045476918939</v>
      </c>
      <c r="G164" s="110">
        <f t="shared" si="17"/>
        <v>1.0742005980783322</v>
      </c>
      <c r="H164" s="110">
        <v>37.935039634938931</v>
      </c>
      <c r="I164" s="110">
        <f t="shared" si="18"/>
        <v>6.0311893600377524E-3</v>
      </c>
      <c r="J164" s="110">
        <f t="shared" si="19"/>
        <v>1018.1455752854181</v>
      </c>
      <c r="K164" s="110">
        <f t="shared" si="20"/>
        <v>0.29838905502175894</v>
      </c>
      <c r="L164" s="111">
        <v>56979.995471723574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2:16" x14ac:dyDescent="0.2">
      <c r="C165" s="104" t="s">
        <v>344</v>
      </c>
      <c r="D165" s="105"/>
      <c r="E165" s="106">
        <f t="shared" si="21"/>
        <v>0.69505471404304453</v>
      </c>
      <c r="F165" s="106">
        <v>48.205739070710145</v>
      </c>
      <c r="G165" s="106">
        <f t="shared" si="17"/>
        <v>0.94877358856888827</v>
      </c>
      <c r="H165" s="106">
        <v>33.50562618502606</v>
      </c>
      <c r="I165" s="106">
        <f t="shared" si="18"/>
        <v>5.3269688945418387E-3</v>
      </c>
      <c r="J165" s="106">
        <f t="shared" si="19"/>
        <v>899.26372492918688</v>
      </c>
      <c r="K165" s="106">
        <f t="shared" si="20"/>
        <v>0.26354821904691339</v>
      </c>
      <c r="L165" s="107">
        <v>54667.782262129222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1"/>
        <v>0.7483337440478588</v>
      </c>
      <c r="F166" s="110">
        <v>47.642091166095256</v>
      </c>
      <c r="G166" s="110">
        <f t="shared" si="17"/>
        <v>1.0095573442026637</v>
      </c>
      <c r="H166" s="110">
        <v>35.652184456593481</v>
      </c>
      <c r="I166" s="110">
        <f t="shared" si="18"/>
        <v>5.6682443889861534E-3</v>
      </c>
      <c r="J166" s="110">
        <f t="shared" si="19"/>
        <v>956.87560110805839</v>
      </c>
      <c r="K166" s="110">
        <f t="shared" si="20"/>
        <v>0.28043259561185108</v>
      </c>
      <c r="L166" s="111">
        <v>55539.114956987069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2:16" x14ac:dyDescent="0.2">
      <c r="C167" s="112" t="s">
        <v>346</v>
      </c>
      <c r="D167" s="113"/>
      <c r="E167" s="114">
        <f t="shared" si="21"/>
        <v>2.1573476378085363</v>
      </c>
      <c r="F167" s="114">
        <v>45.989410956446889</v>
      </c>
      <c r="G167" s="114">
        <f t="shared" si="17"/>
        <v>2.8094598389591834</v>
      </c>
      <c r="H167" s="114">
        <v>99.215147091096711</v>
      </c>
      <c r="I167" s="114">
        <f t="shared" si="18"/>
        <v>1.5773947918569672E-2</v>
      </c>
      <c r="J167" s="114">
        <f t="shared" si="19"/>
        <v>2662.8537622260651</v>
      </c>
      <c r="K167" s="114">
        <f t="shared" si="20"/>
        <v>0.78040551082199539</v>
      </c>
      <c r="L167" s="115">
        <v>47289.338246831365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2:16" x14ac:dyDescent="0.2">
      <c r="C168" s="108" t="s">
        <v>347</v>
      </c>
      <c r="D168" s="109"/>
      <c r="E168" s="110">
        <f t="shared" si="21"/>
        <v>1.8613192388858333</v>
      </c>
      <c r="F168" s="110">
        <v>46.338572000000006</v>
      </c>
      <c r="G168" s="110">
        <f t="shared" si="17"/>
        <v>2.4423525850898904</v>
      </c>
      <c r="H168" s="110">
        <v>86.250875566096397</v>
      </c>
      <c r="I168" s="110">
        <f t="shared" si="18"/>
        <v>1.3712793449385786E-2</v>
      </c>
      <c r="J168" s="110">
        <f t="shared" si="19"/>
        <v>2314.903270622498</v>
      </c>
      <c r="K168" s="110">
        <f t="shared" si="20"/>
        <v>0.67843127363608069</v>
      </c>
      <c r="L168" s="111">
        <v>64686.225077500494</v>
      </c>
      <c r="M168" s="142">
        <v>1</v>
      </c>
      <c r="N168" s="125">
        <f t="shared" si="22"/>
        <v>25</v>
      </c>
      <c r="O168" s="38">
        <v>0.1</v>
      </c>
      <c r="P168" s="38">
        <f t="shared" si="23"/>
        <v>31</v>
      </c>
    </row>
    <row r="169" spans="2:16" x14ac:dyDescent="0.2">
      <c r="C169" s="104" t="s">
        <v>348</v>
      </c>
      <c r="D169" s="105"/>
      <c r="E169" s="106">
        <f t="shared" si="21"/>
        <v>0.92134120077745862</v>
      </c>
      <c r="F169" s="106">
        <v>44.036387540348116</v>
      </c>
      <c r="G169" s="106">
        <f t="shared" si="17"/>
        <v>1.1488862326711775</v>
      </c>
      <c r="H169" s="106">
        <v>40.57253817432585</v>
      </c>
      <c r="I169" s="106">
        <f t="shared" si="18"/>
        <v>6.4505181199638285E-3</v>
      </c>
      <c r="J169" s="106">
        <f t="shared" si="19"/>
        <v>1088.9338885056125</v>
      </c>
      <c r="K169" s="106">
        <f t="shared" si="20"/>
        <v>0.31913506463088265</v>
      </c>
      <c r="L169" s="107">
        <v>56225.456549044327</v>
      </c>
      <c r="M169" s="142">
        <v>1</v>
      </c>
      <c r="N169" s="125">
        <f t="shared" si="22"/>
        <v>25</v>
      </c>
      <c r="O169" s="38">
        <v>0.1</v>
      </c>
      <c r="P169" s="38">
        <f t="shared" si="23"/>
        <v>31</v>
      </c>
    </row>
    <row r="170" spans="2:16" x14ac:dyDescent="0.2">
      <c r="C170" s="108" t="s">
        <v>349</v>
      </c>
      <c r="D170" s="109"/>
      <c r="E170" s="110">
        <f t="shared" si="21"/>
        <v>0.74418245042342812</v>
      </c>
      <c r="F170" s="110">
        <v>47.747590968266259</v>
      </c>
      <c r="G170" s="110">
        <f t="shared" si="17"/>
        <v>1.0061801299171118</v>
      </c>
      <c r="H170" s="110">
        <v>35.53291924857993</v>
      </c>
      <c r="I170" s="110">
        <f t="shared" si="18"/>
        <v>5.6492827361049073E-3</v>
      </c>
      <c r="J170" s="110">
        <f t="shared" si="19"/>
        <v>953.67462003638843</v>
      </c>
      <c r="K170" s="110">
        <f t="shared" si="20"/>
        <v>0.27949448053253106</v>
      </c>
      <c r="L170" s="111">
        <v>54641.783771340481</v>
      </c>
      <c r="M170" s="142">
        <v>1</v>
      </c>
      <c r="N170" s="125">
        <f t="shared" si="22"/>
        <v>25</v>
      </c>
      <c r="O170" s="38">
        <v>0.1</v>
      </c>
      <c r="P170" s="38">
        <f t="shared" si="23"/>
        <v>31</v>
      </c>
    </row>
    <row r="171" spans="2:16" x14ac:dyDescent="0.2">
      <c r="C171" s="104" t="s">
        <v>350</v>
      </c>
      <c r="D171" s="105"/>
      <c r="E171" s="106">
        <f t="shared" si="21"/>
        <v>0.82898038028404941</v>
      </c>
      <c r="F171" s="106">
        <v>44.938157927686106</v>
      </c>
      <c r="G171" s="106">
        <f t="shared" si="17"/>
        <v>1.054883175976383</v>
      </c>
      <c r="H171" s="106">
        <v>37.252851248157896</v>
      </c>
      <c r="I171" s="106">
        <f t="shared" si="18"/>
        <v>5.9227300733337082E-3</v>
      </c>
      <c r="J171" s="106">
        <f t="shared" si="19"/>
        <v>999.83619445449619</v>
      </c>
      <c r="K171" s="106">
        <f t="shared" si="20"/>
        <v>0.29302310443788415</v>
      </c>
      <c r="L171" s="107">
        <v>56385.19473831357</v>
      </c>
      <c r="M171" s="142">
        <v>1</v>
      </c>
      <c r="N171" s="125">
        <f t="shared" si="22"/>
        <v>25</v>
      </c>
      <c r="O171" s="38">
        <v>0.1</v>
      </c>
      <c r="P171" s="38">
        <f t="shared" si="23"/>
        <v>31</v>
      </c>
    </row>
    <row r="172" spans="2:16" x14ac:dyDescent="0.2">
      <c r="C172" s="108" t="s">
        <v>351</v>
      </c>
      <c r="D172" s="109"/>
      <c r="E172" s="110">
        <f t="shared" si="21"/>
        <v>0.82463870845783294</v>
      </c>
      <c r="F172" s="110">
        <v>46.648620259590245</v>
      </c>
      <c r="G172" s="110">
        <f t="shared" si="17"/>
        <v>1.0892996582499115</v>
      </c>
      <c r="H172" s="110">
        <v>38.468257962208398</v>
      </c>
      <c r="I172" s="110">
        <f t="shared" si="18"/>
        <v>6.1159642998546799E-3</v>
      </c>
      <c r="J172" s="110">
        <f t="shared" si="19"/>
        <v>1032.456721017568</v>
      </c>
      <c r="K172" s="110">
        <f t="shared" si="20"/>
        <v>0.3025832384027532</v>
      </c>
      <c r="L172" s="111">
        <v>56642.073852843634</v>
      </c>
      <c r="M172" s="142">
        <v>1</v>
      </c>
      <c r="N172" s="125">
        <f t="shared" si="22"/>
        <v>25</v>
      </c>
      <c r="O172" s="38">
        <v>0.1</v>
      </c>
      <c r="P172" s="38">
        <f t="shared" si="23"/>
        <v>31</v>
      </c>
    </row>
    <row r="173" spans="2:16" x14ac:dyDescent="0.2">
      <c r="C173" s="104" t="s">
        <v>352</v>
      </c>
      <c r="D173" s="105"/>
      <c r="E173" s="106">
        <f t="shared" si="21"/>
        <v>0.82805816320750392</v>
      </c>
      <c r="F173" s="106">
        <v>46.703886147213531</v>
      </c>
      <c r="G173" s="106">
        <f t="shared" si="17"/>
        <v>1.0951124328137294</v>
      </c>
      <c r="H173" s="106">
        <v>38.673534177714025</v>
      </c>
      <c r="I173" s="106">
        <f t="shared" si="18"/>
        <v>6.148600610208923E-3</v>
      </c>
      <c r="J173" s="106">
        <f t="shared" si="19"/>
        <v>1037.966167496066</v>
      </c>
      <c r="K173" s="106">
        <f t="shared" si="20"/>
        <v>0.30419789800381369</v>
      </c>
      <c r="L173" s="107">
        <v>56647.701811453429</v>
      </c>
      <c r="M173" s="142">
        <v>1</v>
      </c>
      <c r="N173" s="125">
        <f t="shared" si="22"/>
        <v>25</v>
      </c>
      <c r="O173" s="38">
        <v>0.1</v>
      </c>
      <c r="P173" s="38">
        <f t="shared" si="23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4">E175*$H$144</f>
        <v>3.0396856753999999</v>
      </c>
      <c r="H175" s="106">
        <f>E175*F175</f>
        <v>34381.915986475891</v>
      </c>
      <c r="I175" s="106">
        <f t="shared" ref="I175:I190" si="25">H175/($H$149*1000000000)</f>
        <v>5.4662878402362081</v>
      </c>
      <c r="J175" s="106">
        <f t="shared" ref="J175:J190" si="26">I175*1000000/$H$150</f>
        <v>5181.0404758005343</v>
      </c>
      <c r="K175" s="106">
        <f t="shared" ref="K175:K190" si="27">I175*1000/$H$151</f>
        <v>1.5184132889545023</v>
      </c>
      <c r="L175" s="107">
        <v>73939.639375102066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4"/>
        <v>3.671849446</v>
      </c>
      <c r="H176" s="110">
        <f t="shared" ref="H176:H190" si="28">E176*F176</f>
        <v>38166.478788695218</v>
      </c>
      <c r="I176" s="110">
        <f t="shared" si="25"/>
        <v>6.0679852451894165</v>
      </c>
      <c r="J176" s="110">
        <f t="shared" si="26"/>
        <v>5751.3394977986154</v>
      </c>
      <c r="K176" s="110">
        <f t="shared" si="27"/>
        <v>1.6855514569970602</v>
      </c>
      <c r="L176" s="111">
        <v>80460.272244806489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4"/>
        <v>3.5635866685199997</v>
      </c>
      <c r="H177" s="106">
        <f t="shared" si="28"/>
        <v>38287.173479096105</v>
      </c>
      <c r="I177" s="106">
        <f t="shared" si="25"/>
        <v>6.0871741676095334</v>
      </c>
      <c r="J177" s="106">
        <f t="shared" si="26"/>
        <v>5769.5270844481556</v>
      </c>
      <c r="K177" s="106">
        <f t="shared" si="27"/>
        <v>1.6908817132248704</v>
      </c>
      <c r="L177" s="107">
        <v>77841.777688967137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4"/>
        <v>2.6346466127999997</v>
      </c>
      <c r="H178" s="110">
        <f t="shared" si="28"/>
        <v>29949.037668749148</v>
      </c>
      <c r="I178" s="110">
        <f t="shared" si="25"/>
        <v>4.7615165047769556</v>
      </c>
      <c r="J178" s="110">
        <f t="shared" si="26"/>
        <v>4513.0462314578144</v>
      </c>
      <c r="K178" s="110">
        <f t="shared" si="27"/>
        <v>1.3226434735491543</v>
      </c>
      <c r="L178" s="111">
        <v>56337.812381502488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4"/>
        <v>3.1267501467999996</v>
      </c>
      <c r="H179" s="106">
        <f t="shared" si="28"/>
        <v>29386.528143247579</v>
      </c>
      <c r="I179" s="106">
        <f t="shared" si="25"/>
        <v>4.672084636568222</v>
      </c>
      <c r="J179" s="106">
        <f t="shared" si="26"/>
        <v>4428.2811875087409</v>
      </c>
      <c r="K179" s="106">
        <f t="shared" si="27"/>
        <v>1.2978012879356171</v>
      </c>
      <c r="L179" s="107">
        <v>88461.130571335641</v>
      </c>
      <c r="M179" s="142">
        <v>3</v>
      </c>
      <c r="N179" s="125">
        <f t="shared" si="22"/>
        <v>75</v>
      </c>
      <c r="O179" s="142">
        <v>0.6</v>
      </c>
      <c r="P179" s="38">
        <f t="shared" si="23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4"/>
        <v>3.2581039362599999</v>
      </c>
      <c r="H180" s="110">
        <f t="shared" si="28"/>
        <v>36278.210150483937</v>
      </c>
      <c r="I180" s="110">
        <f t="shared" si="25"/>
        <v>5.7677745210339104</v>
      </c>
      <c r="J180" s="110">
        <f t="shared" si="26"/>
        <v>5466.7946734902316</v>
      </c>
      <c r="K180" s="110">
        <f t="shared" si="27"/>
        <v>1.6021595891760863</v>
      </c>
      <c r="L180" s="111">
        <v>74831.822793995394</v>
      </c>
      <c r="M180" s="142">
        <v>3</v>
      </c>
      <c r="N180" s="125">
        <f t="shared" si="22"/>
        <v>75</v>
      </c>
      <c r="O180" s="142">
        <v>0.6</v>
      </c>
      <c r="P180" s="38">
        <f t="shared" si="23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4"/>
        <v>3.31261386618</v>
      </c>
      <c r="H181" s="106">
        <f t="shared" si="28"/>
        <v>33173.163726300292</v>
      </c>
      <c r="I181" s="106">
        <f t="shared" si="25"/>
        <v>5.274111587340502</v>
      </c>
      <c r="J181" s="106">
        <f t="shared" si="26"/>
        <v>4998.8925586324349</v>
      </c>
      <c r="K181" s="106">
        <f t="shared" si="27"/>
        <v>1.4650309964834729</v>
      </c>
      <c r="L181" s="107">
        <v>54806.487022879926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4"/>
        <v>3.1070660054399997</v>
      </c>
      <c r="H182" s="110">
        <f t="shared" si="28"/>
        <v>18451.74785053801</v>
      </c>
      <c r="I182" s="110">
        <f t="shared" si="25"/>
        <v>2.9335934898501512</v>
      </c>
      <c r="J182" s="110">
        <f t="shared" si="26"/>
        <v>2780.5097453122407</v>
      </c>
      <c r="K182" s="110">
        <f t="shared" si="27"/>
        <v>0.81488708051393099</v>
      </c>
      <c r="L182" s="111">
        <v>84758.116120746723</v>
      </c>
      <c r="M182" s="142">
        <v>3</v>
      </c>
      <c r="N182" s="125">
        <f t="shared" si="22"/>
        <v>75</v>
      </c>
      <c r="O182" s="142">
        <v>0.6</v>
      </c>
      <c r="P182" s="38">
        <f t="shared" si="23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4"/>
        <v>3.21495024174</v>
      </c>
      <c r="H183" s="106">
        <f t="shared" si="28"/>
        <v>34347.528186600008</v>
      </c>
      <c r="I183" s="106">
        <f t="shared" si="25"/>
        <v>5.4608206169323079</v>
      </c>
      <c r="J183" s="106">
        <f t="shared" si="26"/>
        <v>5175.8585486763814</v>
      </c>
      <c r="K183" s="106">
        <f t="shared" si="27"/>
        <v>1.5168946158145298</v>
      </c>
      <c r="L183" s="107">
        <v>78281.203343664762</v>
      </c>
      <c r="M183" s="142">
        <v>3</v>
      </c>
      <c r="N183" s="125">
        <f t="shared" si="22"/>
        <v>75</v>
      </c>
      <c r="O183" s="142">
        <v>0.6</v>
      </c>
      <c r="P183" s="38">
        <f t="shared" si="23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4"/>
        <v>2.8030974379</v>
      </c>
      <c r="H184" s="110">
        <f t="shared" si="28"/>
        <v>33566.518947212637</v>
      </c>
      <c r="I184" s="110">
        <f t="shared" si="25"/>
        <v>5.336650070123496</v>
      </c>
      <c r="J184" s="110">
        <f t="shared" si="26"/>
        <v>5058.1675950124891</v>
      </c>
      <c r="K184" s="110">
        <f t="shared" si="27"/>
        <v>1.4824027972565268</v>
      </c>
      <c r="L184" s="111">
        <v>69323.685875271418</v>
      </c>
      <c r="M184" s="142">
        <v>3</v>
      </c>
      <c r="N184" s="125">
        <f t="shared" si="22"/>
        <v>75</v>
      </c>
      <c r="O184" s="142">
        <v>0.6</v>
      </c>
      <c r="P184" s="38">
        <f t="shared" si="23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4"/>
        <v>3.2463691596799999</v>
      </c>
      <c r="H185" s="106">
        <f>E185*F185</f>
        <v>35907.228034100714</v>
      </c>
      <c r="I185" s="106">
        <f t="shared" si="25"/>
        <v>5.7087930776341773</v>
      </c>
      <c r="J185" s="106">
        <f t="shared" si="26"/>
        <v>5410.8910594643103</v>
      </c>
      <c r="K185" s="106">
        <f t="shared" si="27"/>
        <v>1.5857758548983827</v>
      </c>
      <c r="L185" s="107">
        <v>65207.202864739491</v>
      </c>
      <c r="M185" s="142">
        <v>1</v>
      </c>
      <c r="N185" s="125">
        <f t="shared" si="22"/>
        <v>25</v>
      </c>
      <c r="O185" s="142">
        <v>0.6</v>
      </c>
      <c r="P185" s="38">
        <f t="shared" si="23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4"/>
        <v>3.22479231242</v>
      </c>
      <c r="H186" s="110">
        <f t="shared" si="28"/>
        <v>36136.291384532931</v>
      </c>
      <c r="I186" s="110">
        <f t="shared" si="25"/>
        <v>5.7452112402404705</v>
      </c>
      <c r="J186" s="110">
        <f t="shared" si="26"/>
        <v>5445.4088126511488</v>
      </c>
      <c r="K186" s="110">
        <f t="shared" si="27"/>
        <v>1.5958920111779082</v>
      </c>
      <c r="L186" s="111">
        <v>74193.482509376976</v>
      </c>
      <c r="M186" s="142">
        <v>1</v>
      </c>
      <c r="N186" s="125">
        <f t="shared" si="22"/>
        <v>25</v>
      </c>
      <c r="O186" s="142">
        <v>0.6</v>
      </c>
      <c r="P186" s="38">
        <f t="shared" si="23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4"/>
        <v>2.8057472261599998</v>
      </c>
      <c r="H187" s="106">
        <f t="shared" si="28"/>
        <v>30136.69787719705</v>
      </c>
      <c r="I187" s="106">
        <f t="shared" si="25"/>
        <v>4.7913520938098202</v>
      </c>
      <c r="J187" s="106">
        <f t="shared" si="26"/>
        <v>4541.3249095875663</v>
      </c>
      <c r="K187" s="106">
        <f t="shared" si="27"/>
        <v>1.3309311371693944</v>
      </c>
      <c r="L187" s="107">
        <v>66778.409255501349</v>
      </c>
      <c r="M187" s="142">
        <v>3</v>
      </c>
      <c r="N187" s="125">
        <f t="shared" si="22"/>
        <v>75</v>
      </c>
      <c r="O187" s="142">
        <v>0.6</v>
      </c>
      <c r="P187" s="38">
        <f t="shared" si="23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4"/>
        <v>2.8030974379000004</v>
      </c>
      <c r="H188" s="110">
        <f t="shared" si="28"/>
        <v>33566.518947212637</v>
      </c>
      <c r="I188" s="110">
        <f t="shared" si="25"/>
        <v>5.336650070123496</v>
      </c>
      <c r="J188" s="110">
        <f t="shared" si="26"/>
        <v>5058.1675950124891</v>
      </c>
      <c r="K188" s="110">
        <f t="shared" si="27"/>
        <v>1.4824027972565268</v>
      </c>
      <c r="L188" s="111">
        <v>69323.685875271418</v>
      </c>
      <c r="M188" s="142">
        <v>1</v>
      </c>
      <c r="N188" s="125">
        <f t="shared" si="22"/>
        <v>25</v>
      </c>
      <c r="O188" s="142">
        <v>0.6</v>
      </c>
      <c r="P188" s="38">
        <f t="shared" si="23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4"/>
        <v>3.22479231242</v>
      </c>
      <c r="H189" s="106">
        <f t="shared" si="28"/>
        <v>35668.572250758392</v>
      </c>
      <c r="I189" s="106">
        <f t="shared" si="25"/>
        <v>5.6708498400612823</v>
      </c>
      <c r="J189" s="106">
        <f t="shared" si="26"/>
        <v>5374.9278143162855</v>
      </c>
      <c r="K189" s="106">
        <f t="shared" si="27"/>
        <v>1.5752360666836895</v>
      </c>
      <c r="L189" s="107">
        <v>75166.375708662934</v>
      </c>
      <c r="M189" s="142">
        <v>1</v>
      </c>
      <c r="N189" s="125">
        <f t="shared" si="22"/>
        <v>25</v>
      </c>
      <c r="O189" s="142">
        <v>0.6</v>
      </c>
      <c r="P189" s="38">
        <f t="shared" si="23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4"/>
        <v>2.1</v>
      </c>
      <c r="H190" s="119">
        <f t="shared" si="28"/>
        <v>25513.145758286722</v>
      </c>
      <c r="I190" s="119">
        <f t="shared" si="25"/>
        <v>4.0562660463586173</v>
      </c>
      <c r="J190" s="119">
        <f t="shared" si="26"/>
        <v>3844.5978662351736</v>
      </c>
      <c r="K190" s="119">
        <f t="shared" si="27"/>
        <v>1.1267405684329492</v>
      </c>
      <c r="L190" s="120">
        <v>47289.338246831365</v>
      </c>
      <c r="M190" s="142">
        <v>1</v>
      </c>
      <c r="N190" s="125">
        <f t="shared" si="22"/>
        <v>25</v>
      </c>
      <c r="O190" s="142">
        <v>0.1</v>
      </c>
      <c r="P190" s="38">
        <f t="shared" si="23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2"/>
        <v>0</v>
      </c>
      <c r="O191" s="142"/>
      <c r="P191" s="38">
        <f t="shared" si="23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29">G192*1000000/$H$150</f>
        <v>27259.441840126743</v>
      </c>
      <c r="K192" s="106">
        <f t="shared" ref="K192:K216" si="30">G192*1000/$H$151</f>
        <v>7.9889549083546569</v>
      </c>
      <c r="L192" s="107">
        <v>88136.018640712296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29"/>
        <v>25233.129844296516</v>
      </c>
      <c r="K193" s="110">
        <f t="shared" si="30"/>
        <v>7.3951014002789179</v>
      </c>
      <c r="L193" s="111">
        <v>81163.161565699658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1">F194/1000</f>
        <v>30.416887533401006</v>
      </c>
      <c r="H194" s="106"/>
      <c r="I194" s="106"/>
      <c r="J194" s="106">
        <f t="shared" si="29"/>
        <v>28829.642723609933</v>
      </c>
      <c r="K194" s="106">
        <f t="shared" si="30"/>
        <v>8.4491354259447231</v>
      </c>
      <c r="L194" s="107">
        <v>95146.406011433093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1"/>
        <v>29.170195087514916</v>
      </c>
      <c r="H195" s="110"/>
      <c r="I195" s="110"/>
      <c r="J195" s="110">
        <f t="shared" si="29"/>
        <v>27648.006444695744</v>
      </c>
      <c r="K195" s="110">
        <f t="shared" si="30"/>
        <v>8.1028319687541437</v>
      </c>
      <c r="L195" s="111">
        <v>75915.137965351329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1"/>
        <v>31.212294776583452</v>
      </c>
      <c r="H196" s="106"/>
      <c r="I196" s="106"/>
      <c r="J196" s="106">
        <f t="shared" si="29"/>
        <v>29583.543221007654</v>
      </c>
      <c r="K196" s="106">
        <f t="shared" si="30"/>
        <v>8.6700818823842916</v>
      </c>
      <c r="L196" s="107">
        <v>80341.164884007187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1"/>
        <v>31.229263666666668</v>
      </c>
      <c r="H197" s="110"/>
      <c r="I197" s="110"/>
      <c r="J197" s="110">
        <f t="shared" si="29"/>
        <v>29599.62662329456</v>
      </c>
      <c r="K197" s="110">
        <f t="shared" si="30"/>
        <v>8.6747954629629636</v>
      </c>
      <c r="L197" s="111">
        <v>90067.932924215478</v>
      </c>
      <c r="M197" s="142">
        <v>1</v>
      </c>
      <c r="N197" s="125">
        <f t="shared" si="22"/>
        <v>25</v>
      </c>
      <c r="O197" s="142">
        <v>1.5</v>
      </c>
      <c r="P197" s="38">
        <f t="shared" si="23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1"/>
        <v>20.947593502518789</v>
      </c>
      <c r="H198" s="106"/>
      <c r="I198" s="106"/>
      <c r="J198" s="106">
        <f t="shared" si="29"/>
        <v>19854.484977592456</v>
      </c>
      <c r="K198" s="106">
        <f t="shared" si="30"/>
        <v>5.8187759729218858</v>
      </c>
      <c r="L198" s="107">
        <v>90854.391229956236</v>
      </c>
      <c r="M198" s="142">
        <v>1</v>
      </c>
      <c r="N198" s="125">
        <f t="shared" si="22"/>
        <v>25</v>
      </c>
      <c r="O198" s="142">
        <v>1.5</v>
      </c>
      <c r="P198" s="38">
        <f t="shared" si="23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1"/>
        <v>33.076688699879497</v>
      </c>
      <c r="H199" s="110"/>
      <c r="I199" s="110"/>
      <c r="J199" s="110">
        <f t="shared" si="29"/>
        <v>31350.647453670226</v>
      </c>
      <c r="K199" s="110">
        <f t="shared" si="30"/>
        <v>9.1879690832998602</v>
      </c>
      <c r="L199" s="111">
        <v>77405.137520676377</v>
      </c>
      <c r="M199" s="142">
        <v>1</v>
      </c>
      <c r="N199" s="125">
        <f t="shared" si="22"/>
        <v>25</v>
      </c>
      <c r="O199" s="142">
        <v>1.5</v>
      </c>
      <c r="P199" s="38">
        <f t="shared" si="23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1"/>
        <v>29.204713770792196</v>
      </c>
      <c r="H200" s="106"/>
      <c r="I200" s="106"/>
      <c r="J200" s="106">
        <f t="shared" si="29"/>
        <v>27680.723839106358</v>
      </c>
      <c r="K200" s="106">
        <f t="shared" si="30"/>
        <v>8.1124204918867218</v>
      </c>
      <c r="L200" s="107">
        <v>92142.04125478481</v>
      </c>
      <c r="M200" s="142">
        <v>1</v>
      </c>
      <c r="N200" s="125">
        <f t="shared" si="22"/>
        <v>25</v>
      </c>
      <c r="O200" s="142">
        <v>1.5</v>
      </c>
      <c r="P200" s="38">
        <f t="shared" si="23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1"/>
        <v>35.206206224646678</v>
      </c>
      <c r="H201" s="110"/>
      <c r="I201" s="110"/>
      <c r="J201" s="110">
        <f t="shared" si="29"/>
        <v>33369.040339703941</v>
      </c>
      <c r="K201" s="110">
        <f t="shared" si="30"/>
        <v>9.7795017290685227</v>
      </c>
      <c r="L201" s="111">
        <v>86711.808115560081</v>
      </c>
      <c r="M201" s="142">
        <v>1</v>
      </c>
      <c r="N201" s="125">
        <f t="shared" si="22"/>
        <v>25</v>
      </c>
      <c r="O201" s="142">
        <v>1.5</v>
      </c>
      <c r="P201" s="38">
        <f t="shared" si="23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1"/>
        <v>24.405425301665378</v>
      </c>
      <c r="H202" s="106"/>
      <c r="I202" s="106"/>
      <c r="J202" s="106">
        <f t="shared" si="29"/>
        <v>23131.87669817088</v>
      </c>
      <c r="K202" s="106">
        <f t="shared" si="30"/>
        <v>6.7792848060181603</v>
      </c>
      <c r="L202" s="107">
        <v>93317.236202801345</v>
      </c>
      <c r="M202" s="142">
        <v>1</v>
      </c>
      <c r="N202" s="125">
        <f t="shared" si="22"/>
        <v>25</v>
      </c>
      <c r="O202" s="142">
        <v>1.5</v>
      </c>
      <c r="P202" s="38">
        <f t="shared" si="23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1"/>
        <v>14.742946948893843</v>
      </c>
      <c r="H203" s="110"/>
      <c r="I203" s="110"/>
      <c r="J203" s="110">
        <f t="shared" si="29"/>
        <v>13973.61557006817</v>
      </c>
      <c r="K203" s="110">
        <f t="shared" si="30"/>
        <v>4.0952630413594004</v>
      </c>
      <c r="L203" s="111">
        <v>112929.71718206792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1"/>
        <v>16.639711247080875</v>
      </c>
      <c r="H204" s="106"/>
      <c r="I204" s="106"/>
      <c r="J204" s="106">
        <f t="shared" si="29"/>
        <v>15771.400993957548</v>
      </c>
      <c r="K204" s="106">
        <f t="shared" si="30"/>
        <v>4.6221420130780206</v>
      </c>
      <c r="L204" s="107">
        <v>112371.9449612372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1"/>
        <v>16.770969509684281</v>
      </c>
      <c r="H205" s="110"/>
      <c r="I205" s="110"/>
      <c r="J205" s="110">
        <f t="shared" si="29"/>
        <v>15895.809805057059</v>
      </c>
      <c r="K205" s="110">
        <f t="shared" si="30"/>
        <v>4.658602641578967</v>
      </c>
      <c r="L205" s="111">
        <v>104850.5458247817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1"/>
        <v>18.297366669753735</v>
      </c>
      <c r="H206" s="106"/>
      <c r="I206" s="106"/>
      <c r="J206" s="106">
        <f t="shared" si="29"/>
        <v>17342.554963673712</v>
      </c>
      <c r="K206" s="106">
        <f t="shared" si="30"/>
        <v>5.0826018527093701</v>
      </c>
      <c r="L206" s="107">
        <v>107438.3302598291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1"/>
        <v>14.952939269862526</v>
      </c>
      <c r="H207" s="110"/>
      <c r="I207" s="110"/>
      <c r="J207" s="110">
        <f t="shared" si="29"/>
        <v>14172.649859213658</v>
      </c>
      <c r="K207" s="110">
        <f t="shared" si="30"/>
        <v>4.153594241628479</v>
      </c>
      <c r="L207" s="111">
        <v>103875.93888249564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1"/>
        <v>24.506211785179669</v>
      </c>
      <c r="H208" s="106"/>
      <c r="I208" s="106"/>
      <c r="J208" s="106">
        <f t="shared" si="29"/>
        <v>23227.403839397786</v>
      </c>
      <c r="K208" s="106">
        <f t="shared" si="30"/>
        <v>6.8072810514387969</v>
      </c>
      <c r="L208" s="107">
        <v>90676.956104587094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1"/>
        <v>17.925990538607582</v>
      </c>
      <c r="H209" s="110"/>
      <c r="I209" s="110"/>
      <c r="J209" s="110">
        <f t="shared" si="29"/>
        <v>16990.558357667822</v>
      </c>
      <c r="K209" s="110">
        <f t="shared" si="30"/>
        <v>4.9794418162798832</v>
      </c>
      <c r="L209" s="111">
        <v>104410.9003597283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1"/>
        <v>16.993451114417205</v>
      </c>
      <c r="H210" s="106"/>
      <c r="I210" s="106"/>
      <c r="J210" s="106">
        <f t="shared" si="29"/>
        <v>16106.681649521168</v>
      </c>
      <c r="K210" s="106">
        <f t="shared" si="30"/>
        <v>4.7204030873381129</v>
      </c>
      <c r="L210" s="107">
        <v>89524.923242345176</v>
      </c>
      <c r="M210" s="142">
        <v>30</v>
      </c>
      <c r="N210" s="125">
        <f t="shared" si="22"/>
        <v>750</v>
      </c>
      <c r="O210" s="142">
        <v>4</v>
      </c>
      <c r="P210" s="38">
        <f t="shared" si="23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1"/>
        <v>16.979092464285326</v>
      </c>
      <c r="H211" s="110"/>
      <c r="I211" s="110"/>
      <c r="J211" s="110">
        <f t="shared" si="29"/>
        <v>16093.072277002666</v>
      </c>
      <c r="K211" s="110">
        <f t="shared" si="30"/>
        <v>4.7164145734125915</v>
      </c>
      <c r="L211" s="111">
        <v>115342.94546658927</v>
      </c>
      <c r="M211" s="142">
        <v>30</v>
      </c>
      <c r="N211" s="125">
        <f t="shared" si="22"/>
        <v>750</v>
      </c>
      <c r="O211" s="142">
        <v>4</v>
      </c>
      <c r="P211" s="38">
        <f t="shared" si="23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1"/>
        <v>18.489000000000001</v>
      </c>
      <c r="H212" s="106"/>
      <c r="I212" s="106"/>
      <c r="J212" s="106">
        <f t="shared" si="29"/>
        <v>17524.18828953155</v>
      </c>
      <c r="K212" s="106">
        <f t="shared" si="30"/>
        <v>5.1358333333333333</v>
      </c>
      <c r="L212" s="107">
        <v>105650.94236696765</v>
      </c>
      <c r="M212" s="142">
        <v>30</v>
      </c>
      <c r="N212" s="125">
        <f t="shared" si="22"/>
        <v>750</v>
      </c>
      <c r="O212" s="142">
        <v>4</v>
      </c>
      <c r="P212" s="38">
        <f t="shared" si="23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1"/>
        <v>18.969000000000001</v>
      </c>
      <c r="H213" s="110"/>
      <c r="I213" s="110"/>
      <c r="J213" s="110">
        <f t="shared" si="29"/>
        <v>17979.140443730001</v>
      </c>
      <c r="K213" s="110">
        <f t="shared" si="30"/>
        <v>5.269166666666667</v>
      </c>
      <c r="L213" s="111">
        <v>105720.48009857842</v>
      </c>
      <c r="M213" s="142">
        <v>30</v>
      </c>
      <c r="N213" s="125">
        <f t="shared" si="22"/>
        <v>750</v>
      </c>
      <c r="O213" s="142">
        <v>4</v>
      </c>
      <c r="P213" s="38">
        <f t="shared" si="23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1"/>
        <v>18.693999999999999</v>
      </c>
      <c r="H214" s="106"/>
      <c r="I214" s="106"/>
      <c r="J214" s="106">
        <f t="shared" si="29"/>
        <v>17718.490772053807</v>
      </c>
      <c r="K214" s="106">
        <f t="shared" si="30"/>
        <v>5.1927777777777777</v>
      </c>
      <c r="L214" s="107">
        <v>103923.93919138091</v>
      </c>
      <c r="M214" s="142">
        <v>30</v>
      </c>
      <c r="N214" s="125">
        <f t="shared" si="22"/>
        <v>750</v>
      </c>
      <c r="O214" s="142">
        <v>4</v>
      </c>
      <c r="P214" s="38">
        <f t="shared" si="23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1"/>
        <v>18.582000000000001</v>
      </c>
      <c r="H215" s="110"/>
      <c r="I215" s="110"/>
      <c r="J215" s="110">
        <f t="shared" si="29"/>
        <v>17612.3352694075</v>
      </c>
      <c r="K215" s="110">
        <f t="shared" si="30"/>
        <v>5.1616666666666671</v>
      </c>
      <c r="L215" s="111">
        <v>103978.4719117686</v>
      </c>
      <c r="M215" s="142">
        <v>30</v>
      </c>
      <c r="N215" s="125">
        <f t="shared" si="22"/>
        <v>750</v>
      </c>
      <c r="O215" s="142">
        <v>4</v>
      </c>
      <c r="P215" s="38">
        <f t="shared" si="23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1"/>
        <v>37.920740990303514</v>
      </c>
      <c r="H216" s="106"/>
      <c r="I216" s="106"/>
      <c r="J216" s="106">
        <f t="shared" si="29"/>
        <v>35941.92250487511</v>
      </c>
      <c r="K216" s="106">
        <f t="shared" si="30"/>
        <v>10.533539163973199</v>
      </c>
      <c r="L216" s="107">
        <v>77577.487802640724</v>
      </c>
      <c r="M216" s="142">
        <v>30</v>
      </c>
      <c r="N216" s="125">
        <f t="shared" si="22"/>
        <v>750</v>
      </c>
      <c r="O216" s="142">
        <v>0.1</v>
      </c>
      <c r="P216" s="38">
        <f t="shared" si="23"/>
        <v>31</v>
      </c>
    </row>
    <row r="219" spans="2:16" x14ac:dyDescent="0.2">
      <c r="B219" s="83" t="s">
        <v>261</v>
      </c>
      <c r="C219" s="83" t="str">
        <f t="shared" ref="C219:C238" si="32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2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2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2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2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2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2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2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2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2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2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2"/>
        <v>COQUE</v>
      </c>
      <c r="E230" s="88">
        <v>1986</v>
      </c>
    </row>
    <row r="231" spans="2:5" x14ac:dyDescent="0.2">
      <c r="B231" s="83" t="s">
        <v>303</v>
      </c>
      <c r="C231" s="83" t="str">
        <f t="shared" si="32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2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2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2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2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2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2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2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65" zoomScale="85" zoomScaleNormal="85" workbookViewId="0">
      <selection activeCell="Q1" sqref="Q1:W2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0"/>
  <sheetViews>
    <sheetView showGridLines="0" topLeftCell="C1" zoomScaleNormal="100" workbookViewId="0">
      <selection activeCell="H14" sqref="H14:L19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 t="s">
        <v>0</v>
      </c>
      <c r="I14" s="38"/>
      <c r="J14" s="38"/>
      <c r="K14" s="38"/>
      <c r="L14" s="38"/>
      <c r="M14" s="38"/>
      <c r="O14" s="28" t="s">
        <v>30</v>
      </c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L24" s="38"/>
      <c r="M24" s="38"/>
      <c r="O24" s="35" t="s">
        <v>46</v>
      </c>
      <c r="P24" s="38" t="str">
        <f>+H30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L25" s="38"/>
      <c r="M25" s="38"/>
      <c r="O25" s="38"/>
      <c r="P25" s="38" t="str">
        <f>+H31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/>
      <c r="I26" s="38"/>
      <c r="J26" s="38"/>
      <c r="K26" s="38"/>
      <c r="L26" s="38"/>
      <c r="M26" s="38"/>
      <c r="O26" s="38"/>
      <c r="P26" s="38"/>
      <c r="Q26" s="38"/>
      <c r="R26" s="38"/>
      <c r="S26" s="38"/>
    </row>
    <row r="28" spans="2:19" x14ac:dyDescent="0.25">
      <c r="H28" s="36" t="s">
        <v>0</v>
      </c>
      <c r="I28" s="27"/>
      <c r="J28" s="27"/>
      <c r="K28" s="37"/>
    </row>
    <row r="29" spans="2:19" x14ac:dyDescent="0.25">
      <c r="H29" s="29" t="s">
        <v>11</v>
      </c>
      <c r="I29" s="29" t="s">
        <v>12</v>
      </c>
      <c r="J29" s="29" t="s">
        <v>13</v>
      </c>
      <c r="K29" s="30" t="s">
        <v>31</v>
      </c>
    </row>
    <row r="30" spans="2:19" x14ac:dyDescent="0.25">
      <c r="H30" s="38" t="s">
        <v>145</v>
      </c>
      <c r="I30" s="38" t="str">
        <f>+J16</f>
        <v>GSL-E10</v>
      </c>
      <c r="J30" s="38" t="str">
        <f>+C8</f>
        <v>DGSL</v>
      </c>
      <c r="K30" s="163">
        <v>1</v>
      </c>
    </row>
    <row r="31" spans="2:19" x14ac:dyDescent="0.25">
      <c r="H31" s="38" t="s">
        <v>146</v>
      </c>
      <c r="I31" s="38" t="str">
        <f>+J18</f>
        <v>DSL-B10</v>
      </c>
      <c r="J31" s="38" t="str">
        <f>+C9</f>
        <v>DDSL</v>
      </c>
      <c r="K31" s="163">
        <v>1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+H70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+H72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+H74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+H82</f>
        <v>FTD-TRA</v>
      </c>
      <c r="J62" t="s">
        <v>186</v>
      </c>
      <c r="K62" t="s">
        <v>9</v>
      </c>
      <c r="L62" t="s">
        <v>187</v>
      </c>
    </row>
    <row r="65" spans="8:20" x14ac:dyDescent="0.25">
      <c r="H65" s="36" t="s">
        <v>0</v>
      </c>
    </row>
    <row r="66" spans="8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8:20" x14ac:dyDescent="0.25">
      <c r="H67" t="s">
        <v>171</v>
      </c>
      <c r="I67" t="s">
        <v>150</v>
      </c>
      <c r="J67" t="s">
        <v>170</v>
      </c>
      <c r="K67" t="s">
        <v>178</v>
      </c>
      <c r="L67" s="22">
        <v>1</v>
      </c>
      <c r="M67" s="63">
        <v>0.70492284759636947</v>
      </c>
      <c r="N67" s="63">
        <v>0.71393822850931155</v>
      </c>
      <c r="O67" s="63">
        <v>0.71446486124964681</v>
      </c>
      <c r="P67" s="63">
        <v>0.71752787053189593</v>
      </c>
      <c r="Q67" s="63">
        <v>0.71924314150809932</v>
      </c>
      <c r="R67" s="63">
        <v>0.71947452206965223</v>
      </c>
      <c r="S67" s="63">
        <v>0.71849531385010945</v>
      </c>
      <c r="T67" s="63">
        <v>0.71650902714452402</v>
      </c>
    </row>
    <row r="68" spans="8:20" x14ac:dyDescent="0.25">
      <c r="I68" t="s">
        <v>149</v>
      </c>
      <c r="K68" t="s">
        <v>178</v>
      </c>
      <c r="L68" s="22">
        <v>1</v>
      </c>
      <c r="M68" s="63">
        <v>6.6920156894449958E-3</v>
      </c>
      <c r="N68" s="63">
        <v>7.1142331301549495E-3</v>
      </c>
      <c r="O68" s="63">
        <v>6.884185400222554E-3</v>
      </c>
      <c r="P68" s="63">
        <v>6.7217875799148548E-3</v>
      </c>
      <c r="Q68" s="63">
        <v>6.6017020910173795E-3</v>
      </c>
      <c r="R68" s="63">
        <v>6.5185070900598899E-3</v>
      </c>
      <c r="S68" s="63">
        <v>6.4624611243749045E-3</v>
      </c>
      <c r="T68" s="63">
        <v>6.4287265996042856E-3</v>
      </c>
    </row>
    <row r="69" spans="8:20" x14ac:dyDescent="0.25">
      <c r="I69" t="s">
        <v>154</v>
      </c>
      <c r="K69" t="s">
        <v>178</v>
      </c>
      <c r="L69" s="22">
        <v>1</v>
      </c>
      <c r="M69" s="63">
        <v>0.28838513671418559</v>
      </c>
      <c r="N69" s="63">
        <v>0.27894753836053338</v>
      </c>
      <c r="O69" s="63">
        <v>0.27865095335013057</v>
      </c>
      <c r="P69" s="63">
        <v>0.27575034188818925</v>
      </c>
      <c r="Q69" s="63">
        <v>0.27415515640088323</v>
      </c>
      <c r="R69" s="63">
        <v>0.2740069708402878</v>
      </c>
      <c r="S69" s="63">
        <v>0.27504222502551567</v>
      </c>
      <c r="T69" s="63">
        <v>0.27706224625587167</v>
      </c>
    </row>
    <row r="70" spans="8:20" x14ac:dyDescent="0.25">
      <c r="H70" t="s">
        <v>173</v>
      </c>
      <c r="I70" t="s">
        <v>154</v>
      </c>
      <c r="J70" t="s">
        <v>179</v>
      </c>
      <c r="K70" t="s">
        <v>178</v>
      </c>
      <c r="L70" s="22">
        <v>1</v>
      </c>
      <c r="M70" s="63">
        <v>0.94914717262718429</v>
      </c>
      <c r="N70" s="63">
        <v>0.94909397992018851</v>
      </c>
      <c r="O70" s="63">
        <v>0.94381625559454663</v>
      </c>
      <c r="P70" s="63">
        <v>0.94089342504252638</v>
      </c>
      <c r="Q70" s="63">
        <v>0.93845062398555323</v>
      </c>
      <c r="R70" s="63">
        <v>0.93558574737128919</v>
      </c>
      <c r="S70" s="63">
        <v>0.93394802666463828</v>
      </c>
      <c r="T70" s="63">
        <v>0.933269906252853</v>
      </c>
    </row>
    <row r="71" spans="8:20" x14ac:dyDescent="0.25">
      <c r="I71" t="s">
        <v>152</v>
      </c>
      <c r="K71" t="s">
        <v>178</v>
      </c>
      <c r="L71" s="22">
        <v>1</v>
      </c>
      <c r="M71" s="63">
        <v>5.0852827372815664E-2</v>
      </c>
      <c r="N71" s="63">
        <v>5.0906020079811459E-2</v>
      </c>
      <c r="O71" s="63">
        <v>5.6183744405453408E-2</v>
      </c>
      <c r="P71" s="63">
        <v>5.9106574957473554E-2</v>
      </c>
      <c r="Q71" s="63">
        <v>6.1549376014446808E-2</v>
      </c>
      <c r="R71" s="63">
        <v>6.4414252628710852E-2</v>
      </c>
      <c r="S71" s="63">
        <v>6.6051973335361724E-2</v>
      </c>
      <c r="T71" s="63">
        <v>6.6730093747146987E-2</v>
      </c>
    </row>
    <row r="72" spans="8:20" x14ac:dyDescent="0.25">
      <c r="H72" t="s">
        <v>174</v>
      </c>
      <c r="I72" t="s">
        <v>154</v>
      </c>
      <c r="J72" t="s">
        <v>180</v>
      </c>
      <c r="K72" t="s">
        <v>178</v>
      </c>
      <c r="L72" s="22">
        <v>1</v>
      </c>
      <c r="M72" s="63">
        <v>0.73862618670258562</v>
      </c>
      <c r="N72" s="63">
        <v>0.74554154285971541</v>
      </c>
      <c r="O72" s="63">
        <v>0.75129509265895111</v>
      </c>
      <c r="P72" s="63">
        <v>0.75734173890202261</v>
      </c>
      <c r="Q72" s="63">
        <v>0.76288003210832334</v>
      </c>
      <c r="R72" s="63">
        <v>0.76798679968770389</v>
      </c>
      <c r="S72" s="63">
        <v>0.77271043225491287</v>
      </c>
      <c r="T72" s="63">
        <v>0.7770943916548716</v>
      </c>
    </row>
    <row r="73" spans="8:20" x14ac:dyDescent="0.25">
      <c r="I73" t="s">
        <v>152</v>
      </c>
      <c r="K73" t="s">
        <v>178</v>
      </c>
      <c r="L73" s="22">
        <v>1</v>
      </c>
      <c r="M73" s="63">
        <v>0.26137381329741433</v>
      </c>
      <c r="N73" s="63">
        <v>0.25445845714028453</v>
      </c>
      <c r="O73" s="63">
        <v>0.24870490734104891</v>
      </c>
      <c r="P73" s="63">
        <v>0.24265826109797739</v>
      </c>
      <c r="Q73" s="63">
        <v>0.23711996789167664</v>
      </c>
      <c r="R73" s="63">
        <v>0.23201320031229605</v>
      </c>
      <c r="S73" s="63">
        <v>0.22728956774508716</v>
      </c>
      <c r="T73" s="63">
        <v>0.22290560834512835</v>
      </c>
    </row>
    <row r="74" spans="8:20" x14ac:dyDescent="0.25">
      <c r="H74" t="s">
        <v>175</v>
      </c>
      <c r="I74" t="s">
        <v>150</v>
      </c>
      <c r="J74" t="s">
        <v>181</v>
      </c>
      <c r="K74" t="s">
        <v>178</v>
      </c>
      <c r="L74" s="22">
        <v>1</v>
      </c>
      <c r="M74" s="63">
        <v>2.3815208477444158E-2</v>
      </c>
      <c r="N74" s="63">
        <v>2.2130945027794936E-2</v>
      </c>
      <c r="O74" s="63">
        <v>2.2932665713608379E-2</v>
      </c>
      <c r="P74" s="63">
        <v>2.2896265372607132E-2</v>
      </c>
      <c r="Q74" s="63">
        <v>2.2391833159756083E-2</v>
      </c>
      <c r="R74" s="63">
        <v>2.177574009314618E-2</v>
      </c>
      <c r="S74" s="63">
        <v>2.1387985767026867E-2</v>
      </c>
      <c r="T74" s="63">
        <v>2.1105475060029102E-2</v>
      </c>
    </row>
    <row r="75" spans="8:20" x14ac:dyDescent="0.25">
      <c r="I75" t="s">
        <v>149</v>
      </c>
      <c r="K75" t="s">
        <v>178</v>
      </c>
      <c r="L75" s="22">
        <v>1</v>
      </c>
      <c r="M75" s="63">
        <v>2.0733084888629265E-3</v>
      </c>
      <c r="N75" s="63">
        <v>1.605929586164299E-3</v>
      </c>
      <c r="O75" s="63">
        <v>1.6549809268611576E-3</v>
      </c>
      <c r="P75" s="63">
        <v>1.6409824262324721E-3</v>
      </c>
      <c r="Q75" s="63">
        <v>1.58464374956299E-3</v>
      </c>
      <c r="R75" s="63">
        <v>1.5202058455406398E-3</v>
      </c>
      <c r="S75" s="63">
        <v>1.4820495625786701E-3</v>
      </c>
      <c r="T75" s="63">
        <v>1.4573539790034261E-3</v>
      </c>
    </row>
    <row r="76" spans="8:20" x14ac:dyDescent="0.25">
      <c r="I76" t="s">
        <v>154</v>
      </c>
      <c r="K76" t="s">
        <v>178</v>
      </c>
      <c r="L76" s="22">
        <v>1</v>
      </c>
      <c r="M76" s="63">
        <v>0.92987932910492899</v>
      </c>
      <c r="N76" s="63">
        <v>0.93058884084826032</v>
      </c>
      <c r="O76" s="63">
        <v>0.93376663960747408</v>
      </c>
      <c r="P76" s="63">
        <v>0.93688069662246576</v>
      </c>
      <c r="Q76" s="63">
        <v>0.94004040731158889</v>
      </c>
      <c r="R76" s="63">
        <v>0.94314873307226621</v>
      </c>
      <c r="S76" s="63">
        <v>0.94608397598622218</v>
      </c>
      <c r="T76" s="63">
        <v>0.94882285301864444</v>
      </c>
    </row>
    <row r="77" spans="8:20" x14ac:dyDescent="0.25">
      <c r="I77" t="s">
        <v>151</v>
      </c>
      <c r="K77" t="s">
        <v>178</v>
      </c>
      <c r="L77" s="22">
        <v>1</v>
      </c>
      <c r="M77" s="63">
        <v>3.7747992514573081E-5</v>
      </c>
      <c r="N77" s="63">
        <v>3.9118797611694459E-5</v>
      </c>
      <c r="O77" s="63">
        <v>3.9511210407971213E-5</v>
      </c>
      <c r="P77" s="63">
        <v>3.7937124462826458E-5</v>
      </c>
      <c r="Q77" s="63">
        <v>3.6800830226729914E-5</v>
      </c>
      <c r="R77" s="63">
        <v>3.4916388678495262E-5</v>
      </c>
      <c r="S77" s="63">
        <v>3.3710306866127345E-5</v>
      </c>
      <c r="T77" s="63">
        <v>3.2563587076633333E-5</v>
      </c>
    </row>
    <row r="78" spans="8:20" x14ac:dyDescent="0.25">
      <c r="I78" t="s">
        <v>152</v>
      </c>
      <c r="K78" t="s">
        <v>178</v>
      </c>
      <c r="L78" s="22">
        <v>1</v>
      </c>
      <c r="M78" s="63">
        <v>3.934284519831379E-2</v>
      </c>
      <c r="N78" s="63">
        <v>4.1462837142268893E-2</v>
      </c>
      <c r="O78" s="63">
        <v>3.7275235091701928E-2</v>
      </c>
      <c r="P78" s="63">
        <v>3.4209600191138528E-2</v>
      </c>
      <c r="Q78" s="63">
        <v>3.1685514825214457E-2</v>
      </c>
      <c r="R78" s="63">
        <v>2.9354610843418796E-2</v>
      </c>
      <c r="S78" s="63">
        <v>2.6908650486120688E-2</v>
      </c>
      <c r="T78" s="63">
        <v>2.4527320849557291E-2</v>
      </c>
    </row>
    <row r="79" spans="8:20" x14ac:dyDescent="0.25">
      <c r="I79" t="s">
        <v>153</v>
      </c>
      <c r="K79" t="s">
        <v>178</v>
      </c>
      <c r="L79" s="22">
        <v>1</v>
      </c>
      <c r="M79" s="63">
        <v>4.1598287751059542E-3</v>
      </c>
      <c r="N79" s="63">
        <v>3.4764257772287419E-3</v>
      </c>
      <c r="O79" s="63">
        <v>3.6098878600010062E-3</v>
      </c>
      <c r="P79" s="63">
        <v>3.6177487626040034E-3</v>
      </c>
      <c r="Q79" s="63">
        <v>3.5682084987837324E-3</v>
      </c>
      <c r="R79" s="63">
        <v>3.5017109030452461E-3</v>
      </c>
      <c r="S79" s="63">
        <v>3.4559084235435194E-3</v>
      </c>
      <c r="T79" s="63">
        <v>3.4159736672684702E-3</v>
      </c>
    </row>
    <row r="80" spans="8:20" x14ac:dyDescent="0.25">
      <c r="I80" t="s">
        <v>155</v>
      </c>
      <c r="K80" t="s">
        <v>178</v>
      </c>
      <c r="L80" s="22">
        <v>1</v>
      </c>
      <c r="M80" s="63">
        <v>6.9173196282955177E-4</v>
      </c>
      <c r="N80" s="63">
        <v>6.9590282067119613E-4</v>
      </c>
      <c r="O80" s="63">
        <v>7.2107958994547454E-4</v>
      </c>
      <c r="P80" s="63">
        <v>7.1676950048914668E-4</v>
      </c>
      <c r="Q80" s="63">
        <v>6.9259162486705697E-4</v>
      </c>
      <c r="R80" s="63">
        <v>6.6408285390445808E-4</v>
      </c>
      <c r="S80" s="63">
        <v>6.4771946764201826E-4</v>
      </c>
      <c r="T80" s="63">
        <v>6.3845983842054856E-4</v>
      </c>
    </row>
    <row r="81" spans="8:20" x14ac:dyDescent="0.25">
      <c r="I81" t="s">
        <v>176</v>
      </c>
      <c r="K81" t="s">
        <v>178</v>
      </c>
      <c r="L81" s="22">
        <v>1</v>
      </c>
      <c r="M81" s="63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3">
        <v>0</v>
      </c>
    </row>
    <row r="82" spans="8:20" x14ac:dyDescent="0.25">
      <c r="H82" t="s">
        <v>168</v>
      </c>
      <c r="I82" t="s">
        <v>150</v>
      </c>
      <c r="J82" t="s">
        <v>169</v>
      </c>
      <c r="K82" t="s">
        <v>178</v>
      </c>
      <c r="L82" s="22">
        <v>1</v>
      </c>
      <c r="M82" s="63">
        <v>0.42556332971371874</v>
      </c>
      <c r="N82" s="63">
        <v>0.42885227003017673</v>
      </c>
      <c r="O82" s="63">
        <v>0.4301288355256343</v>
      </c>
      <c r="P82" s="63">
        <v>0.42782773669978968</v>
      </c>
      <c r="Q82" s="63">
        <v>0.41668817229295235</v>
      </c>
      <c r="R82" s="63">
        <v>0.39409044952974615</v>
      </c>
      <c r="S82" s="63">
        <v>0.36101605214575999</v>
      </c>
      <c r="T82" s="63">
        <v>0.32619321607544083</v>
      </c>
    </row>
    <row r="83" spans="8:20" x14ac:dyDescent="0.25">
      <c r="I83" t="s">
        <v>149</v>
      </c>
      <c r="K83" t="s">
        <v>178</v>
      </c>
      <c r="L83" s="22">
        <v>1</v>
      </c>
      <c r="M83" s="63">
        <v>0.43290649023408723</v>
      </c>
      <c r="N83" s="63">
        <v>0.43334520055606424</v>
      </c>
      <c r="O83" s="63">
        <v>0.42676689042599353</v>
      </c>
      <c r="P83" s="63">
        <v>0.41280956616074077</v>
      </c>
      <c r="Q83" s="63">
        <v>0.39470185013541281</v>
      </c>
      <c r="R83" s="63">
        <v>0.37375110178859372</v>
      </c>
      <c r="S83" s="63">
        <v>0.35412901955996318</v>
      </c>
      <c r="T83" s="63">
        <v>0.33610432900293752</v>
      </c>
    </row>
    <row r="84" spans="8:20" x14ac:dyDescent="0.25">
      <c r="I84" t="s">
        <v>154</v>
      </c>
      <c r="K84" t="s">
        <v>178</v>
      </c>
      <c r="L84" s="22">
        <v>1</v>
      </c>
      <c r="M84" s="63">
        <v>3.638539169699493E-2</v>
      </c>
      <c r="N84" s="63">
        <v>3.4195910894110469E-2</v>
      </c>
      <c r="O84" s="63">
        <v>2.7821777272638556E-2</v>
      </c>
      <c r="P84" s="63">
        <v>2.934035639254148E-2</v>
      </c>
      <c r="Q84" s="63">
        <v>4.0087103729669921E-2</v>
      </c>
      <c r="R84" s="63">
        <v>6.3024887052906611E-2</v>
      </c>
      <c r="S84" s="63">
        <v>9.4953571196556966E-2</v>
      </c>
      <c r="T84" s="63">
        <v>0.1300448131911226</v>
      </c>
    </row>
    <row r="85" spans="8:20" x14ac:dyDescent="0.25">
      <c r="I85" t="s">
        <v>151</v>
      </c>
      <c r="K85" t="s">
        <v>178</v>
      </c>
      <c r="L85" s="22">
        <v>1</v>
      </c>
      <c r="M85" s="63">
        <v>0.10288236971605716</v>
      </c>
      <c r="N85" s="63">
        <v>0.1011779066219103</v>
      </c>
      <c r="O85" s="63">
        <v>0.11262576139978951</v>
      </c>
      <c r="P85" s="63">
        <v>0.12700802912736228</v>
      </c>
      <c r="Q85" s="63">
        <v>0.14454567570501695</v>
      </c>
      <c r="R85" s="63">
        <v>0.16327899835227158</v>
      </c>
      <c r="S85" s="63">
        <v>0.18201419157065585</v>
      </c>
      <c r="T85" s="63">
        <v>0.19787361201483947</v>
      </c>
    </row>
    <row r="86" spans="8:20" x14ac:dyDescent="0.25">
      <c r="I86" t="s">
        <v>152</v>
      </c>
      <c r="K86" t="s">
        <v>178</v>
      </c>
      <c r="L86" s="22">
        <v>1</v>
      </c>
      <c r="M86" s="63">
        <v>5.4111527860738156E-5</v>
      </c>
      <c r="N86" s="63">
        <v>5.1707184755704752E-5</v>
      </c>
      <c r="O86" s="63">
        <v>5.5852249779668886E-5</v>
      </c>
      <c r="P86" s="63">
        <v>1.2206842866928591E-4</v>
      </c>
      <c r="Q86" s="63">
        <v>7.216381291188117E-4</v>
      </c>
      <c r="R86" s="63">
        <v>2.2095540563750854E-3</v>
      </c>
      <c r="S86" s="63">
        <v>3.8226339316975969E-3</v>
      </c>
      <c r="T86" s="63">
        <v>5.3272777283629074E-3</v>
      </c>
    </row>
    <row r="87" spans="8:20" x14ac:dyDescent="0.25">
      <c r="I87" t="s">
        <v>153</v>
      </c>
      <c r="K87" t="s">
        <v>178</v>
      </c>
      <c r="L87" s="22">
        <v>1</v>
      </c>
      <c r="M87" s="63">
        <v>1.2957188037907301E-3</v>
      </c>
      <c r="N87" s="63">
        <v>1.4795036110263455E-3</v>
      </c>
      <c r="O87" s="63">
        <v>1.6018485292991595E-3</v>
      </c>
      <c r="P87" s="63">
        <v>1.7656822825739534E-3</v>
      </c>
      <c r="Q87" s="63">
        <v>1.9734108574841298E-3</v>
      </c>
      <c r="R87" s="63">
        <v>2.1965936880489674E-3</v>
      </c>
      <c r="S87" s="63">
        <v>2.4499520724434688E-3</v>
      </c>
      <c r="T87" s="63">
        <v>2.7014653486442395E-3</v>
      </c>
    </row>
    <row r="88" spans="8:20" x14ac:dyDescent="0.25">
      <c r="I88" t="str">
        <f>+COMM!Z35</f>
        <v>DAVG</v>
      </c>
      <c r="K88" t="s">
        <v>178</v>
      </c>
      <c r="L88" s="22">
        <v>1</v>
      </c>
      <c r="M88" s="63">
        <v>9.1258830749058398E-4</v>
      </c>
      <c r="N88" s="63">
        <v>8.9750110195639654E-4</v>
      </c>
      <c r="O88" s="63">
        <v>9.9903459686536767E-4</v>
      </c>
      <c r="P88" s="63">
        <v>1.1265609083225784E-3</v>
      </c>
      <c r="Q88" s="63">
        <v>1.282149150345063E-3</v>
      </c>
      <c r="R88" s="63">
        <v>1.4484155320577225E-3</v>
      </c>
      <c r="S88" s="63">
        <v>1.6145795229228466E-3</v>
      </c>
      <c r="T88" s="63">
        <v>1.7552866386524909E-3</v>
      </c>
    </row>
    <row r="89" spans="8:20" x14ac:dyDescent="0.25">
      <c r="I89" t="s">
        <v>176</v>
      </c>
      <c r="K89" t="s">
        <v>178</v>
      </c>
      <c r="L89" s="22">
        <v>1</v>
      </c>
      <c r="M89" s="63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3">
        <v>0</v>
      </c>
    </row>
    <row r="90" spans="8:20" x14ac:dyDescent="0.25">
      <c r="M90" s="248"/>
      <c r="N90" s="248"/>
      <c r="O90" s="248"/>
      <c r="P90" s="248"/>
      <c r="Q90" s="248"/>
      <c r="R90" s="248"/>
      <c r="S90" s="248"/>
      <c r="T90" s="248"/>
    </row>
    <row r="92" spans="8:20" x14ac:dyDescent="0.25">
      <c r="H92" s="53" t="s">
        <v>0</v>
      </c>
      <c r="J92" s="53"/>
      <c r="K92" s="54"/>
    </row>
    <row r="93" spans="8:20" x14ac:dyDescent="0.25">
      <c r="H93" s="55" t="s">
        <v>1</v>
      </c>
      <c r="I93" s="55" t="s">
        <v>2</v>
      </c>
      <c r="J93" s="55" t="s">
        <v>3</v>
      </c>
      <c r="K93" s="56">
        <v>2019</v>
      </c>
      <c r="L93" s="56">
        <v>2020</v>
      </c>
      <c r="M93" s="56">
        <v>2025</v>
      </c>
      <c r="N93" s="56">
        <v>2030</v>
      </c>
      <c r="O93" s="56">
        <v>2035</v>
      </c>
      <c r="P93" s="56">
        <v>2040</v>
      </c>
      <c r="Q93" s="56">
        <v>2045</v>
      </c>
      <c r="R93" s="56">
        <v>2050</v>
      </c>
    </row>
    <row r="94" spans="8:20" x14ac:dyDescent="0.25">
      <c r="H94" t="s">
        <v>10</v>
      </c>
      <c r="I94" t="str" cm="1">
        <f t="array" ref="I94:I98">+_xlfn.ANCHORARRAY(COMM!Z30)</f>
        <v>DAGR</v>
      </c>
      <c r="J94" t="s">
        <v>9</v>
      </c>
      <c r="K94" s="64">
        <v>31.6646</v>
      </c>
      <c r="L94" s="65">
        <v>27.873699999999999</v>
      </c>
      <c r="M94" s="65">
        <v>34.688200000000002</v>
      </c>
      <c r="N94" s="65">
        <v>41.387799999999999</v>
      </c>
      <c r="O94" s="65">
        <v>48.775300000000001</v>
      </c>
      <c r="P94" s="65">
        <v>57.037600000000005</v>
      </c>
      <c r="Q94" s="65">
        <v>66.4298</v>
      </c>
      <c r="R94" s="65">
        <v>76.873699999999999</v>
      </c>
    </row>
    <row r="95" spans="8:20" x14ac:dyDescent="0.25">
      <c r="H95" t="s">
        <v>10</v>
      </c>
      <c r="I95" t="str">
        <v>DTER</v>
      </c>
      <c r="J95" s="54" t="s">
        <v>9</v>
      </c>
      <c r="K95" s="65">
        <v>62.181400000000004</v>
      </c>
      <c r="L95" s="65">
        <v>54.353099999999998</v>
      </c>
      <c r="M95" s="65">
        <v>60.013800000000003</v>
      </c>
      <c r="N95" s="65">
        <v>67.605000000000004</v>
      </c>
      <c r="O95" s="65">
        <v>74.424799999999991</v>
      </c>
      <c r="P95" s="65">
        <v>80.742999999999995</v>
      </c>
      <c r="Q95" s="65">
        <v>90.7119</v>
      </c>
      <c r="R95" s="65">
        <v>104.0565</v>
      </c>
    </row>
    <row r="96" spans="8:20" x14ac:dyDescent="0.25">
      <c r="H96" s="54" t="s">
        <v>10</v>
      </c>
      <c r="I96" s="54" t="str">
        <v>DRSD</v>
      </c>
      <c r="J96" s="54" t="s">
        <v>9</v>
      </c>
      <c r="K96" s="65">
        <v>69.341300000000004</v>
      </c>
      <c r="L96" s="65">
        <v>71.078400000000002</v>
      </c>
      <c r="M96" s="65">
        <v>80.650599999999997</v>
      </c>
      <c r="N96" s="65">
        <v>89.464500000000001</v>
      </c>
      <c r="O96" s="65">
        <v>94.679500000000004</v>
      </c>
      <c r="P96" s="65">
        <v>98.240100000000012</v>
      </c>
      <c r="Q96" s="65">
        <v>103.37649999999999</v>
      </c>
      <c r="R96" s="65">
        <v>109.43870000000001</v>
      </c>
    </row>
    <row r="97" spans="8:18" x14ac:dyDescent="0.25">
      <c r="H97" t="s">
        <v>10</v>
      </c>
      <c r="I97" t="str">
        <v>DIND</v>
      </c>
      <c r="J97" s="54" t="s">
        <v>9</v>
      </c>
      <c r="K97" s="65">
        <v>105.9659</v>
      </c>
      <c r="L97" s="65">
        <v>97.14</v>
      </c>
      <c r="M97" s="65">
        <v>111.3608</v>
      </c>
      <c r="N97" s="65">
        <v>123.88920000000002</v>
      </c>
      <c r="O97" s="65">
        <v>135.8665</v>
      </c>
      <c r="P97" s="65">
        <v>148.9272</v>
      </c>
      <c r="Q97" s="65">
        <v>166.12129999999999</v>
      </c>
      <c r="R97" s="65">
        <v>187.32580000000002</v>
      </c>
    </row>
    <row r="98" spans="8:18" x14ac:dyDescent="0.25">
      <c r="H98" t="s">
        <v>10</v>
      </c>
      <c r="I98" t="str">
        <v>DTRA</v>
      </c>
      <c r="J98" s="54" t="s">
        <v>9</v>
      </c>
      <c r="K98" s="64">
        <v>574.73889999999994</v>
      </c>
      <c r="L98" s="65">
        <v>589.8599999999999</v>
      </c>
      <c r="M98" s="65">
        <v>666.04299999999989</v>
      </c>
      <c r="N98" s="65">
        <v>719.26869999999997</v>
      </c>
      <c r="O98" s="65">
        <v>757.1662</v>
      </c>
      <c r="P98" s="65">
        <v>794.73050000000012</v>
      </c>
      <c r="Q98" s="65">
        <v>829.68970000000013</v>
      </c>
      <c r="R98" s="65">
        <v>871.08279999999991</v>
      </c>
    </row>
    <row r="99" spans="8:18" x14ac:dyDescent="0.25">
      <c r="K99" s="66"/>
      <c r="L99" s="66"/>
      <c r="M99" s="66"/>
      <c r="N99" s="66"/>
      <c r="O99" s="66"/>
      <c r="P99" s="66"/>
      <c r="Q99" s="66"/>
      <c r="R99" s="66"/>
    </row>
    <row r="100" spans="8:18" x14ac:dyDescent="0.25">
      <c r="K100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O26"/>
  <sheetViews>
    <sheetView showGridLines="0" tabSelected="1" zoomScaleNormal="100" workbookViewId="0">
      <selection activeCell="F31" sqref="F31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5" x14ac:dyDescent="0.25">
      <c r="B17" s="258">
        <v>0</v>
      </c>
      <c r="C17" s="257">
        <v>0</v>
      </c>
      <c r="D17" s="257" t="str">
        <v>DIND</v>
      </c>
    </row>
    <row r="18" spans="2:15" x14ac:dyDescent="0.25">
      <c r="B18" s="258">
        <v>0</v>
      </c>
      <c r="C18" s="257">
        <v>0</v>
      </c>
      <c r="D18" s="257" t="str">
        <v>DTRA</v>
      </c>
    </row>
    <row r="19" spans="2:15" x14ac:dyDescent="0.25">
      <c r="B19" s="258" t="str">
        <v>NRG</v>
      </c>
      <c r="C19" s="257">
        <v>0</v>
      </c>
      <c r="D19" s="257" t="str">
        <v>DAVG</v>
      </c>
    </row>
    <row r="23" spans="2:15" x14ac:dyDescent="0.25">
      <c r="B23" s="254" t="s">
        <v>532</v>
      </c>
    </row>
    <row r="24" spans="2:15" ht="15.75" thickBot="1" x14ac:dyDescent="0.3">
      <c r="B24" s="255" t="s">
        <v>2</v>
      </c>
      <c r="C24" s="256" t="s">
        <v>45</v>
      </c>
      <c r="D24" s="256" t="s">
        <v>47</v>
      </c>
      <c r="E24" s="256" t="s">
        <v>43</v>
      </c>
      <c r="F24" s="256" t="s">
        <v>44</v>
      </c>
      <c r="G24" s="256" t="s">
        <v>48</v>
      </c>
      <c r="H24" s="256" t="s">
        <v>49</v>
      </c>
      <c r="I24" s="256" t="s">
        <v>50</v>
      </c>
      <c r="J24" s="256" t="s">
        <v>51</v>
      </c>
      <c r="K24" s="256" t="s">
        <v>52</v>
      </c>
      <c r="L24" s="256" t="s">
        <v>67</v>
      </c>
      <c r="M24" s="256" t="s">
        <v>53</v>
      </c>
      <c r="N24" s="256" t="s">
        <v>549</v>
      </c>
      <c r="O24" s="256" t="s">
        <v>523</v>
      </c>
    </row>
    <row r="25" spans="2:15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  <c r="N25" s="21" t="s">
        <v>285</v>
      </c>
      <c r="O25" s="21" t="s">
        <v>285</v>
      </c>
    </row>
    <row r="26" spans="2:15" x14ac:dyDescent="0.25">
      <c r="B26" t="str">
        <f>+COMM!AK43</f>
        <v>CO2e-Scope3</v>
      </c>
      <c r="C26" s="261">
        <f>+'Bases de Cálculo'!G10</f>
        <v>69.193827140333724</v>
      </c>
      <c r="D26" s="261">
        <f>+'Bases de Cálculo'!G11</f>
        <v>75.166375708662926</v>
      </c>
      <c r="E26" s="261">
        <f>+'Bases de Cálculo'!G15</f>
        <v>84.75811612074672</v>
      </c>
      <c r="F26" s="261">
        <f>+'Bases de Cálculo'!G16</f>
        <v>54.806487022879928</v>
      </c>
      <c r="G26" s="261">
        <v>87.735056011523966</v>
      </c>
      <c r="H26" s="261">
        <v>47.28933824683137</v>
      </c>
      <c r="I26" s="261">
        <v>78.281203343664757</v>
      </c>
      <c r="J26" s="261">
        <v>55.539114956987063</v>
      </c>
      <c r="K26" s="261">
        <v>77.841777688967127</v>
      </c>
      <c r="L26" s="261">
        <v>77.841777688967127</v>
      </c>
      <c r="M26" s="261">
        <v>77.841777688967127</v>
      </c>
      <c r="N26" s="262">
        <v>0</v>
      </c>
      <c r="O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2022-11-03T23:13:59Z</dcterms:modified>
</cp:coreProperties>
</file>