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F610F3F5-7481-4BCA-9019-59D689763F75}" xr6:coauthVersionLast="47" xr6:coauthVersionMax="47" xr10:uidLastSave="{00000000-0000-0000-0000-000000000000}"/>
  <bookViews>
    <workbookView xWindow="-28920" yWindow="-120" windowWidth="29040" windowHeight="15840" firstSheet="1" activeTab="7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EXP_IMP'!$I$222:$Q$222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7" i="16" l="1"/>
  <c r="F216" i="16"/>
  <c r="F215" i="16"/>
  <c r="F220" i="17"/>
  <c r="F221" i="17"/>
  <c r="Q97" i="8"/>
  <c r="G222" i="17"/>
  <c r="R99" i="8"/>
  <c r="E62" i="17"/>
  <c r="G223" i="17"/>
  <c r="E181" i="17"/>
  <c r="E124" i="17"/>
  <c r="G193" i="17"/>
  <c r="G211" i="17"/>
  <c r="C223" i="17"/>
  <c r="C222" i="17"/>
  <c r="C221" i="17"/>
  <c r="C220" i="17"/>
  <c r="E210" i="17"/>
  <c r="E209" i="17"/>
  <c r="E208" i="17"/>
  <c r="E206" i="17"/>
  <c r="E205" i="17"/>
  <c r="E186" i="17"/>
  <c r="E75" i="17"/>
  <c r="E74" i="17"/>
  <c r="F75" i="17"/>
  <c r="E185" i="17"/>
  <c r="D186" i="17"/>
  <c r="E184" i="17"/>
  <c r="E182" i="17"/>
  <c r="D184" i="17"/>
  <c r="C159" i="17"/>
  <c r="J180" i="17" s="1"/>
  <c r="K182" i="17"/>
  <c r="K180" i="17"/>
  <c r="F169" i="17"/>
  <c r="F168" i="17"/>
  <c r="F167" i="17"/>
  <c r="E167" i="17"/>
  <c r="H106" i="17"/>
  <c r="H108" i="17"/>
  <c r="H109" i="17"/>
  <c r="H110" i="17"/>
  <c r="H111" i="17"/>
  <c r="H112" i="17"/>
  <c r="H107" i="17"/>
  <c r="F106" i="17"/>
  <c r="F108" i="17"/>
  <c r="F107" i="17"/>
  <c r="I110" i="17"/>
  <c r="F111" i="17" l="1"/>
  <c r="F110" i="17"/>
  <c r="F109" i="17"/>
  <c r="F103" i="16"/>
  <c r="E109" i="17" l="1"/>
  <c r="E108" i="17"/>
  <c r="E107" i="17"/>
  <c r="E102" i="16"/>
  <c r="E103" i="16"/>
  <c r="H108" i="16"/>
  <c r="E108" i="16"/>
  <c r="E111" i="17"/>
  <c r="I111" i="17" s="1"/>
  <c r="I106" i="17" s="1"/>
  <c r="E102" i="17"/>
  <c r="G55" i="7"/>
  <c r="E110" i="17" l="1"/>
  <c r="P73" i="9"/>
  <c r="P72" i="9"/>
  <c r="P55" i="9"/>
  <c r="D58" i="7"/>
  <c r="D59" i="7"/>
  <c r="F108" i="16"/>
  <c r="E89" i="16"/>
  <c r="E85" i="17"/>
  <c r="E83" i="17"/>
  <c r="E84" i="17"/>
  <c r="E92" i="17"/>
  <c r="E85" i="16" l="1"/>
  <c r="E68" i="17"/>
  <c r="E64" i="17"/>
  <c r="H38" i="17"/>
  <c r="E35" i="17"/>
  <c r="C192" i="17"/>
  <c r="C198" i="17" s="1"/>
  <c r="D182" i="17"/>
  <c r="E198" i="17" s="1"/>
  <c r="D181" i="17"/>
  <c r="C167" i="17"/>
  <c r="C173" i="17" s="1"/>
  <c r="A159" i="17"/>
  <c r="C158" i="17"/>
  <c r="D185" i="17" s="1"/>
  <c r="A158" i="17"/>
  <c r="C157" i="17"/>
  <c r="A157" i="17"/>
  <c r="C156" i="17"/>
  <c r="D183" i="17" s="1"/>
  <c r="D198" i="17" s="1"/>
  <c r="A156" i="17"/>
  <c r="F97" i="17"/>
  <c r="G97" i="17" s="1"/>
  <c r="E50" i="17"/>
  <c r="G47" i="17"/>
  <c r="H46" i="17"/>
  <c r="E45" i="17"/>
  <c r="G39" i="17"/>
  <c r="E36" i="17"/>
  <c r="O22" i="17"/>
  <c r="N22" i="17"/>
  <c r="K22" i="17"/>
  <c r="L22" i="17" s="1"/>
  <c r="J22" i="17"/>
  <c r="O21" i="17"/>
  <c r="N21" i="17"/>
  <c r="K21" i="17"/>
  <c r="L21" i="17" s="1"/>
  <c r="J21" i="17"/>
  <c r="C21" i="17"/>
  <c r="O20" i="17"/>
  <c r="N20" i="17"/>
  <c r="K20" i="17"/>
  <c r="L20" i="17" s="1"/>
  <c r="J20" i="17"/>
  <c r="O19" i="17"/>
  <c r="N19" i="17"/>
  <c r="K19" i="17"/>
  <c r="L19" i="17" s="1"/>
  <c r="J19" i="17"/>
  <c r="O18" i="17"/>
  <c r="N18" i="17"/>
  <c r="K18" i="17"/>
  <c r="L18" i="17" s="1"/>
  <c r="J18" i="17"/>
  <c r="O17" i="17"/>
  <c r="N17" i="17"/>
  <c r="K17" i="17"/>
  <c r="L17" i="17" s="1"/>
  <c r="J17" i="17"/>
  <c r="D17" i="17"/>
  <c r="C17" i="17"/>
  <c r="E17" i="17" s="1"/>
  <c r="B17" i="17"/>
  <c r="O16" i="17"/>
  <c r="N16" i="17"/>
  <c r="K16" i="17"/>
  <c r="L16" i="17" s="1"/>
  <c r="J16" i="17"/>
  <c r="D16" i="17"/>
  <c r="C16" i="17"/>
  <c r="E16" i="17" s="1"/>
  <c r="B16" i="17"/>
  <c r="O15" i="17"/>
  <c r="N15" i="17"/>
  <c r="K15" i="17"/>
  <c r="L15" i="17" s="1"/>
  <c r="J15" i="17"/>
  <c r="D15" i="17"/>
  <c r="C15" i="17"/>
  <c r="B15" i="17"/>
  <c r="A15" i="17"/>
  <c r="O14" i="17"/>
  <c r="N14" i="17"/>
  <c r="K14" i="17"/>
  <c r="L14" i="17" s="1"/>
  <c r="J14" i="17"/>
  <c r="D14" i="17"/>
  <c r="C14" i="17"/>
  <c r="E14" i="17" s="1"/>
  <c r="B14" i="17"/>
  <c r="A14" i="17"/>
  <c r="O13" i="17"/>
  <c r="N13" i="17"/>
  <c r="K13" i="17"/>
  <c r="L13" i="17" s="1"/>
  <c r="J13" i="17"/>
  <c r="D13" i="17"/>
  <c r="C13" i="17"/>
  <c r="E13" i="17" s="1"/>
  <c r="B13" i="17"/>
  <c r="A13" i="17"/>
  <c r="O12" i="17"/>
  <c r="N12" i="17"/>
  <c r="K12" i="17"/>
  <c r="L12" i="17" s="1"/>
  <c r="J12" i="17"/>
  <c r="D12" i="17"/>
  <c r="C12" i="17"/>
  <c r="B12" i="17"/>
  <c r="A12" i="17"/>
  <c r="O11" i="17"/>
  <c r="N11" i="17"/>
  <c r="K11" i="17"/>
  <c r="L11" i="17" s="1"/>
  <c r="J11" i="17"/>
  <c r="D11" i="17"/>
  <c r="C11" i="17"/>
  <c r="E11" i="17" s="1"/>
  <c r="B11" i="17"/>
  <c r="A11" i="17"/>
  <c r="O10" i="17"/>
  <c r="U11" i="17" s="1"/>
  <c r="N10" i="17"/>
  <c r="K10" i="17"/>
  <c r="L10" i="17" s="1"/>
  <c r="J10" i="17"/>
  <c r="B10" i="17"/>
  <c r="A10" i="17"/>
  <c r="O9" i="17"/>
  <c r="N9" i="17"/>
  <c r="K9" i="17"/>
  <c r="L9" i="17" s="1"/>
  <c r="J9" i="17"/>
  <c r="B9" i="17"/>
  <c r="A9" i="17"/>
  <c r="O8" i="17"/>
  <c r="N8" i="17"/>
  <c r="K8" i="17"/>
  <c r="L8" i="17" s="1"/>
  <c r="J8" i="17"/>
  <c r="D8" i="17"/>
  <c r="D9" i="17" s="1"/>
  <c r="D10" i="17" s="1"/>
  <c r="C8" i="17"/>
  <c r="B8" i="17"/>
  <c r="A8" i="17"/>
  <c r="O7" i="17"/>
  <c r="N7" i="17"/>
  <c r="K7" i="17"/>
  <c r="L7" i="17" s="1"/>
  <c r="J7" i="17"/>
  <c r="D7" i="17"/>
  <c r="C7" i="17"/>
  <c r="E7" i="17" s="1"/>
  <c r="B7" i="17"/>
  <c r="A7" i="17"/>
  <c r="O6" i="17"/>
  <c r="N6" i="17"/>
  <c r="K6" i="17"/>
  <c r="L6" i="17" s="1"/>
  <c r="J6" i="17"/>
  <c r="D6" i="17"/>
  <c r="C6" i="17"/>
  <c r="B6" i="17"/>
  <c r="O5" i="17"/>
  <c r="N5" i="17"/>
  <c r="K5" i="17"/>
  <c r="J5" i="17"/>
  <c r="D5" i="17"/>
  <c r="K4" i="17"/>
  <c r="D4" i="17"/>
  <c r="C4" i="17"/>
  <c r="A2" i="17"/>
  <c r="P89" i="8"/>
  <c r="P90" i="8"/>
  <c r="Q98" i="8"/>
  <c r="G218" i="16"/>
  <c r="E205" i="16"/>
  <c r="E204" i="16"/>
  <c r="E203" i="16"/>
  <c r="E202" i="16"/>
  <c r="E201" i="16"/>
  <c r="E200" i="16"/>
  <c r="H104" i="16"/>
  <c r="H105" i="16"/>
  <c r="H106" i="16"/>
  <c r="H107" i="16"/>
  <c r="H103" i="16"/>
  <c r="H109" i="16" s="1"/>
  <c r="R118" i="8"/>
  <c r="E193" i="16"/>
  <c r="C187" i="16"/>
  <c r="C193" i="16" s="1"/>
  <c r="H175" i="16"/>
  <c r="J175" i="16"/>
  <c r="K175" i="16"/>
  <c r="G177" i="16"/>
  <c r="H177" i="16"/>
  <c r="I177" i="16"/>
  <c r="J177" i="16"/>
  <c r="K177" i="16"/>
  <c r="D179" i="16"/>
  <c r="D178" i="16"/>
  <c r="D193" i="16" s="1"/>
  <c r="C154" i="16"/>
  <c r="C153" i="16"/>
  <c r="D180" i="16" s="1"/>
  <c r="A154" i="16"/>
  <c r="A153" i="16"/>
  <c r="D177" i="16"/>
  <c r="D176" i="16"/>
  <c r="F164" i="16"/>
  <c r="F163" i="16"/>
  <c r="F162" i="16"/>
  <c r="C162" i="16"/>
  <c r="C168" i="16" s="1"/>
  <c r="C152" i="16"/>
  <c r="I175" i="16" s="1"/>
  <c r="A152" i="16"/>
  <c r="C151" i="16"/>
  <c r="A151" i="16"/>
  <c r="E68" i="16"/>
  <c r="F76" i="17" l="1"/>
  <c r="E61" i="17"/>
  <c r="J59" i="17"/>
  <c r="M6" i="17"/>
  <c r="P6" i="17" s="1"/>
  <c r="M7" i="17"/>
  <c r="P7" i="17" s="1"/>
  <c r="M8" i="17"/>
  <c r="P8" i="17" s="1"/>
  <c r="M10" i="17"/>
  <c r="P10" i="17" s="1"/>
  <c r="M11" i="17"/>
  <c r="P11" i="17" s="1"/>
  <c r="M12" i="17"/>
  <c r="P12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E51" i="17"/>
  <c r="E52" i="17" s="1"/>
  <c r="E53" i="17" s="1"/>
  <c r="U9" i="17"/>
  <c r="M9" i="17"/>
  <c r="P9" i="17" s="1"/>
  <c r="M19" i="17"/>
  <c r="P19" i="17" s="1"/>
  <c r="E38" i="17"/>
  <c r="E173" i="17"/>
  <c r="C9" i="17"/>
  <c r="E8" i="17"/>
  <c r="G102" i="17" s="1"/>
  <c r="F112" i="17" s="1"/>
  <c r="E112" i="17" s="1"/>
  <c r="E12" i="17"/>
  <c r="E15" i="17"/>
  <c r="C193" i="17"/>
  <c r="C188" i="16"/>
  <c r="E117" i="17" l="1"/>
  <c r="E116" i="17"/>
  <c r="E119" i="17"/>
  <c r="G38" i="17"/>
  <c r="F74" i="17"/>
  <c r="J58" i="17"/>
  <c r="E93" i="17" s="1"/>
  <c r="J93" i="17" s="1"/>
  <c r="E82" i="17" s="1"/>
  <c r="F72" i="17" s="1"/>
  <c r="E72" i="17" s="1"/>
  <c r="F73" i="17"/>
  <c r="E73" i="17" s="1"/>
  <c r="E121" i="17" s="1"/>
  <c r="V10" i="17"/>
  <c r="W10" i="17" s="1"/>
  <c r="X10" i="17" s="1"/>
  <c r="G36" i="17" s="1"/>
  <c r="I36" i="17" s="1"/>
  <c r="J36" i="17" s="1"/>
  <c r="V11" i="17"/>
  <c r="W11" i="17" s="1"/>
  <c r="X11" i="17" s="1"/>
  <c r="G37" i="17" s="1"/>
  <c r="I37" i="17" s="1"/>
  <c r="J37" i="17" s="1"/>
  <c r="G46" i="17"/>
  <c r="V9" i="17"/>
  <c r="W9" i="17" s="1"/>
  <c r="X9" i="17" s="1"/>
  <c r="G35" i="17" s="1"/>
  <c r="I35" i="17" s="1"/>
  <c r="J35" i="17" s="1"/>
  <c r="C10" i="17"/>
  <c r="E10" i="17" s="1"/>
  <c r="E9" i="17"/>
  <c r="E120" i="17"/>
  <c r="E118" i="17"/>
  <c r="E64" i="16"/>
  <c r="O111" i="8"/>
  <c r="F96" i="16"/>
  <c r="G96" i="16" s="1"/>
  <c r="G188" i="16" s="1"/>
  <c r="C21" i="16"/>
  <c r="E86" i="17" l="1"/>
  <c r="E87" i="17" s="1"/>
  <c r="G44" i="17"/>
  <c r="I44" i="17" s="1"/>
  <c r="J44" i="17" s="1"/>
  <c r="E207" i="17"/>
  <c r="G45" i="17"/>
  <c r="I45" i="17" s="1"/>
  <c r="J45" i="17" s="1"/>
  <c r="J38" i="17"/>
  <c r="G43" i="17"/>
  <c r="I43" i="17" s="1"/>
  <c r="J43" i="17" s="1"/>
  <c r="A2" i="16"/>
  <c r="E72" i="16"/>
  <c r="F72" i="16" s="1"/>
  <c r="G79" i="16"/>
  <c r="E74" i="16" s="1"/>
  <c r="J46" i="17" l="1"/>
  <c r="E50" i="16"/>
  <c r="E168" i="16" s="1"/>
  <c r="D30" i="14" l="1"/>
  <c r="G47" i="16"/>
  <c r="H46" i="16"/>
  <c r="G39" i="16"/>
  <c r="H38" i="16"/>
  <c r="E45" i="16"/>
  <c r="E37" i="16"/>
  <c r="E36" i="16"/>
  <c r="J20" i="10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P67" i="12"/>
  <c r="J5" i="16"/>
  <c r="K5" i="16"/>
  <c r="N5" i="16"/>
  <c r="O5" i="16"/>
  <c r="J6" i="16"/>
  <c r="K6" i="16"/>
  <c r="L6" i="16" s="1"/>
  <c r="N6" i="16"/>
  <c r="J7" i="16"/>
  <c r="K7" i="16"/>
  <c r="L7" i="16" s="1"/>
  <c r="N7" i="16"/>
  <c r="J8" i="16"/>
  <c r="K8" i="16"/>
  <c r="L8" i="16" s="1"/>
  <c r="N8" i="16"/>
  <c r="J9" i="16"/>
  <c r="K9" i="16"/>
  <c r="L9" i="16" s="1"/>
  <c r="N9" i="16"/>
  <c r="J10" i="16"/>
  <c r="K10" i="16"/>
  <c r="L10" i="16" s="1"/>
  <c r="M10" i="16" s="1"/>
  <c r="J11" i="16"/>
  <c r="K11" i="16"/>
  <c r="L11" i="16" s="1"/>
  <c r="N11" i="16"/>
  <c r="J12" i="16"/>
  <c r="K12" i="16"/>
  <c r="L12" i="16" s="1"/>
  <c r="N12" i="16"/>
  <c r="J13" i="16"/>
  <c r="K13" i="16"/>
  <c r="L13" i="16" s="1"/>
  <c r="M13" i="16" s="1"/>
  <c r="N13" i="16"/>
  <c r="J14" i="16"/>
  <c r="K14" i="16"/>
  <c r="L14" i="16" s="1"/>
  <c r="N14" i="16"/>
  <c r="J15" i="16"/>
  <c r="K15" i="16"/>
  <c r="L15" i="16" s="1"/>
  <c r="N15" i="16"/>
  <c r="J16" i="16"/>
  <c r="K16" i="16"/>
  <c r="L16" i="16" s="1"/>
  <c r="N16" i="16"/>
  <c r="J17" i="16"/>
  <c r="K17" i="16"/>
  <c r="L17" i="16" s="1"/>
  <c r="M17" i="16" s="1"/>
  <c r="N17" i="16"/>
  <c r="J18" i="16"/>
  <c r="K18" i="16"/>
  <c r="L18" i="16" s="1"/>
  <c r="N18" i="16"/>
  <c r="J19" i="16"/>
  <c r="K19" i="16"/>
  <c r="L19" i="16" s="1"/>
  <c r="N19" i="16"/>
  <c r="J20" i="16"/>
  <c r="K20" i="16"/>
  <c r="L20" i="16" s="1"/>
  <c r="N20" i="16"/>
  <c r="J21" i="16"/>
  <c r="K21" i="16"/>
  <c r="L21" i="16" s="1"/>
  <c r="M21" i="16" s="1"/>
  <c r="N21" i="16"/>
  <c r="J22" i="16"/>
  <c r="K22" i="16"/>
  <c r="L22" i="16" s="1"/>
  <c r="N22" i="16"/>
  <c r="D17" i="16"/>
  <c r="C17" i="16"/>
  <c r="F73" i="16" s="1"/>
  <c r="B17" i="16"/>
  <c r="D16" i="16"/>
  <c r="C16" i="16"/>
  <c r="E16" i="16" s="1"/>
  <c r="B16" i="16"/>
  <c r="D15" i="16"/>
  <c r="C15" i="16"/>
  <c r="B15" i="16"/>
  <c r="A15" i="16"/>
  <c r="D14" i="16"/>
  <c r="C14" i="16"/>
  <c r="B14" i="16"/>
  <c r="A14" i="16"/>
  <c r="D13" i="16"/>
  <c r="C13" i="16"/>
  <c r="B13" i="16"/>
  <c r="A13" i="16"/>
  <c r="D12" i="16"/>
  <c r="C12" i="16"/>
  <c r="B12" i="16"/>
  <c r="A12" i="16"/>
  <c r="D11" i="16"/>
  <c r="C11" i="16"/>
  <c r="B11" i="16"/>
  <c r="A11" i="16"/>
  <c r="B10" i="16"/>
  <c r="A10" i="16"/>
  <c r="B9" i="16"/>
  <c r="A9" i="16"/>
  <c r="D8" i="16"/>
  <c r="D9" i="16" s="1"/>
  <c r="D10" i="16" s="1"/>
  <c r="C8" i="16"/>
  <c r="E61" i="16" s="1"/>
  <c r="B8" i="16"/>
  <c r="A8" i="16"/>
  <c r="D7" i="16"/>
  <c r="C7" i="16"/>
  <c r="B7" i="16"/>
  <c r="A7" i="16"/>
  <c r="D6" i="16"/>
  <c r="C6" i="16"/>
  <c r="B6" i="16"/>
  <c r="D5" i="16"/>
  <c r="D4" i="16"/>
  <c r="C4" i="16"/>
  <c r="Q56" i="8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5" i="13"/>
  <c r="DQ34" i="13"/>
  <c r="DP34" i="13"/>
  <c r="DN35" i="13"/>
  <c r="DN34" i="13"/>
  <c r="DL34" i="13"/>
  <c r="DN32" i="13"/>
  <c r="DN33" i="13"/>
  <c r="E11" i="16" l="1"/>
  <c r="E12" i="16"/>
  <c r="F104" i="16"/>
  <c r="E113" i="16" s="1"/>
  <c r="E13" i="16"/>
  <c r="F105" i="16"/>
  <c r="E114" i="16" s="1"/>
  <c r="E14" i="16"/>
  <c r="F76" i="16" s="1"/>
  <c r="F107" i="16"/>
  <c r="E116" i="16" s="1"/>
  <c r="E15" i="16"/>
  <c r="F106" i="16"/>
  <c r="E115" i="16" s="1"/>
  <c r="E86" i="16"/>
  <c r="E117" i="16"/>
  <c r="E7" i="16"/>
  <c r="F74" i="16"/>
  <c r="E87" i="16" s="1"/>
  <c r="E17" i="16"/>
  <c r="I46" i="16"/>
  <c r="G46" i="16" s="1"/>
  <c r="C9" i="16"/>
  <c r="E62" i="16" s="1"/>
  <c r="E8" i="16"/>
  <c r="E51" i="16"/>
  <c r="E52" i="16" s="1"/>
  <c r="E53" i="16" s="1"/>
  <c r="E38" i="16"/>
  <c r="M22" i="16"/>
  <c r="P22" i="16" s="1"/>
  <c r="M14" i="16"/>
  <c r="P14" i="16" s="1"/>
  <c r="M7" i="16"/>
  <c r="M19" i="16"/>
  <c r="P19" i="16" s="1"/>
  <c r="M15" i="16"/>
  <c r="M11" i="16"/>
  <c r="M6" i="16"/>
  <c r="P6" i="16" s="1"/>
  <c r="M18" i="16"/>
  <c r="P18" i="16" s="1"/>
  <c r="M20" i="16"/>
  <c r="M16" i="16"/>
  <c r="M12" i="16"/>
  <c r="P12" i="16" s="1"/>
  <c r="M9" i="16"/>
  <c r="U11" i="16"/>
  <c r="U10" i="16"/>
  <c r="M8" i="16"/>
  <c r="P8" i="16" s="1"/>
  <c r="P9" i="16"/>
  <c r="P21" i="16"/>
  <c r="P17" i="16"/>
  <c r="P13" i="16"/>
  <c r="P10" i="16"/>
  <c r="P15" i="16"/>
  <c r="P11" i="16"/>
  <c r="P7" i="16"/>
  <c r="U9" i="16"/>
  <c r="P20" i="16"/>
  <c r="P16" i="16"/>
  <c r="G184" i="12"/>
  <c r="G185" i="12" s="1"/>
  <c r="G186" i="12" s="1"/>
  <c r="E73" i="5"/>
  <c r="AR49" i="13"/>
  <c r="AR48" i="13"/>
  <c r="DC26" i="13"/>
  <c r="CB18" i="13"/>
  <c r="T23" i="9"/>
  <c r="E57" i="4"/>
  <c r="E56" i="4"/>
  <c r="E55" i="4"/>
  <c r="Q135" i="8"/>
  <c r="O135" i="8"/>
  <c r="V23" i="9"/>
  <c r="N144" i="12"/>
  <c r="N143" i="12"/>
  <c r="N142" i="12"/>
  <c r="N141" i="12"/>
  <c r="CG9" i="13"/>
  <c r="CC9" i="13" s="1"/>
  <c r="CC10" i="13" s="1"/>
  <c r="C9" i="13" a="1"/>
  <c r="C12" i="13" s="1"/>
  <c r="CW10" i="13"/>
  <c r="CS27" i="13" s="1"/>
  <c r="CW11" i="13"/>
  <c r="CS28" i="13" s="1"/>
  <c r="CW12" i="13"/>
  <c r="CS29" i="13" s="1"/>
  <c r="CW13" i="13"/>
  <c r="CS30" i="13" s="1"/>
  <c r="CW14" i="13"/>
  <c r="CS31" i="13" s="1"/>
  <c r="CW15" i="13"/>
  <c r="CS32" i="13" s="1"/>
  <c r="CW9" i="13"/>
  <c r="CS26" i="13" s="1"/>
  <c r="I101" i="5"/>
  <c r="I102" i="5"/>
  <c r="I103" i="5"/>
  <c r="I104" i="5"/>
  <c r="I100" i="5"/>
  <c r="BM9" i="13" a="1"/>
  <c r="BM9" i="13" s="1"/>
  <c r="BQ9" i="13" s="1" a="1"/>
  <c r="BQ9" i="13" s="1"/>
  <c r="AP16" i="13" a="1"/>
  <c r="AP16" i="13" s="1"/>
  <c r="E179" i="16" l="1"/>
  <c r="E112" i="16"/>
  <c r="F102" i="16"/>
  <c r="E119" i="16" s="1"/>
  <c r="J47" i="16"/>
  <c r="C10" i="16"/>
  <c r="E10" i="16" s="1"/>
  <c r="E9" i="16"/>
  <c r="V9" i="16"/>
  <c r="W9" i="16" s="1"/>
  <c r="X9" i="16" s="1"/>
  <c r="G35" i="16" s="1"/>
  <c r="V10" i="16"/>
  <c r="W10" i="16" s="1"/>
  <c r="X10" i="16" s="1"/>
  <c r="G36" i="16" s="1"/>
  <c r="V11" i="16"/>
  <c r="W11" i="16" s="1"/>
  <c r="X11" i="16" s="1"/>
  <c r="G37" i="16" s="1"/>
  <c r="C11" i="13"/>
  <c r="C14" i="13"/>
  <c r="C10" i="13"/>
  <c r="C13" i="13"/>
  <c r="C9" i="13"/>
  <c r="C15" i="13"/>
  <c r="CS9" i="13"/>
  <c r="O79" i="15"/>
  <c r="N79" i="15"/>
  <c r="M79" i="15"/>
  <c r="Q79" i="15" s="1"/>
  <c r="J79" i="15"/>
  <c r="Q78" i="15"/>
  <c r="O78" i="15"/>
  <c r="N78" i="15"/>
  <c r="M78" i="15"/>
  <c r="J78" i="15"/>
  <c r="J77" i="15"/>
  <c r="L70" i="15"/>
  <c r="K70" i="15"/>
  <c r="O69" i="15"/>
  <c r="N69" i="15"/>
  <c r="M69" i="15"/>
  <c r="L69" i="15"/>
  <c r="K69" i="15"/>
  <c r="J69" i="15"/>
  <c r="O68" i="15"/>
  <c r="N68" i="15"/>
  <c r="M68" i="15"/>
  <c r="O67" i="15"/>
  <c r="N67" i="15"/>
  <c r="M67" i="15"/>
  <c r="O66" i="15"/>
  <c r="N66" i="15"/>
  <c r="M66" i="15"/>
  <c r="O64" i="15"/>
  <c r="N64" i="15"/>
  <c r="M64" i="15"/>
  <c r="O63" i="15"/>
  <c r="N63" i="15"/>
  <c r="M63" i="15"/>
  <c r="O62" i="15"/>
  <c r="N62" i="15"/>
  <c r="M62" i="15"/>
  <c r="O61" i="15"/>
  <c r="N61" i="15"/>
  <c r="M61" i="15"/>
  <c r="O60" i="15"/>
  <c r="N60" i="15"/>
  <c r="M60" i="15"/>
  <c r="O59" i="15"/>
  <c r="N59" i="15"/>
  <c r="M59" i="15"/>
  <c r="J53" i="15"/>
  <c r="O51" i="15"/>
  <c r="O50" i="15"/>
  <c r="O49" i="15"/>
  <c r="O48" i="15"/>
  <c r="O47" i="15"/>
  <c r="O46" i="15"/>
  <c r="M38" i="15"/>
  <c r="Q28" i="15"/>
  <c r="P28" i="15"/>
  <c r="O28" i="15"/>
  <c r="N28" i="15"/>
  <c r="M28" i="15"/>
  <c r="L28" i="15"/>
  <c r="K28" i="15"/>
  <c r="J2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Q18" i="15"/>
  <c r="P18" i="15"/>
  <c r="O18" i="15"/>
  <c r="N18" i="15"/>
  <c r="M18" i="15"/>
  <c r="L18" i="15"/>
  <c r="K18" i="15"/>
  <c r="K17" i="15" s="1"/>
  <c r="J18" i="15"/>
  <c r="B18" i="15"/>
  <c r="Q17" i="15"/>
  <c r="P17" i="15"/>
  <c r="N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P13" i="15"/>
  <c r="O13" i="15"/>
  <c r="N13" i="15"/>
  <c r="M13" i="15"/>
  <c r="L13" i="15"/>
  <c r="K13" i="15"/>
  <c r="J13" i="15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R27" i="14"/>
  <c r="K27" i="14"/>
  <c r="J27" i="14"/>
  <c r="E27" i="14"/>
  <c r="S26" i="14"/>
  <c r="R26" i="14"/>
  <c r="K26" i="14"/>
  <c r="J26" i="14"/>
  <c r="S25" i="14"/>
  <c r="R25" i="14"/>
  <c r="K25" i="14"/>
  <c r="S20" i="14"/>
  <c r="R20" i="14"/>
  <c r="K20" i="14"/>
  <c r="J20" i="14"/>
  <c r="S19" i="14"/>
  <c r="R19" i="14"/>
  <c r="K19" i="14"/>
  <c r="J19" i="14"/>
  <c r="F19" i="14"/>
  <c r="D19" i="14"/>
  <c r="S18" i="14"/>
  <c r="R18" i="14"/>
  <c r="K18" i="14"/>
  <c r="J18" i="14"/>
  <c r="S17" i="14"/>
  <c r="R17" i="14"/>
  <c r="U12" i="14"/>
  <c r="R12" i="14"/>
  <c r="J12" i="14"/>
  <c r="E12" i="14"/>
  <c r="U11" i="14"/>
  <c r="T11" i="14"/>
  <c r="S11" i="14"/>
  <c r="R11" i="14"/>
  <c r="L11" i="14"/>
  <c r="K11" i="14"/>
  <c r="J11" i="14"/>
  <c r="U10" i="14"/>
  <c r="T10" i="14"/>
  <c r="S10" i="14"/>
  <c r="R10" i="14"/>
  <c r="L10" i="14"/>
  <c r="K10" i="14"/>
  <c r="J10" i="14"/>
  <c r="U9" i="14"/>
  <c r="S9" i="14"/>
  <c r="R9" i="14"/>
  <c r="L9" i="14"/>
  <c r="T9" i="14" s="1"/>
  <c r="K9" i="14"/>
  <c r="J9" i="14"/>
  <c r="U8" i="14"/>
  <c r="S8" i="14"/>
  <c r="R8" i="14"/>
  <c r="M8" i="14"/>
  <c r="L8" i="14"/>
  <c r="T8" i="14" s="1"/>
  <c r="K8" i="14"/>
  <c r="J8" i="14"/>
  <c r="D8" i="14"/>
  <c r="AP69" i="13"/>
  <c r="AP64" i="13"/>
  <c r="AP60" i="13"/>
  <c r="AP56" i="13"/>
  <c r="AP52" i="13"/>
  <c r="AP48" i="13"/>
  <c r="AV35" i="13"/>
  <c r="AT35" i="13"/>
  <c r="AS35" i="13"/>
  <c r="AT34" i="13"/>
  <c r="BE33" i="13"/>
  <c r="BD33" i="13"/>
  <c r="BB33" i="13"/>
  <c r="AV33" i="13"/>
  <c r="AT33" i="13"/>
  <c r="AS33" i="13"/>
  <c r="DC32" i="13"/>
  <c r="DG15" i="13" s="1"/>
  <c r="DC31" i="13"/>
  <c r="BE31" i="13"/>
  <c r="BD31" i="13"/>
  <c r="BB31" i="13"/>
  <c r="AV31" i="13"/>
  <c r="AU31" i="13"/>
  <c r="AU33" i="13" s="1"/>
  <c r="AU35" i="13" s="1"/>
  <c r="AS31" i="13"/>
  <c r="DC30" i="13"/>
  <c r="DG13" i="13" s="1"/>
  <c r="AP30" i="13"/>
  <c r="AN30" i="13"/>
  <c r="DC29" i="13"/>
  <c r="BE29" i="13"/>
  <c r="BD29" i="13"/>
  <c r="BB29" i="13"/>
  <c r="AV29" i="13"/>
  <c r="AU29" i="13"/>
  <c r="AS29" i="13"/>
  <c r="DF28" i="13"/>
  <c r="DC28" i="13"/>
  <c r="DG27" i="13"/>
  <c r="DC27" i="13"/>
  <c r="DG10" i="13" s="1"/>
  <c r="DB27" i="13"/>
  <c r="DB28" i="13" s="1"/>
  <c r="AX27" i="13"/>
  <c r="BG26" i="13"/>
  <c r="AX26" i="13"/>
  <c r="BG25" i="13"/>
  <c r="AX25" i="13"/>
  <c r="BG24" i="13"/>
  <c r="AX24" i="13"/>
  <c r="DL23" i="13"/>
  <c r="DQ23" i="13" s="1"/>
  <c r="DV23" i="13" s="1"/>
  <c r="AT23" i="13"/>
  <c r="AP23" i="13" a="1"/>
  <c r="AP27" i="13" s="1"/>
  <c r="R22" i="13"/>
  <c r="CS21" i="13"/>
  <c r="BE21" i="13" a="1"/>
  <c r="BE22" i="13" s="1"/>
  <c r="BD21" i="13"/>
  <c r="BD22" i="13" s="1"/>
  <c r="AV21" i="13" a="1"/>
  <c r="AU21" i="13"/>
  <c r="AU22" i="13" s="1"/>
  <c r="AU23" i="13" s="1"/>
  <c r="AT20" i="13"/>
  <c r="R20" i="13"/>
  <c r="CS19" i="13"/>
  <c r="BD19" i="13"/>
  <c r="BE18" i="13" a="1"/>
  <c r="BD18" i="13"/>
  <c r="AV19" i="13"/>
  <c r="AV18" i="13" a="1"/>
  <c r="AV18" i="13" s="1"/>
  <c r="AU18" i="13"/>
  <c r="AU19" i="13" s="1"/>
  <c r="AU20" i="13" s="1"/>
  <c r="R18" i="13"/>
  <c r="CS17" i="13"/>
  <c r="CI17" i="13"/>
  <c r="CM13" i="13" s="1"/>
  <c r="CA17" i="13"/>
  <c r="AT17" i="13"/>
  <c r="AU16" i="13"/>
  <c r="AU17" i="13" s="1"/>
  <c r="R16" i="13"/>
  <c r="CS15" i="13"/>
  <c r="CI15" i="13"/>
  <c r="CM12" i="13" s="1"/>
  <c r="CA15" i="13"/>
  <c r="BE15" i="13" a="1"/>
  <c r="BD15" i="13"/>
  <c r="BD16" i="13" s="1"/>
  <c r="AV15" i="13" a="1"/>
  <c r="AV15" i="13" s="1"/>
  <c r="AU15" i="13"/>
  <c r="G15" i="13"/>
  <c r="DV14" i="13"/>
  <c r="DQ14" i="13"/>
  <c r="DM14" i="13"/>
  <c r="DL14" i="13"/>
  <c r="DG14" i="13"/>
  <c r="AT14" i="13"/>
  <c r="G14" i="13"/>
  <c r="DV13" i="13"/>
  <c r="DQ13" i="13"/>
  <c r="DM13" i="13"/>
  <c r="DL13" i="13"/>
  <c r="CS13" i="13"/>
  <c r="CO13" i="13"/>
  <c r="CK17" i="13" s="1"/>
  <c r="CK18" i="13" s="1"/>
  <c r="CI13" i="13"/>
  <c r="CG13" i="13"/>
  <c r="CC17" i="13" s="1"/>
  <c r="CC18" i="13" s="1"/>
  <c r="CF13" i="13"/>
  <c r="CE13" i="13"/>
  <c r="CA13" i="13"/>
  <c r="CE11" i="13" s="1"/>
  <c r="BD13" i="13"/>
  <c r="BD14" i="13" s="1"/>
  <c r="G13" i="13"/>
  <c r="DV12" i="13"/>
  <c r="DQ12" i="13"/>
  <c r="DM12" i="13"/>
  <c r="DL12" i="13"/>
  <c r="DG12" i="13"/>
  <c r="CO12" i="13"/>
  <c r="CK15" i="13" s="1"/>
  <c r="CK16" i="13" s="1"/>
  <c r="CG12" i="13"/>
  <c r="CC15" i="13" s="1"/>
  <c r="CC16" i="13" s="1"/>
  <c r="CF12" i="13"/>
  <c r="CE12" i="13"/>
  <c r="BH12" i="13" a="1"/>
  <c r="BE12" i="13" a="1"/>
  <c r="BD12" i="13"/>
  <c r="BB22" i="13"/>
  <c r="BB14" i="13"/>
  <c r="BB12" i="13" a="1"/>
  <c r="BB20" i="13" s="1"/>
  <c r="AV13" i="13"/>
  <c r="AV12" i="13" a="1"/>
  <c r="AV12" i="13" s="1"/>
  <c r="AU12" i="13"/>
  <c r="AU13" i="13" s="1"/>
  <c r="AU14" i="13" s="1"/>
  <c r="AS17" i="13"/>
  <c r="AS12" i="13" a="1"/>
  <c r="AS23" i="13" s="1"/>
  <c r="G12" i="13"/>
  <c r="DV11" i="13"/>
  <c r="DQ11" i="13"/>
  <c r="DL11" i="13"/>
  <c r="DG11" i="13"/>
  <c r="CS11" i="13"/>
  <c r="CO11" i="13"/>
  <c r="CK13" i="13" s="1"/>
  <c r="CK14" i="13" s="1"/>
  <c r="CM11" i="13"/>
  <c r="CI11" i="13"/>
  <c r="CG11" i="13"/>
  <c r="CC13" i="13" s="1"/>
  <c r="CC14" i="13" s="1"/>
  <c r="CF11" i="13"/>
  <c r="CC11" i="13"/>
  <c r="CC12" i="13" s="1"/>
  <c r="CA11" i="13"/>
  <c r="G11" i="13"/>
  <c r="DV10" i="13"/>
  <c r="DQ10" i="13"/>
  <c r="DM10" i="13"/>
  <c r="R12" i="13" s="1"/>
  <c r="R14" i="13" s="1"/>
  <c r="DL10" i="13"/>
  <c r="CO10" i="13"/>
  <c r="CK11" i="13" s="1"/>
  <c r="CK12" i="13" s="1"/>
  <c r="CM10" i="13"/>
  <c r="CJ10" i="13"/>
  <c r="CJ12" i="13" s="1"/>
  <c r="CG10" i="13"/>
  <c r="CF10" i="13"/>
  <c r="CE10" i="13"/>
  <c r="BH10" i="13"/>
  <c r="R10" i="13"/>
  <c r="G10" i="13"/>
  <c r="DW14" i="13"/>
  <c r="CT32" i="13" s="1"/>
  <c r="DW10" i="13"/>
  <c r="CT27" i="13" s="1"/>
  <c r="CT28" i="13" s="1"/>
  <c r="DW9" i="13" a="1"/>
  <c r="DW13" i="13" s="1"/>
  <c r="CT31" i="13" s="1"/>
  <c r="DV9" i="13"/>
  <c r="DU11" i="13"/>
  <c r="DU9" i="13" a="1"/>
  <c r="DU13" i="13" s="1"/>
  <c r="DR9" i="13" a="1"/>
  <c r="DR14" i="13" s="1"/>
  <c r="DQ9" i="13"/>
  <c r="DP9" i="13" a="1"/>
  <c r="DL9" i="13"/>
  <c r="DK14" i="13"/>
  <c r="DK27" i="13" s="1"/>
  <c r="DK11" i="13"/>
  <c r="DK24" i="13" s="1"/>
  <c r="DK10" i="13"/>
  <c r="DK23" i="13" s="1"/>
  <c r="DK9" i="13" a="1"/>
  <c r="DK13" i="13" s="1"/>
  <c r="DK26" i="13" s="1"/>
  <c r="DG9" i="13"/>
  <c r="CO9" i="13"/>
  <c r="CK9" i="13" s="1"/>
  <c r="CK10" i="13" s="1"/>
  <c r="CI9" i="13"/>
  <c r="CM9" i="13" s="1"/>
  <c r="CF9" i="13"/>
  <c r="CA9" i="13"/>
  <c r="CE9" i="13" s="1"/>
  <c r="CM29" i="13" s="1" a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13" i="13"/>
  <c r="AO60" i="13" s="1"/>
  <c r="AP10" i="13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BH18" i="13" s="1" a="1"/>
  <c r="AA225" i="12"/>
  <c r="Z225" i="12"/>
  <c r="AB224" i="12"/>
  <c r="AA224" i="12"/>
  <c r="Z224" i="12"/>
  <c r="BH15" i="13" s="1" a="1"/>
  <c r="AB223" i="12"/>
  <c r="AA223" i="12"/>
  <c r="Z223" i="12"/>
  <c r="AB221" i="12"/>
  <c r="AA221" i="12"/>
  <c r="Z221" i="12"/>
  <c r="BH24" i="13" s="1" a="1"/>
  <c r="AB220" i="12"/>
  <c r="AA220" i="12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9" i="12"/>
  <c r="K178" i="12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L159" i="12"/>
  <c r="L186" i="12" s="1"/>
  <c r="L196" i="12" s="1"/>
  <c r="L211" i="12" s="1"/>
  <c r="L223" i="12" s="1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J158" i="12"/>
  <c r="J185" i="12" s="1"/>
  <c r="J195" i="12" s="1"/>
  <c r="J210" i="12" s="1"/>
  <c r="J222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L157" i="12"/>
  <c r="L184" i="12" s="1"/>
  <c r="L194" i="12" s="1"/>
  <c r="L209" i="12" s="1"/>
  <c r="L221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K155" i="12"/>
  <c r="K182" i="12" s="1"/>
  <c r="K192" i="12" s="1"/>
  <c r="K207" i="12" s="1"/>
  <c r="K219" i="12" s="1"/>
  <c r="N147" i="12"/>
  <c r="AG32" i="13" s="1"/>
  <c r="L147" i="12"/>
  <c r="J147" i="12"/>
  <c r="N146" i="12"/>
  <c r="AG31" i="13" s="1"/>
  <c r="M146" i="12"/>
  <c r="N145" i="12"/>
  <c r="AG30" i="13" s="1"/>
  <c r="J145" i="12"/>
  <c r="AG29" i="13"/>
  <c r="K144" i="12"/>
  <c r="AG28" i="13"/>
  <c r="AG27" i="13"/>
  <c r="M142" i="12"/>
  <c r="AG26" i="13"/>
  <c r="J141" i="12"/>
  <c r="J140" i="12"/>
  <c r="T136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T132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L162" i="12" s="1"/>
  <c r="L189" i="12" s="1"/>
  <c r="L199" i="12" s="1"/>
  <c r="L214" i="12" s="1"/>
  <c r="L226" i="12" s="1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L144" i="12" s="1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L142" i="12" s="1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DB89" i="12"/>
  <c r="CY89" i="12"/>
  <c r="CX89" i="12"/>
  <c r="CU89" i="12"/>
  <c r="CT89" i="12"/>
  <c r="CQ89" i="12"/>
  <c r="CP89" i="12"/>
  <c r="CO89" i="12"/>
  <c r="CN89" i="12"/>
  <c r="CM89" i="12"/>
  <c r="DA89" i="12" s="1"/>
  <c r="CL89" i="12"/>
  <c r="CZ89" i="12" s="1"/>
  <c r="CK89" i="12"/>
  <c r="CJ89" i="12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B89" i="12"/>
  <c r="DB88" i="12"/>
  <c r="DA88" i="12"/>
  <c r="CX88" i="12"/>
  <c r="CW88" i="12"/>
  <c r="CT88" i="12"/>
  <c r="CS88" i="12"/>
  <c r="CP88" i="12"/>
  <c r="CO88" i="12"/>
  <c r="DC88" i="12" s="1"/>
  <c r="CN88" i="12"/>
  <c r="CM88" i="12"/>
  <c r="CL88" i="12"/>
  <c r="CZ88" i="12" s="1"/>
  <c r="CK88" i="12"/>
  <c r="CY88" i="12" s="1"/>
  <c r="CJ88" i="12"/>
  <c r="CI88" i="12"/>
  <c r="CH88" i="12"/>
  <c r="CV88" i="12" s="1"/>
  <c r="CG88" i="12"/>
  <c r="CU88" i="12" s="1"/>
  <c r="CF88" i="12"/>
  <c r="CE88" i="12"/>
  <c r="CD88" i="12"/>
  <c r="CR88" i="12" s="1"/>
  <c r="CC88" i="12"/>
  <c r="CQ88" i="12" s="1"/>
  <c r="CB88" i="12"/>
  <c r="DP87" i="12"/>
  <c r="DN87" i="12"/>
  <c r="DL87" i="12"/>
  <c r="DJ87" i="12"/>
  <c r="DH87" i="12"/>
  <c r="DB87" i="12"/>
  <c r="DA87" i="12"/>
  <c r="CX87" i="12"/>
  <c r="CW87" i="12"/>
  <c r="CT87" i="12"/>
  <c r="CS87" i="12"/>
  <c r="CP87" i="12"/>
  <c r="CO87" i="12"/>
  <c r="DC87" i="12" s="1"/>
  <c r="CN87" i="12"/>
  <c r="CM87" i="12"/>
  <c r="CL87" i="12"/>
  <c r="CZ87" i="12" s="1"/>
  <c r="CK87" i="12"/>
  <c r="CY87" i="12" s="1"/>
  <c r="CJ87" i="12"/>
  <c r="CI87" i="12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AE87" i="12"/>
  <c r="DP86" i="12"/>
  <c r="DN86" i="12"/>
  <c r="DL86" i="12"/>
  <c r="DJ86" i="12"/>
  <c r="DH86" i="12"/>
  <c r="DF86" i="12"/>
  <c r="DC86" i="12"/>
  <c r="DB86" i="12"/>
  <c r="CY86" i="12"/>
  <c r="CX86" i="12"/>
  <c r="CU86" i="12"/>
  <c r="CT86" i="12"/>
  <c r="CQ86" i="12"/>
  <c r="CP86" i="12"/>
  <c r="CO86" i="12"/>
  <c r="CN86" i="12"/>
  <c r="CM86" i="12"/>
  <c r="DA86" i="12" s="1"/>
  <c r="CL86" i="12"/>
  <c r="CZ86" i="12" s="1"/>
  <c r="CK86" i="12"/>
  <c r="CJ86" i="12"/>
  <c r="CI86" i="12"/>
  <c r="CW86" i="12" s="1"/>
  <c r="CH86" i="12"/>
  <c r="CV86" i="12" s="1"/>
  <c r="CG86" i="12"/>
  <c r="CF86" i="12"/>
  <c r="CE86" i="12"/>
  <c r="CS86" i="12" s="1"/>
  <c r="CD86" i="12"/>
  <c r="CR86" i="12" s="1"/>
  <c r="CC86" i="12"/>
  <c r="CB86" i="12"/>
  <c r="T86" i="12"/>
  <c r="DP85" i="12"/>
  <c r="DN85" i="12"/>
  <c r="DL85" i="12"/>
  <c r="DJ85" i="12"/>
  <c r="DH85" i="12"/>
  <c r="DC85" i="12"/>
  <c r="CZ85" i="12"/>
  <c r="CY85" i="12"/>
  <c r="CV85" i="12"/>
  <c r="CU85" i="12"/>
  <c r="CR85" i="12"/>
  <c r="CQ85" i="12"/>
  <c r="CO85" i="12"/>
  <c r="CN85" i="12"/>
  <c r="DB85" i="12" s="1"/>
  <c r="CM85" i="12"/>
  <c r="DA85" i="12" s="1"/>
  <c r="CL85" i="12"/>
  <c r="CK85" i="12"/>
  <c r="CJ85" i="12"/>
  <c r="CX85" i="12" s="1"/>
  <c r="CI85" i="12"/>
  <c r="CW85" i="12" s="1"/>
  <c r="CH85" i="12"/>
  <c r="CG85" i="12"/>
  <c r="CF85" i="12"/>
  <c r="CT85" i="12" s="1"/>
  <c r="CE85" i="12"/>
  <c r="CS85" i="12" s="1"/>
  <c r="CD85" i="12"/>
  <c r="CC85" i="12"/>
  <c r="CB85" i="12"/>
  <c r="CP85" i="12" s="1"/>
  <c r="DP84" i="12"/>
  <c r="DN84" i="12"/>
  <c r="DB84" i="12"/>
  <c r="DA84" i="12"/>
  <c r="CX84" i="12"/>
  <c r="CW84" i="12"/>
  <c r="CT84" i="12"/>
  <c r="CS84" i="12"/>
  <c r="CP84" i="12"/>
  <c r="CO84" i="12"/>
  <c r="DC84" i="12" s="1"/>
  <c r="CN84" i="12"/>
  <c r="CM84" i="12"/>
  <c r="CL84" i="12"/>
  <c r="CZ84" i="12" s="1"/>
  <c r="CK84" i="12"/>
  <c r="CY84" i="12" s="1"/>
  <c r="CJ84" i="12"/>
  <c r="CI84" i="12"/>
  <c r="CH84" i="12"/>
  <c r="CV84" i="12" s="1"/>
  <c r="CG84" i="12"/>
  <c r="CU84" i="12" s="1"/>
  <c r="CF84" i="12"/>
  <c r="CE84" i="12"/>
  <c r="CD84" i="12"/>
  <c r="CR84" i="12" s="1"/>
  <c r="CC84" i="12"/>
  <c r="CQ84" i="12" s="1"/>
  <c r="CB84" i="12"/>
  <c r="DL83" i="12"/>
  <c r="DJ83" i="12"/>
  <c r="DH83" i="12"/>
  <c r="DF83" i="12"/>
  <c r="DB83" i="12"/>
  <c r="DA83" i="12"/>
  <c r="CX83" i="12"/>
  <c r="CW83" i="12"/>
  <c r="CT83" i="12"/>
  <c r="CS83" i="12"/>
  <c r="CP83" i="12"/>
  <c r="CO83" i="12"/>
  <c r="DC83" i="12" s="1"/>
  <c r="CN83" i="12"/>
  <c r="CM83" i="12"/>
  <c r="CL83" i="12"/>
  <c r="CZ83" i="12" s="1"/>
  <c r="CK83" i="12"/>
  <c r="CY83" i="12" s="1"/>
  <c r="CJ83" i="12"/>
  <c r="CI83" i="12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K83" i="12"/>
  <c r="DP82" i="12"/>
  <c r="DN82" i="12"/>
  <c r="DL82" i="12"/>
  <c r="DJ82" i="12"/>
  <c r="DH82" i="12"/>
  <c r="DF82" i="12"/>
  <c r="DA82" i="12"/>
  <c r="CZ82" i="12"/>
  <c r="CW82" i="12"/>
  <c r="CV82" i="12"/>
  <c r="CS82" i="12"/>
  <c r="CR82" i="12"/>
  <c r="CO82" i="12"/>
  <c r="DC82" i="12" s="1"/>
  <c r="CN82" i="12"/>
  <c r="DB82" i="12" s="1"/>
  <c r="CM82" i="12"/>
  <c r="CL82" i="12"/>
  <c r="CK82" i="12"/>
  <c r="CY82" i="12" s="1"/>
  <c r="CJ82" i="12"/>
  <c r="CX82" i="12" s="1"/>
  <c r="CI82" i="12"/>
  <c r="CH82" i="12"/>
  <c r="CG82" i="12"/>
  <c r="CU82" i="12" s="1"/>
  <c r="CF82" i="12"/>
  <c r="CT82" i="12" s="1"/>
  <c r="CE82" i="12"/>
  <c r="CD82" i="12"/>
  <c r="CC82" i="12"/>
  <c r="CQ82" i="12" s="1"/>
  <c r="CB82" i="12"/>
  <c r="CP82" i="12" s="1"/>
  <c r="DN81" i="12"/>
  <c r="DL81" i="12"/>
  <c r="DI81" i="12"/>
  <c r="DH81" i="12"/>
  <c r="DA81" i="12"/>
  <c r="CZ81" i="12"/>
  <c r="CW81" i="12"/>
  <c r="CV81" i="12"/>
  <c r="CS81" i="12"/>
  <c r="CR81" i="12"/>
  <c r="CO81" i="12"/>
  <c r="DC81" i="12" s="1"/>
  <c r="CN81" i="12"/>
  <c r="DB81" i="12" s="1"/>
  <c r="CM81" i="12"/>
  <c r="CL81" i="12"/>
  <c r="CK81" i="12"/>
  <c r="CY81" i="12" s="1"/>
  <c r="CJ81" i="12"/>
  <c r="CX81" i="12" s="1"/>
  <c r="CI81" i="12"/>
  <c r="CH81" i="12"/>
  <c r="CG81" i="12"/>
  <c r="CU81" i="12" s="1"/>
  <c r="CF81" i="12"/>
  <c r="CT81" i="12" s="1"/>
  <c r="CE81" i="12"/>
  <c r="CD81" i="12"/>
  <c r="CC81" i="12"/>
  <c r="CQ81" i="12" s="1"/>
  <c r="CB81" i="12"/>
  <c r="CP81" i="12" s="1"/>
  <c r="DN80" i="12"/>
  <c r="DL80" i="12"/>
  <c r="DJ80" i="12"/>
  <c r="DH80" i="12"/>
  <c r="DA80" i="12"/>
  <c r="CZ80" i="12"/>
  <c r="CW80" i="12"/>
  <c r="CV80" i="12"/>
  <c r="CS80" i="12"/>
  <c r="CR80" i="12"/>
  <c r="CO80" i="12"/>
  <c r="DC80" i="12" s="1"/>
  <c r="CN80" i="12"/>
  <c r="DB80" i="12" s="1"/>
  <c r="CM80" i="12"/>
  <c r="CL80" i="12"/>
  <c r="CK80" i="12"/>
  <c r="CY80" i="12" s="1"/>
  <c r="CJ80" i="12"/>
  <c r="CX80" i="12" s="1"/>
  <c r="CI80" i="12"/>
  <c r="CH80" i="12"/>
  <c r="CG80" i="12"/>
  <c r="CU80" i="12" s="1"/>
  <c r="CF80" i="12"/>
  <c r="CT80" i="12" s="1"/>
  <c r="CE80" i="12"/>
  <c r="CD80" i="12"/>
  <c r="CC80" i="12"/>
  <c r="CQ80" i="12" s="1"/>
  <c r="CB80" i="12"/>
  <c r="CP80" i="12" s="1"/>
  <c r="N80" i="12"/>
  <c r="DL79" i="12"/>
  <c r="DJ79" i="12"/>
  <c r="DH79" i="12"/>
  <c r="DF79" i="12"/>
  <c r="DA79" i="12"/>
  <c r="CZ79" i="12"/>
  <c r="CW79" i="12"/>
  <c r="CV79" i="12"/>
  <c r="CS79" i="12"/>
  <c r="CR79" i="12"/>
  <c r="CO79" i="12"/>
  <c r="DC79" i="12" s="1"/>
  <c r="CN79" i="12"/>
  <c r="DB79" i="12" s="1"/>
  <c r="CM79" i="12"/>
  <c r="CL79" i="12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C79" i="12"/>
  <c r="CQ79" i="12" s="1"/>
  <c r="CB79" i="12"/>
  <c r="CP79" i="12" s="1"/>
  <c r="DL78" i="12"/>
  <c r="DJ78" i="12"/>
  <c r="DH78" i="12"/>
  <c r="DC78" i="12"/>
  <c r="CZ78" i="12"/>
  <c r="CY78" i="12"/>
  <c r="CV78" i="12"/>
  <c r="CU78" i="12"/>
  <c r="CR78" i="12"/>
  <c r="CQ78" i="12"/>
  <c r="CO78" i="12"/>
  <c r="CN78" i="12"/>
  <c r="DB78" i="12" s="1"/>
  <c r="CM78" i="12"/>
  <c r="DA78" i="12" s="1"/>
  <c r="CL78" i="12"/>
  <c r="CK78" i="12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B78" i="12"/>
  <c r="CP78" i="12" s="1"/>
  <c r="U78" i="12"/>
  <c r="DN77" i="12"/>
  <c r="DL77" i="12"/>
  <c r="DJ77" i="12"/>
  <c r="DH77" i="12"/>
  <c r="DC77" i="12"/>
  <c r="CZ77" i="12"/>
  <c r="CY77" i="12"/>
  <c r="CV77" i="12"/>
  <c r="CU77" i="12"/>
  <c r="CR77" i="12"/>
  <c r="CQ77" i="12"/>
  <c r="CO77" i="12"/>
  <c r="CN77" i="12"/>
  <c r="DB77" i="12" s="1"/>
  <c r="CM77" i="12"/>
  <c r="DA77" i="12" s="1"/>
  <c r="CL77" i="12"/>
  <c r="CK77" i="12"/>
  <c r="CJ77" i="12"/>
  <c r="CX77" i="12" s="1"/>
  <c r="CI77" i="12"/>
  <c r="CW77" i="12" s="1"/>
  <c r="CH77" i="12"/>
  <c r="CG77" i="12"/>
  <c r="CF77" i="12"/>
  <c r="CT77" i="12" s="1"/>
  <c r="CE77" i="12"/>
  <c r="CS77" i="12" s="1"/>
  <c r="CD77" i="12"/>
  <c r="CC77" i="12"/>
  <c r="CB77" i="12"/>
  <c r="CP77" i="12" s="1"/>
  <c r="U77" i="12"/>
  <c r="DH76" i="12"/>
  <c r="DA76" i="12"/>
  <c r="CZ76" i="12"/>
  <c r="CW76" i="12"/>
  <c r="CV76" i="12"/>
  <c r="CS76" i="12"/>
  <c r="CR76" i="12"/>
  <c r="CO76" i="12"/>
  <c r="DC76" i="12" s="1"/>
  <c r="CN76" i="12"/>
  <c r="DB76" i="12" s="1"/>
  <c r="CM76" i="12"/>
  <c r="CL76" i="12"/>
  <c r="CK76" i="12"/>
  <c r="CY76" i="12" s="1"/>
  <c r="CJ76" i="12"/>
  <c r="CX76" i="12" s="1"/>
  <c r="CI76" i="12"/>
  <c r="CH76" i="12"/>
  <c r="CG76" i="12"/>
  <c r="CU76" i="12" s="1"/>
  <c r="CF76" i="12"/>
  <c r="CT76" i="12" s="1"/>
  <c r="CE76" i="12"/>
  <c r="CD76" i="12"/>
  <c r="CC76" i="12"/>
  <c r="CQ76" i="12" s="1"/>
  <c r="CB76" i="12"/>
  <c r="CP76" i="12" s="1"/>
  <c r="K76" i="12"/>
  <c r="DP75" i="12"/>
  <c r="DO75" i="12"/>
  <c r="DN75" i="12"/>
  <c r="DL75" i="12"/>
  <c r="DJ75" i="12"/>
  <c r="DH75" i="12"/>
  <c r="DC75" i="12"/>
  <c r="CZ75" i="12"/>
  <c r="CY75" i="12"/>
  <c r="CV75" i="12"/>
  <c r="CU75" i="12"/>
  <c r="CR75" i="12"/>
  <c r="CQ75" i="12"/>
  <c r="CO75" i="12"/>
  <c r="CN75" i="12"/>
  <c r="DB75" i="12" s="1"/>
  <c r="CM75" i="12"/>
  <c r="DA75" i="12" s="1"/>
  <c r="CL75" i="12"/>
  <c r="CK75" i="12"/>
  <c r="CJ75" i="12"/>
  <c r="CX75" i="12" s="1"/>
  <c r="CI75" i="12"/>
  <c r="CW75" i="12" s="1"/>
  <c r="CH75" i="12"/>
  <c r="CG75" i="12"/>
  <c r="CF75" i="12"/>
  <c r="CT75" i="12" s="1"/>
  <c r="CE75" i="12"/>
  <c r="CS75" i="12" s="1"/>
  <c r="CD75" i="12"/>
  <c r="CC75" i="12"/>
  <c r="CB75" i="12"/>
  <c r="CP75" i="12" s="1"/>
  <c r="DJ74" i="12"/>
  <c r="DH74" i="12"/>
  <c r="DF74" i="12"/>
  <c r="DC74" i="12"/>
  <c r="DB74" i="12"/>
  <c r="CY74" i="12"/>
  <c r="CX74" i="12"/>
  <c r="CU74" i="12"/>
  <c r="CT74" i="12"/>
  <c r="CQ74" i="12"/>
  <c r="CP74" i="12"/>
  <c r="CO74" i="12"/>
  <c r="CN74" i="12"/>
  <c r="CM74" i="12"/>
  <c r="DA74" i="12" s="1"/>
  <c r="CL74" i="12"/>
  <c r="CZ74" i="12" s="1"/>
  <c r="CK74" i="12"/>
  <c r="CJ74" i="12"/>
  <c r="CI74" i="12"/>
  <c r="CW74" i="12" s="1"/>
  <c r="CH74" i="12"/>
  <c r="CV74" i="12" s="1"/>
  <c r="CG74" i="12"/>
  <c r="CF74" i="12"/>
  <c r="CE74" i="12"/>
  <c r="CS74" i="12" s="1"/>
  <c r="CD74" i="12"/>
  <c r="CR74" i="12" s="1"/>
  <c r="CC74" i="12"/>
  <c r="CB74" i="12"/>
  <c r="K74" i="12"/>
  <c r="DP73" i="12"/>
  <c r="DN73" i="12"/>
  <c r="DL73" i="12"/>
  <c r="DJ73" i="12"/>
  <c r="DC73" i="12"/>
  <c r="CZ73" i="12"/>
  <c r="CY73" i="12"/>
  <c r="CV73" i="12"/>
  <c r="CU73" i="12"/>
  <c r="CR73" i="12"/>
  <c r="CQ73" i="12"/>
  <c r="CO73" i="12"/>
  <c r="CN73" i="12"/>
  <c r="DB73" i="12" s="1"/>
  <c r="CM73" i="12"/>
  <c r="DA73" i="12" s="1"/>
  <c r="CL73" i="12"/>
  <c r="CK73" i="12"/>
  <c r="CJ73" i="12"/>
  <c r="CX73" i="12" s="1"/>
  <c r="CI73" i="12"/>
  <c r="CW73" i="12" s="1"/>
  <c r="CH73" i="12"/>
  <c r="CG73" i="12"/>
  <c r="CF73" i="12"/>
  <c r="CT73" i="12" s="1"/>
  <c r="CE73" i="12"/>
  <c r="CS73" i="12" s="1"/>
  <c r="CD73" i="12"/>
  <c r="CC73" i="12"/>
  <c r="CB73" i="12"/>
  <c r="CP73" i="12" s="1"/>
  <c r="U73" i="12"/>
  <c r="K73" i="12"/>
  <c r="DA72" i="12"/>
  <c r="CZ72" i="12"/>
  <c r="CW72" i="12"/>
  <c r="CV72" i="12"/>
  <c r="CS72" i="12"/>
  <c r="CR72" i="12"/>
  <c r="CO72" i="12"/>
  <c r="DC72" i="12" s="1"/>
  <c r="CN72" i="12"/>
  <c r="DB72" i="12" s="1"/>
  <c r="CM72" i="12"/>
  <c r="CL72" i="12"/>
  <c r="CK72" i="12"/>
  <c r="CY72" i="12" s="1"/>
  <c r="CJ72" i="12"/>
  <c r="CX72" i="12" s="1"/>
  <c r="CI72" i="12"/>
  <c r="CH72" i="12"/>
  <c r="CG72" i="12"/>
  <c r="CU72" i="12" s="1"/>
  <c r="CF72" i="12"/>
  <c r="CT72" i="12" s="1"/>
  <c r="CE72" i="12"/>
  <c r="CD72" i="12"/>
  <c r="CC72" i="12"/>
  <c r="CQ72" i="12" s="1"/>
  <c r="CB72" i="12"/>
  <c r="CP72" i="12" s="1"/>
  <c r="R72" i="12"/>
  <c r="DF71" i="12"/>
  <c r="DB71" i="12"/>
  <c r="DA71" i="12"/>
  <c r="CX71" i="12"/>
  <c r="CW71" i="12"/>
  <c r="CT71" i="12"/>
  <c r="CS71" i="12"/>
  <c r="CP71" i="12"/>
  <c r="CO71" i="12"/>
  <c r="DC71" i="12" s="1"/>
  <c r="CN71" i="12"/>
  <c r="CM71" i="12"/>
  <c r="CL71" i="12"/>
  <c r="CZ71" i="12" s="1"/>
  <c r="CK71" i="12"/>
  <c r="CY71" i="12" s="1"/>
  <c r="CJ71" i="12"/>
  <c r="CI71" i="12"/>
  <c r="CH71" i="12"/>
  <c r="CV71" i="12" s="1"/>
  <c r="CG71" i="12"/>
  <c r="CU71" i="12" s="1"/>
  <c r="CF71" i="12"/>
  <c r="CE71" i="12"/>
  <c r="CD71" i="12"/>
  <c r="CR71" i="12" s="1"/>
  <c r="CC71" i="12"/>
  <c r="CQ71" i="12" s="1"/>
  <c r="CB71" i="12"/>
  <c r="DP70" i="12"/>
  <c r="DN70" i="12"/>
  <c r="DL70" i="12"/>
  <c r="DJ70" i="12"/>
  <c r="DH70" i="12"/>
  <c r="DC70" i="12"/>
  <c r="CY70" i="12"/>
  <c r="CX70" i="12"/>
  <c r="CU70" i="12"/>
  <c r="CR70" i="12"/>
  <c r="CQ70" i="12"/>
  <c r="CO70" i="12"/>
  <c r="CN70" i="12"/>
  <c r="DB70" i="12" s="1"/>
  <c r="CM70" i="12"/>
  <c r="DA70" i="12" s="1"/>
  <c r="CL70" i="12"/>
  <c r="CZ70" i="12" s="1"/>
  <c r="CK70" i="12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C70" i="12"/>
  <c r="CB70" i="12"/>
  <c r="CP70" i="12" s="1"/>
  <c r="T70" i="12"/>
  <c r="DC69" i="12"/>
  <c r="CZ69" i="12"/>
  <c r="CY69" i="12"/>
  <c r="CV69" i="12"/>
  <c r="CU69" i="12"/>
  <c r="CR69" i="12"/>
  <c r="CQ69" i="12"/>
  <c r="CO69" i="12"/>
  <c r="CN69" i="12"/>
  <c r="DB69" i="12" s="1"/>
  <c r="CM69" i="12"/>
  <c r="DA69" i="12" s="1"/>
  <c r="CL69" i="12"/>
  <c r="CK69" i="12"/>
  <c r="CJ69" i="12"/>
  <c r="CX69" i="12" s="1"/>
  <c r="CI69" i="12"/>
  <c r="CW69" i="12" s="1"/>
  <c r="CH69" i="12"/>
  <c r="CG69" i="12"/>
  <c r="CF69" i="12"/>
  <c r="CT69" i="12" s="1"/>
  <c r="CE69" i="12"/>
  <c r="CS69" i="12" s="1"/>
  <c r="CD69" i="12"/>
  <c r="CC69" i="12"/>
  <c r="CB69" i="12"/>
  <c r="CP69" i="12" s="1"/>
  <c r="T69" i="12"/>
  <c r="DC68" i="12"/>
  <c r="CZ68" i="12"/>
  <c r="CY68" i="12"/>
  <c r="CV68" i="12"/>
  <c r="CU68" i="12"/>
  <c r="CR68" i="12"/>
  <c r="CQ68" i="12"/>
  <c r="CO68" i="12"/>
  <c r="CN68" i="12"/>
  <c r="DB68" i="12" s="1"/>
  <c r="CM68" i="12"/>
  <c r="DA68" i="12" s="1"/>
  <c r="CL68" i="12"/>
  <c r="CK68" i="12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C68" i="12"/>
  <c r="CB68" i="12"/>
  <c r="CP68" i="12" s="1"/>
  <c r="T68" i="12"/>
  <c r="DF67" i="12"/>
  <c r="DA67" i="12"/>
  <c r="CZ67" i="12"/>
  <c r="CW67" i="12"/>
  <c r="CV67" i="12"/>
  <c r="CS67" i="12"/>
  <c r="CR67" i="12"/>
  <c r="CO67" i="12"/>
  <c r="DC67" i="12" s="1"/>
  <c r="CN67" i="12"/>
  <c r="DB67" i="12" s="1"/>
  <c r="CM67" i="12"/>
  <c r="CL67" i="12"/>
  <c r="CK67" i="12"/>
  <c r="CY67" i="12" s="1"/>
  <c r="CJ67" i="12"/>
  <c r="CX67" i="12" s="1"/>
  <c r="CI67" i="12"/>
  <c r="CH67" i="12"/>
  <c r="CG67" i="12"/>
  <c r="CU67" i="12" s="1"/>
  <c r="CF67" i="12"/>
  <c r="CT67" i="12" s="1"/>
  <c r="CE67" i="12"/>
  <c r="CD67" i="12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Z57" i="12" s="1"/>
  <c r="O89" i="12" s="1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Z56" i="12" s="1"/>
  <c r="O88" i="12" s="1"/>
  <c r="Y55" i="12"/>
  <c r="N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Z55" i="12" s="1"/>
  <c r="O87" i="12" s="1"/>
  <c r="Y54" i="12"/>
  <c r="N86" i="12" s="1"/>
  <c r="X54" i="12"/>
  <c r="V86" i="12" s="1"/>
  <c r="W54" i="12"/>
  <c r="U86" i="12" s="1"/>
  <c r="V54" i="12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Q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AA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P49" i="12"/>
  <c r="N49" i="12"/>
  <c r="Z49" i="12" s="1"/>
  <c r="O81" i="12" s="1"/>
  <c r="Y48" i="12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P47" i="12"/>
  <c r="N47" i="12"/>
  <c r="Z47" i="12" s="1"/>
  <c r="O79" i="12" s="1"/>
  <c r="Y46" i="12"/>
  <c r="N78" i="12" s="1"/>
  <c r="X46" i="12"/>
  <c r="V78" i="12" s="1"/>
  <c r="W46" i="12"/>
  <c r="V46" i="12"/>
  <c r="T78" i="12" s="1"/>
  <c r="AA78" i="12" s="1"/>
  <c r="U46" i="12"/>
  <c r="S78" i="12" s="1"/>
  <c r="T46" i="12"/>
  <c r="R78" i="12" s="1"/>
  <c r="S46" i="12"/>
  <c r="R46" i="12"/>
  <c r="Q46" i="12"/>
  <c r="N46" i="12"/>
  <c r="Z46" i="12" s="1"/>
  <c r="O78" i="12" s="1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P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N44" i="12"/>
  <c r="Z44" i="12" s="1"/>
  <c r="O76" i="12" s="1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P41" i="12"/>
  <c r="N41" i="12"/>
  <c r="Z41" i="12" s="1"/>
  <c r="O73" i="12" s="1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O39" i="12"/>
  <c r="Y38" i="12"/>
  <c r="N70" i="12" s="1"/>
  <c r="X38" i="12"/>
  <c r="V70" i="12" s="1"/>
  <c r="Q70" i="12" s="1"/>
  <c r="W38" i="12"/>
  <c r="U70" i="12" s="1"/>
  <c r="V38" i="12"/>
  <c r="U38" i="12"/>
  <c r="S70" i="12" s="1"/>
  <c r="T38" i="12"/>
  <c r="R70" i="12" s="1"/>
  <c r="S38" i="12"/>
  <c r="R38" i="12"/>
  <c r="Q38" i="12"/>
  <c r="Y37" i="12"/>
  <c r="N69" i="12" s="1"/>
  <c r="X37" i="12"/>
  <c r="V69" i="12" s="1"/>
  <c r="Q69" i="12" s="1"/>
  <c r="W37" i="12"/>
  <c r="U69" i="12" s="1"/>
  <c r="V37" i="12"/>
  <c r="U37" i="12"/>
  <c r="S69" i="12" s="1"/>
  <c r="T37" i="12"/>
  <c r="R69" i="12" s="1"/>
  <c r="S37" i="12"/>
  <c r="R37" i="12"/>
  <c r="Q37" i="12"/>
  <c r="O37" i="12"/>
  <c r="Y36" i="12"/>
  <c r="N68" i="12" s="1"/>
  <c r="X36" i="12"/>
  <c r="V68" i="12" s="1"/>
  <c r="W36" i="12"/>
  <c r="U68" i="12" s="1"/>
  <c r="V36" i="12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M98" i="12" s="1"/>
  <c r="M120" i="12" s="1"/>
  <c r="AE27" i="12"/>
  <c r="AB27" i="12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Z53" i="12" s="1"/>
  <c r="O85" i="12" s="1"/>
  <c r="P22" i="12"/>
  <c r="P52" i="12" s="1"/>
  <c r="O22" i="12"/>
  <c r="N22" i="12"/>
  <c r="AB21" i="12"/>
  <c r="AE21" i="12" s="1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AE20" i="12"/>
  <c r="AB20" i="12"/>
  <c r="P20" i="12"/>
  <c r="O20" i="12"/>
  <c r="O50" i="12" s="1"/>
  <c r="N20" i="12"/>
  <c r="Z20" i="12" s="1"/>
  <c r="AC20" i="12" s="1"/>
  <c r="AF20" i="12" s="1"/>
  <c r="AB19" i="12"/>
  <c r="AE19" i="12" s="1"/>
  <c r="Z19" i="12"/>
  <c r="AC19" i="12" s="1"/>
  <c r="AF19" i="12" s="1"/>
  <c r="P19" i="12"/>
  <c r="O19" i="12"/>
  <c r="O49" i="12" s="1"/>
  <c r="N19" i="12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AB17" i="12" s="1"/>
  <c r="AE17" i="12" s="1"/>
  <c r="O17" i="12"/>
  <c r="O47" i="12" s="1"/>
  <c r="N17" i="12"/>
  <c r="P16" i="12"/>
  <c r="AB16" i="12" s="1"/>
  <c r="AE16" i="12" s="1"/>
  <c r="O16" i="12"/>
  <c r="O46" i="12" s="1"/>
  <c r="N16" i="12"/>
  <c r="Z16" i="12" s="1"/>
  <c r="AC16" i="12" s="1"/>
  <c r="AF16" i="12" s="1"/>
  <c r="AB15" i="12"/>
  <c r="AE15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Z14" i="12" s="1"/>
  <c r="AC14" i="12" s="1"/>
  <c r="AF14" i="12" s="1"/>
  <c r="K14" i="12"/>
  <c r="AE13" i="12"/>
  <c r="AB13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Z11" i="12"/>
  <c r="AC11" i="12" s="1"/>
  <c r="AF11" i="12" s="1"/>
  <c r="P11" i="12"/>
  <c r="AB11" i="12" s="1"/>
  <c r="AE11" i="12" s="1"/>
  <c r="O11" i="12"/>
  <c r="O41" i="12" s="1"/>
  <c r="N11" i="12"/>
  <c r="K11" i="12"/>
  <c r="AB10" i="12"/>
  <c r="AE10" i="12" s="1"/>
  <c r="Z10" i="12"/>
  <c r="AC10" i="12" s="1"/>
  <c r="AF10" i="12" s="1"/>
  <c r="P10" i="12"/>
  <c r="P40" i="12" s="1"/>
  <c r="O10" i="12"/>
  <c r="O40" i="12" s="1"/>
  <c r="N10" i="12"/>
  <c r="N40" i="12" s="1"/>
  <c r="Z40" i="12" s="1"/>
  <c r="O72" i="12" s="1"/>
  <c r="P9" i="12"/>
  <c r="P39" i="12" s="1"/>
  <c r="O9" i="12"/>
  <c r="N9" i="12"/>
  <c r="AC8" i="12"/>
  <c r="AF8" i="12" s="1"/>
  <c r="Z8" i="12"/>
  <c r="P8" i="12"/>
  <c r="AB8" i="12" s="1"/>
  <c r="AE8" i="12" s="1"/>
  <c r="O8" i="12"/>
  <c r="O38" i="12" s="1"/>
  <c r="N8" i="12"/>
  <c r="N38" i="12" s="1"/>
  <c r="Z38" i="12" s="1"/>
  <c r="O70" i="12" s="1"/>
  <c r="P7" i="12"/>
  <c r="P37" i="12" s="1"/>
  <c r="O7" i="12"/>
  <c r="N7" i="12"/>
  <c r="AC6" i="12"/>
  <c r="AF6" i="12" s="1"/>
  <c r="AB6" i="12"/>
  <c r="AE6" i="12" s="1"/>
  <c r="Z6" i="12"/>
  <c r="P6" i="12"/>
  <c r="P36" i="12" s="1"/>
  <c r="O6" i="12"/>
  <c r="O36" i="12" s="1"/>
  <c r="N6" i="12"/>
  <c r="N36" i="12" s="1"/>
  <c r="AB5" i="12"/>
  <c r="AE5" i="12" s="1"/>
  <c r="P5" i="12"/>
  <c r="P35" i="12" s="1"/>
  <c r="O5" i="12"/>
  <c r="N5" i="12"/>
  <c r="M4" i="12"/>
  <c r="W164" i="11"/>
  <c r="U163" i="11"/>
  <c r="Z154" i="11"/>
  <c r="Z146" i="11"/>
  <c r="R146" i="11"/>
  <c r="W139" i="11"/>
  <c r="W166" i="11" s="1"/>
  <c r="Y138" i="11"/>
  <c r="U138" i="11"/>
  <c r="Q138" i="11"/>
  <c r="M138" i="11"/>
  <c r="W137" i="11"/>
  <c r="S137" i="11"/>
  <c r="S164" i="11" s="1"/>
  <c r="Y136" i="11"/>
  <c r="Y163" i="11" s="1"/>
  <c r="U136" i="11"/>
  <c r="Q136" i="11"/>
  <c r="Q163" i="11" s="1"/>
  <c r="M136" i="11"/>
  <c r="W135" i="11"/>
  <c r="W162" i="11" s="1"/>
  <c r="Y134" i="11"/>
  <c r="Y161" i="11" s="1"/>
  <c r="N134" i="11"/>
  <c r="N161" i="11" s="1"/>
  <c r="W133" i="11"/>
  <c r="W160" i="11" s="1"/>
  <c r="Z132" i="11"/>
  <c r="Z159" i="11" s="1"/>
  <c r="U132" i="11"/>
  <c r="U159" i="11" s="1"/>
  <c r="V130" i="11"/>
  <c r="V157" i="11" s="1"/>
  <c r="Q130" i="11"/>
  <c r="Q157" i="11" s="1"/>
  <c r="T129" i="11"/>
  <c r="T156" i="11" s="1"/>
  <c r="O129" i="11"/>
  <c r="O156" i="11" s="1"/>
  <c r="M129" i="11"/>
  <c r="W128" i="11"/>
  <c r="W155" i="11" s="1"/>
  <c r="M128" i="11"/>
  <c r="U127" i="11"/>
  <c r="U154" i="11" s="1"/>
  <c r="Y126" i="11"/>
  <c r="Y153" i="11" s="1"/>
  <c r="S126" i="11"/>
  <c r="S153" i="11" s="1"/>
  <c r="W125" i="11"/>
  <c r="W152" i="11" s="1"/>
  <c r="Q125" i="11"/>
  <c r="Q152" i="11" s="1"/>
  <c r="U124" i="11"/>
  <c r="U151" i="11" s="1"/>
  <c r="O124" i="11"/>
  <c r="O151" i="11" s="1"/>
  <c r="S123" i="11"/>
  <c r="S150" i="11" s="1"/>
  <c r="M123" i="11"/>
  <c r="Q122" i="11"/>
  <c r="Q149" i="11" s="1"/>
  <c r="T121" i="11"/>
  <c r="T148" i="11" s="1"/>
  <c r="O121" i="11"/>
  <c r="O148" i="11" s="1"/>
  <c r="R120" i="11"/>
  <c r="R147" i="11" s="1"/>
  <c r="M120" i="11"/>
  <c r="Y118" i="11"/>
  <c r="Y145" i="11" s="1"/>
  <c r="N118" i="11"/>
  <c r="N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U139" i="11" s="1"/>
  <c r="T110" i="11"/>
  <c r="S110" i="11"/>
  <c r="R110" i="11"/>
  <c r="Q110" i="11"/>
  <c r="Q139" i="11" s="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P109" i="11"/>
  <c r="P138" i="11" s="1"/>
  <c r="O109" i="11"/>
  <c r="O138" i="11" s="1"/>
  <c r="N109" i="11"/>
  <c r="N138" i="11" s="1"/>
  <c r="M109" i="11"/>
  <c r="M165" i="11" s="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U134" i="11" s="1"/>
  <c r="U161" i="11" s="1"/>
  <c r="T105" i="11"/>
  <c r="T134" i="11" s="1"/>
  <c r="T161" i="11" s="1"/>
  <c r="S105" i="11"/>
  <c r="S134" i="11" s="1"/>
  <c r="S161" i="11" s="1"/>
  <c r="R105" i="11"/>
  <c r="R134" i="11" s="1"/>
  <c r="R161" i="11" s="1"/>
  <c r="Q105" i="11"/>
  <c r="Q134" i="11" s="1"/>
  <c r="Q161" i="11" s="1"/>
  <c r="P105" i="11"/>
  <c r="P134" i="11" s="1"/>
  <c r="P161" i="11" s="1"/>
  <c r="O105" i="11"/>
  <c r="O134" i="11" s="1"/>
  <c r="O161" i="11" s="1"/>
  <c r="N105" i="1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O131" i="11" s="1"/>
  <c r="O158" i="11" s="1"/>
  <c r="N102" i="11"/>
  <c r="M102" i="11"/>
  <c r="X131" i="11" s="1"/>
  <c r="X158" i="11" s="1"/>
  <c r="Z101" i="11"/>
  <c r="Z130" i="11" s="1"/>
  <c r="Z157" i="11" s="1"/>
  <c r="Y101" i="11"/>
  <c r="Y130" i="11" s="1"/>
  <c r="Y157" i="11" s="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V128" i="11" s="1"/>
  <c r="V155" i="11" s="1"/>
  <c r="U99" i="11"/>
  <c r="U128" i="11" s="1"/>
  <c r="U155" i="11" s="1"/>
  <c r="T99" i="11"/>
  <c r="S99" i="11"/>
  <c r="S128" i="11" s="1"/>
  <c r="S155" i="11" s="1"/>
  <c r="R99" i="11"/>
  <c r="R128" i="11" s="1"/>
  <c r="R155" i="11" s="1"/>
  <c r="Q99" i="11"/>
  <c r="Q128" i="11" s="1"/>
  <c r="Q155" i="11" s="1"/>
  <c r="P99" i="11"/>
  <c r="O99" i="11"/>
  <c r="O128" i="11" s="1"/>
  <c r="O155" i="11" s="1"/>
  <c r="N99" i="11"/>
  <c r="N128" i="11" s="1"/>
  <c r="N155" i="11" s="1"/>
  <c r="M99" i="11"/>
  <c r="Z98" i="11"/>
  <c r="Z127" i="11" s="1"/>
  <c r="Y98" i="11"/>
  <c r="Y127" i="11" s="1"/>
  <c r="Y154" i="11" s="1"/>
  <c r="X98" i="11"/>
  <c r="X127" i="11" s="1"/>
  <c r="X154" i="11" s="1"/>
  <c r="W98" i="11"/>
  <c r="W127" i="11" s="1"/>
  <c r="W154" i="11" s="1"/>
  <c r="V98" i="11"/>
  <c r="U98" i="1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X97" i="11"/>
  <c r="X126" i="11" s="1"/>
  <c r="X153" i="11" s="1"/>
  <c r="W97" i="11"/>
  <c r="W126" i="11" s="1"/>
  <c r="W153" i="11" s="1"/>
  <c r="V97" i="11"/>
  <c r="V126" i="11" s="1"/>
  <c r="V153" i="11" s="1"/>
  <c r="U97" i="11"/>
  <c r="U126" i="11" s="1"/>
  <c r="U153" i="11" s="1"/>
  <c r="T97" i="11"/>
  <c r="S97" i="11"/>
  <c r="R97" i="11"/>
  <c r="R126" i="11" s="1"/>
  <c r="R153" i="11" s="1"/>
  <c r="Q97" i="11"/>
  <c r="Q126" i="11" s="1"/>
  <c r="Q153" i="11" s="1"/>
  <c r="P97" i="11"/>
  <c r="O97" i="11"/>
  <c r="O126" i="11" s="1"/>
  <c r="O153" i="11" s="1"/>
  <c r="N97" i="11"/>
  <c r="N126" i="11" s="1"/>
  <c r="N153" i="11" s="1"/>
  <c r="M97" i="11"/>
  <c r="M126" i="11" s="1"/>
  <c r="Z96" i="11"/>
  <c r="Y96" i="11"/>
  <c r="Y125" i="11" s="1"/>
  <c r="Y152" i="11" s="1"/>
  <c r="X96" i="11"/>
  <c r="X125" i="11" s="1"/>
  <c r="X152" i="11" s="1"/>
  <c r="W96" i="11"/>
  <c r="V96" i="11"/>
  <c r="U96" i="11"/>
  <c r="U125" i="11" s="1"/>
  <c r="U152" i="11" s="1"/>
  <c r="T96" i="11"/>
  <c r="T125" i="11" s="1"/>
  <c r="T152" i="11" s="1"/>
  <c r="S96" i="11"/>
  <c r="S125" i="11" s="1"/>
  <c r="S152" i="11" s="1"/>
  <c r="R96" i="11"/>
  <c r="Q96" i="1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T95" i="11"/>
  <c r="S95" i="11"/>
  <c r="S124" i="11" s="1"/>
  <c r="S151" i="11" s="1"/>
  <c r="R95" i="11"/>
  <c r="R124" i="11" s="1"/>
  <c r="R151" i="11" s="1"/>
  <c r="Q95" i="11"/>
  <c r="Q124" i="11" s="1"/>
  <c r="Q151" i="11" s="1"/>
  <c r="P95" i="11"/>
  <c r="O95" i="11"/>
  <c r="N95" i="11"/>
  <c r="N124" i="11" s="1"/>
  <c r="N151" i="11" s="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R94" i="11"/>
  <c r="Q94" i="11"/>
  <c r="Q123" i="11" s="1"/>
  <c r="Q150" i="11" s="1"/>
  <c r="P94" i="11"/>
  <c r="P123" i="11" s="1"/>
  <c r="P150" i="11" s="1"/>
  <c r="O94" i="11"/>
  <c r="O123" i="11" s="1"/>
  <c r="O150" i="11" s="1"/>
  <c r="N94" i="11"/>
  <c r="M94" i="1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V122" i="11" s="1"/>
  <c r="V149" i="11" s="1"/>
  <c r="U93" i="11"/>
  <c r="U122" i="11" s="1"/>
  <c r="U149" i="11" s="1"/>
  <c r="T93" i="11"/>
  <c r="S93" i="11"/>
  <c r="S122" i="11" s="1"/>
  <c r="S149" i="11" s="1"/>
  <c r="R93" i="11"/>
  <c r="R122" i="11" s="1"/>
  <c r="R149" i="11" s="1"/>
  <c r="Q93" i="11"/>
  <c r="P93" i="11"/>
  <c r="O93" i="11"/>
  <c r="O122" i="11" s="1"/>
  <c r="O149" i="11" s="1"/>
  <c r="N93" i="11"/>
  <c r="N122" i="11" s="1"/>
  <c r="N149" i="11" s="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Q90" i="11"/>
  <c r="Q119" i="11" s="1"/>
  <c r="Q146" i="11" s="1"/>
  <c r="P90" i="11"/>
  <c r="O90" i="11"/>
  <c r="O119" i="11" s="1"/>
  <c r="O146" i="11" s="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U118" i="11" s="1"/>
  <c r="U145" i="11" s="1"/>
  <c r="T89" i="11"/>
  <c r="T118" i="11" s="1"/>
  <c r="T145" i="11" s="1"/>
  <c r="S89" i="11"/>
  <c r="S118" i="11" s="1"/>
  <c r="S145" i="11" s="1"/>
  <c r="R89" i="11"/>
  <c r="R118" i="11" s="1"/>
  <c r="R145" i="11" s="1"/>
  <c r="Q89" i="11"/>
  <c r="Q118" i="11" s="1"/>
  <c r="Q145" i="11" s="1"/>
  <c r="P89" i="11"/>
  <c r="P118" i="11" s="1"/>
  <c r="P145" i="11" s="1"/>
  <c r="O89" i="11"/>
  <c r="O118" i="11" s="1"/>
  <c r="O145" i="11" s="1"/>
  <c r="N89" i="1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H74" i="11"/>
  <c r="L74" i="11" s="1"/>
  <c r="G74" i="11"/>
  <c r="I74" i="11" s="1"/>
  <c r="F74" i="11"/>
  <c r="AQ73" i="11"/>
  <c r="AP73" i="11"/>
  <c r="AL73" i="11"/>
  <c r="V27" i="11" s="1"/>
  <c r="AJ27" i="11" s="1"/>
  <c r="AH73" i="11"/>
  <c r="R27" i="11" s="1"/>
  <c r="AF27" i="11" s="1"/>
  <c r="AB73" i="11"/>
  <c r="AA73" i="11"/>
  <c r="AM73" i="11" s="1"/>
  <c r="H73" i="11"/>
  <c r="L73" i="11" s="1"/>
  <c r="G73" i="11"/>
  <c r="F73" i="11"/>
  <c r="AP72" i="11"/>
  <c r="AL72" i="11"/>
  <c r="V26" i="11" s="1"/>
  <c r="AJ26" i="11" s="1"/>
  <c r="AH72" i="11"/>
  <c r="R26" i="11" s="1"/>
  <c r="AF26" i="11" s="1"/>
  <c r="AB72" i="11"/>
  <c r="AA72" i="11"/>
  <c r="AQ72" i="11" s="1"/>
  <c r="H72" i="11"/>
  <c r="L72" i="11" s="1"/>
  <c r="G72" i="11"/>
  <c r="F72" i="11"/>
  <c r="AP71" i="11"/>
  <c r="AL71" i="11"/>
  <c r="AH71" i="11"/>
  <c r="AB71" i="11"/>
  <c r="AA71" i="11"/>
  <c r="AQ71" i="11" s="1"/>
  <c r="I71" i="11"/>
  <c r="F71" i="11"/>
  <c r="J71" i="11" s="1"/>
  <c r="G71" i="11" s="1"/>
  <c r="H71" i="11" s="1"/>
  <c r="L71" i="11" s="1"/>
  <c r="AQ70" i="11"/>
  <c r="AM70" i="11"/>
  <c r="AI70" i="11"/>
  <c r="S25" i="11" s="1"/>
  <c r="AG25" i="11" s="1"/>
  <c r="AE70" i="11"/>
  <c r="O25" i="11" s="1"/>
  <c r="AB70" i="11"/>
  <c r="AP70" i="11" s="1"/>
  <c r="AA70" i="11"/>
  <c r="AN70" i="11" s="1"/>
  <c r="J70" i="11"/>
  <c r="G70" i="11" s="1"/>
  <c r="F70" i="11"/>
  <c r="AQ69" i="11"/>
  <c r="AP69" i="11"/>
  <c r="AN69" i="11"/>
  <c r="AJ69" i="11"/>
  <c r="AF69" i="11"/>
  <c r="AB69" i="11"/>
  <c r="AA69" i="11"/>
  <c r="AO69" i="11" s="1"/>
  <c r="F69" i="11"/>
  <c r="J69" i="11" s="1"/>
  <c r="G69" i="11" s="1"/>
  <c r="AB68" i="11"/>
  <c r="AA68" i="11"/>
  <c r="AP68" i="11" s="1"/>
  <c r="Z24" i="11" s="1"/>
  <c r="AN24" i="11" s="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E67" i="11"/>
  <c r="O13" i="11" s="1"/>
  <c r="AB67" i="11"/>
  <c r="AI67" i="11" s="1"/>
  <c r="S13" i="11" s="1"/>
  <c r="AG13" i="11" s="1"/>
  <c r="AA67" i="11"/>
  <c r="H67" i="11"/>
  <c r="L67" i="11" s="1"/>
  <c r="G67" i="11"/>
  <c r="F67" i="11"/>
  <c r="AQ66" i="11"/>
  <c r="AP66" i="11"/>
  <c r="AO66" i="11"/>
  <c r="AN66" i="11"/>
  <c r="AM66" i="11"/>
  <c r="AL66" i="11"/>
  <c r="AK66" i="11"/>
  <c r="AJ66" i="11"/>
  <c r="AI66" i="11"/>
  <c r="AH66" i="11"/>
  <c r="AE66" i="11"/>
  <c r="AB66" i="11"/>
  <c r="AA66" i="11"/>
  <c r="AG66" i="11" s="1"/>
  <c r="J66" i="11"/>
  <c r="G66" i="11" s="1"/>
  <c r="H66" i="11" s="1"/>
  <c r="L66" i="11" s="1"/>
  <c r="F66" i="11"/>
  <c r="AQ65" i="11"/>
  <c r="AP65" i="11"/>
  <c r="AO65" i="11"/>
  <c r="AN65" i="11"/>
  <c r="AI65" i="11"/>
  <c r="S11" i="11" s="1"/>
  <c r="AG11" i="11" s="1"/>
  <c r="AH65" i="11"/>
  <c r="AB65" i="11"/>
  <c r="AE65" i="11" s="1"/>
  <c r="O11" i="11" s="1"/>
  <c r="AA65" i="11"/>
  <c r="AK65" i="11" s="1"/>
  <c r="J65" i="11"/>
  <c r="G65" i="11" s="1"/>
  <c r="F65" i="11"/>
  <c r="AQ64" i="11"/>
  <c r="AP64" i="11"/>
  <c r="AO64" i="11"/>
  <c r="AN64" i="11"/>
  <c r="AM64" i="11"/>
  <c r="AJ64" i="11"/>
  <c r="T18" i="11" s="1"/>
  <c r="AH18" i="11" s="1"/>
  <c r="BA9" i="11" s="1"/>
  <c r="AI64" i="11"/>
  <c r="AF64" i="11"/>
  <c r="AE64" i="11"/>
  <c r="AB64" i="11"/>
  <c r="AL64" i="11" s="1"/>
  <c r="AA64" i="11"/>
  <c r="AK64" i="11" s="1"/>
  <c r="J64" i="11"/>
  <c r="G64" i="11" s="1"/>
  <c r="F64" i="11"/>
  <c r="AQ63" i="11"/>
  <c r="AP63" i="11"/>
  <c r="AO63" i="11"/>
  <c r="AN63" i="11"/>
  <c r="AJ63" i="11"/>
  <c r="AI63" i="11"/>
  <c r="S22" i="11" s="1"/>
  <c r="AG22" i="11" s="1"/>
  <c r="AF63" i="11"/>
  <c r="AE63" i="11"/>
  <c r="AB63" i="11"/>
  <c r="AL63" i="11" s="1"/>
  <c r="AA63" i="11"/>
  <c r="AK63" i="11" s="1"/>
  <c r="F63" i="11"/>
  <c r="J63" i="11" s="1"/>
  <c r="G63" i="11" s="1"/>
  <c r="AQ62" i="11"/>
  <c r="AP62" i="11"/>
  <c r="AO62" i="11"/>
  <c r="AN62" i="11"/>
  <c r="AJ62" i="11"/>
  <c r="AI62" i="11"/>
  <c r="AF62" i="11"/>
  <c r="AE62" i="11"/>
  <c r="O22" i="11" s="1"/>
  <c r="AB62" i="11"/>
  <c r="AL62" i="11" s="1"/>
  <c r="V22" i="11" s="1"/>
  <c r="AJ22" i="11" s="1"/>
  <c r="AA62" i="11"/>
  <c r="AK62" i="11" s="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E61" i="11"/>
  <c r="AB61" i="11"/>
  <c r="AA61" i="11"/>
  <c r="AG61" i="11" s="1"/>
  <c r="L61" i="11"/>
  <c r="I61" i="11"/>
  <c r="F61" i="11"/>
  <c r="G61" i="11" s="1"/>
  <c r="H61" i="11" s="1"/>
  <c r="AQ60" i="11"/>
  <c r="AN60" i="11"/>
  <c r="X12" i="11" s="1"/>
  <c r="AL12" i="11" s="1"/>
  <c r="AM60" i="11"/>
  <c r="W12" i="11" s="1"/>
  <c r="AK12" i="11" s="1"/>
  <c r="AJ60" i="11"/>
  <c r="AI60" i="11"/>
  <c r="AF60" i="11"/>
  <c r="AE60" i="11"/>
  <c r="AB60" i="11"/>
  <c r="AP60" i="11" s="1"/>
  <c r="AA60" i="11"/>
  <c r="AO60" i="11" s="1"/>
  <c r="L60" i="11"/>
  <c r="I60" i="11"/>
  <c r="F60" i="11"/>
  <c r="G60" i="11" s="1"/>
  <c r="H60" i="11" s="1"/>
  <c r="AQ59" i="11"/>
  <c r="AP59" i="11"/>
  <c r="AO59" i="11"/>
  <c r="AN59" i="11"/>
  <c r="AM59" i="11"/>
  <c r="AL59" i="11"/>
  <c r="AK59" i="11"/>
  <c r="AJ59" i="11"/>
  <c r="AI59" i="11"/>
  <c r="AF59" i="11"/>
  <c r="P12" i="11" s="1"/>
  <c r="AD12" i="11" s="1"/>
  <c r="AE59" i="11"/>
  <c r="O12" i="11" s="1"/>
  <c r="AB59" i="11"/>
  <c r="AH59" i="11" s="1"/>
  <c r="AA59" i="11"/>
  <c r="AG59" i="11" s="1"/>
  <c r="J59" i="11"/>
  <c r="G59" i="11" s="1"/>
  <c r="F59" i="11"/>
  <c r="AQ58" i="11"/>
  <c r="AP58" i="11"/>
  <c r="AO58" i="11"/>
  <c r="AN58" i="11"/>
  <c r="AM58" i="11"/>
  <c r="AK58" i="11"/>
  <c r="AG58" i="11"/>
  <c r="AF58" i="11"/>
  <c r="AB58" i="11"/>
  <c r="AA58" i="11"/>
  <c r="H58" i="11"/>
  <c r="L58" i="11" s="1"/>
  <c r="G58" i="11"/>
  <c r="F58" i="11"/>
  <c r="J58" i="11" s="1"/>
  <c r="AN57" i="11"/>
  <c r="AM57" i="11"/>
  <c r="W23" i="11" s="1"/>
  <c r="AK23" i="11" s="1"/>
  <c r="AJ57" i="11"/>
  <c r="AI57" i="11"/>
  <c r="AF57" i="11"/>
  <c r="AE57" i="11"/>
  <c r="AB57" i="11"/>
  <c r="AL57" i="11" s="1"/>
  <c r="AA57" i="11"/>
  <c r="AO57" i="11" s="1"/>
  <c r="J57" i="11"/>
  <c r="G57" i="11" s="1"/>
  <c r="F57" i="11"/>
  <c r="AQ56" i="11"/>
  <c r="AP56" i="11"/>
  <c r="AO56" i="11"/>
  <c r="AN56" i="11"/>
  <c r="AM56" i="11"/>
  <c r="AL56" i="11"/>
  <c r="AK56" i="11"/>
  <c r="AJ56" i="11"/>
  <c r="AG56" i="11"/>
  <c r="AF56" i="11"/>
  <c r="AB56" i="11"/>
  <c r="AA56" i="11"/>
  <c r="H56" i="11"/>
  <c r="L56" i="11" s="1"/>
  <c r="G56" i="11"/>
  <c r="F56" i="11"/>
  <c r="J56" i="11" s="1"/>
  <c r="AQ55" i="11"/>
  <c r="AP55" i="1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A10" i="11" s="1"/>
  <c r="AP54" i="11"/>
  <c r="AO54" i="11"/>
  <c r="AN54" i="11"/>
  <c r="AM54" i="11"/>
  <c r="W10" i="11" s="1"/>
  <c r="AL54" i="11"/>
  <c r="AK54" i="11"/>
  <c r="AJ54" i="11"/>
  <c r="AI54" i="11"/>
  <c r="S10" i="11" s="1"/>
  <c r="AH54" i="11"/>
  <c r="AG54" i="11"/>
  <c r="AE54" i="11"/>
  <c r="AB54" i="11"/>
  <c r="AA54" i="11"/>
  <c r="J54" i="11"/>
  <c r="G54" i="11" s="1"/>
  <c r="I54" i="11"/>
  <c r="H54" i="11"/>
  <c r="L54" i="11" s="1"/>
  <c r="F54" i="11"/>
  <c r="AP53" i="11"/>
  <c r="AJ53" i="11"/>
  <c r="AE53" i="11"/>
  <c r="AB53" i="11"/>
  <c r="AM53" i="11" s="1"/>
  <c r="AA53" i="11"/>
  <c r="J53" i="11"/>
  <c r="G53" i="11" s="1"/>
  <c r="F53" i="11"/>
  <c r="AQ52" i="11"/>
  <c r="AJ52" i="11"/>
  <c r="AE52" i="11"/>
  <c r="AB52" i="11"/>
  <c r="AM52" i="11" s="1"/>
  <c r="AA52" i="11"/>
  <c r="J52" i="11"/>
  <c r="G52" i="11" s="1"/>
  <c r="F52" i="11"/>
  <c r="AQ51" i="11"/>
  <c r="AP51" i="11"/>
  <c r="AO51" i="11"/>
  <c r="AN51" i="11"/>
  <c r="AM51" i="11"/>
  <c r="AL51" i="11"/>
  <c r="AK51" i="11"/>
  <c r="AB51" i="11"/>
  <c r="AI51" i="11" s="1"/>
  <c r="AA51" i="11"/>
  <c r="F51" i="11"/>
  <c r="J51" i="11" s="1"/>
  <c r="G51" i="11" s="1"/>
  <c r="AQ50" i="11"/>
  <c r="AP50" i="11"/>
  <c r="Z6" i="11" s="1"/>
  <c r="AO50" i="11"/>
  <c r="AN50" i="11"/>
  <c r="AM50" i="11"/>
  <c r="AL50" i="11"/>
  <c r="V6" i="11" s="1"/>
  <c r="AK50" i="11"/>
  <c r="AJ50" i="11"/>
  <c r="AI50" i="11"/>
  <c r="AH50" i="11"/>
  <c r="R6" i="11" s="1"/>
  <c r="AE50" i="11"/>
  <c r="AB50" i="11"/>
  <c r="AF50" i="11" s="1"/>
  <c r="P6" i="11" s="1"/>
  <c r="AA50" i="11"/>
  <c r="AG50" i="11" s="1"/>
  <c r="Q6" i="11" s="1"/>
  <c r="AE6" i="11" s="1"/>
  <c r="F50" i="11"/>
  <c r="G50" i="11" s="1"/>
  <c r="AQ49" i="11"/>
  <c r="AP49" i="11"/>
  <c r="Z15" i="11" s="1"/>
  <c r="AO49" i="11"/>
  <c r="AM49" i="11"/>
  <c r="AI49" i="11"/>
  <c r="AE49" i="11"/>
  <c r="AB49" i="11"/>
  <c r="AN49" i="11" s="1"/>
  <c r="X15" i="11" s="1"/>
  <c r="AL15" i="11" s="1"/>
  <c r="AA49" i="11"/>
  <c r="AK49" i="11" s="1"/>
  <c r="F49" i="11"/>
  <c r="J49" i="11" s="1"/>
  <c r="G49" i="11" s="1"/>
  <c r="AQ48" i="11"/>
  <c r="AP48" i="11"/>
  <c r="AO48" i="11"/>
  <c r="AN48" i="11"/>
  <c r="AM48" i="11"/>
  <c r="AJ48" i="11"/>
  <c r="AI48" i="11"/>
  <c r="AF48" i="11"/>
  <c r="AE48" i="11"/>
  <c r="AB48" i="11"/>
  <c r="AA48" i="11"/>
  <c r="AL48" i="11" s="1"/>
  <c r="F48" i="11"/>
  <c r="M15" i="11" s="1"/>
  <c r="AB76" i="12" s="1"/>
  <c r="AQ47" i="11"/>
  <c r="AA14" i="11" s="1"/>
  <c r="AO14" i="11" s="1"/>
  <c r="BH8" i="11" s="1"/>
  <c r="AN47" i="11"/>
  <c r="AM47" i="11"/>
  <c r="AJ47" i="11"/>
  <c r="AI47" i="11"/>
  <c r="AF47" i="11"/>
  <c r="AE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AB46" i="11"/>
  <c r="AA46" i="11"/>
  <c r="AM46" i="11" s="1"/>
  <c r="W14" i="11" s="1"/>
  <c r="AK14" i="11" s="1"/>
  <c r="G46" i="11"/>
  <c r="F46" i="11"/>
  <c r="M14" i="11" s="1"/>
  <c r="AQ45" i="11"/>
  <c r="AP45" i="11"/>
  <c r="AO45" i="11"/>
  <c r="AN45" i="11"/>
  <c r="AM45" i="11"/>
  <c r="AL45" i="11"/>
  <c r="AB45" i="11"/>
  <c r="AA45" i="11"/>
  <c r="AI45" i="11" s="1"/>
  <c r="G45" i="11"/>
  <c r="F45" i="11"/>
  <c r="AN44" i="11"/>
  <c r="AM44" i="11"/>
  <c r="W19" i="11" s="1"/>
  <c r="AK19" i="11" s="1"/>
  <c r="AJ44" i="11"/>
  <c r="AI44" i="11"/>
  <c r="S19" i="11" s="1"/>
  <c r="AG19" i="11" s="1"/>
  <c r="AF44" i="11"/>
  <c r="AE44" i="11"/>
  <c r="AB44" i="11"/>
  <c r="AA44" i="11"/>
  <c r="AP44" i="11" s="1"/>
  <c r="Z19" i="11" s="1"/>
  <c r="AN19" i="11" s="1"/>
  <c r="F44" i="11"/>
  <c r="M19" i="11" s="1"/>
  <c r="AQ43" i="1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L42" i="11" s="1"/>
  <c r="V7" i="11" s="1"/>
  <c r="AJ7" i="11" s="1"/>
  <c r="BC6" i="11" s="1"/>
  <c r="AA42" i="11"/>
  <c r="AJ42" i="11" s="1"/>
  <c r="T7" i="11" s="1"/>
  <c r="AH7" i="11" s="1"/>
  <c r="BA6" i="11" s="1"/>
  <c r="H42" i="11"/>
  <c r="L42" i="11" s="1"/>
  <c r="G42" i="11"/>
  <c r="I42" i="11" s="1"/>
  <c r="F42" i="11"/>
  <c r="AQ41" i="11"/>
  <c r="AP41" i="11"/>
  <c r="AO41" i="11"/>
  <c r="Y17" i="11" s="1"/>
  <c r="AN41" i="11"/>
  <c r="AB41" i="11"/>
  <c r="AL41" i="11" s="1"/>
  <c r="AA41" i="11"/>
  <c r="AJ41" i="11" s="1"/>
  <c r="T17" i="11" s="1"/>
  <c r="AH17" i="11" s="1"/>
  <c r="F41" i="11"/>
  <c r="J41" i="11" s="1"/>
  <c r="G41" i="11" s="1"/>
  <c r="AQ40" i="1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F40" i="11" s="1"/>
  <c r="AA40" i="11"/>
  <c r="AG40" i="11" s="1"/>
  <c r="F40" i="11"/>
  <c r="M17" i="11" s="1"/>
  <c r="AB78" i="12" s="1"/>
  <c r="AQ39" i="11"/>
  <c r="AA16" i="11" s="1"/>
  <c r="AN39" i="11"/>
  <c r="AM39" i="11"/>
  <c r="W16" i="11" s="1"/>
  <c r="AK16" i="11" s="1"/>
  <c r="AJ39" i="11"/>
  <c r="AI39" i="11"/>
  <c r="S16" i="11" s="1"/>
  <c r="AG16" i="11" s="1"/>
  <c r="AF39" i="11"/>
  <c r="AE39" i="11"/>
  <c r="O16" i="11" s="1"/>
  <c r="AB39" i="11"/>
  <c r="AA39" i="11"/>
  <c r="AP39" i="11" s="1"/>
  <c r="Z16" i="11" s="1"/>
  <c r="AN16" i="11" s="1"/>
  <c r="F39" i="11"/>
  <c r="E38" i="11"/>
  <c r="AM28" i="11"/>
  <c r="AL28" i="11"/>
  <c r="AA28" i="11"/>
  <c r="AO28" i="11" s="1"/>
  <c r="Z28" i="11"/>
  <c r="AN28" i="11" s="1"/>
  <c r="Y28" i="11"/>
  <c r="X28" i="11"/>
  <c r="W28" i="11"/>
  <c r="AK28" i="11" s="1"/>
  <c r="M28" i="11"/>
  <c r="AB89" i="12" s="1"/>
  <c r="AN27" i="11"/>
  <c r="AA27" i="11"/>
  <c r="AO27" i="11" s="1"/>
  <c r="Z27" i="11"/>
  <c r="W27" i="11"/>
  <c r="AK27" i="11" s="1"/>
  <c r="M27" i="11"/>
  <c r="AB88" i="12" s="1"/>
  <c r="AO26" i="11"/>
  <c r="AN26" i="11"/>
  <c r="AA26" i="11"/>
  <c r="Z26" i="11"/>
  <c r="M26" i="11"/>
  <c r="AB87" i="12" s="1"/>
  <c r="AO25" i="11"/>
  <c r="AL25" i="11"/>
  <c r="AK25" i="11"/>
  <c r="AA25" i="11"/>
  <c r="Z25" i="11"/>
  <c r="AN25" i="11" s="1"/>
  <c r="X25" i="11"/>
  <c r="W25" i="11"/>
  <c r="M25" i="11"/>
  <c r="AB86" i="12" s="1"/>
  <c r="M24" i="11"/>
  <c r="AB85" i="12" s="1"/>
  <c r="AA23" i="11"/>
  <c r="Z23" i="11"/>
  <c r="Y23" i="11"/>
  <c r="X23" i="11"/>
  <c r="AL23" i="11" s="1"/>
  <c r="P23" i="11"/>
  <c r="AD23" i="11" s="1"/>
  <c r="M23" i="11"/>
  <c r="AB84" i="12" s="1"/>
  <c r="AA22" i="11"/>
  <c r="Z22" i="11"/>
  <c r="Y22" i="11"/>
  <c r="X22" i="11"/>
  <c r="W22" i="11"/>
  <c r="U22" i="11"/>
  <c r="AI22" i="11" s="1"/>
  <c r="T22" i="11"/>
  <c r="AH22" i="11" s="1"/>
  <c r="P22" i="11"/>
  <c r="AD22" i="11" s="1"/>
  <c r="AO21" i="11"/>
  <c r="AA21" i="11"/>
  <c r="Z21" i="11"/>
  <c r="AN21" i="11" s="1"/>
  <c r="V21" i="11"/>
  <c r="AJ21" i="11" s="1"/>
  <c r="R21" i="11"/>
  <c r="AF21" i="11" s="1"/>
  <c r="M21" i="11"/>
  <c r="AB82" i="12" s="1"/>
  <c r="AA20" i="11"/>
  <c r="Z20" i="11"/>
  <c r="Y20" i="11"/>
  <c r="AM20" i="11" s="1"/>
  <c r="X20" i="11"/>
  <c r="AL20" i="11" s="1"/>
  <c r="T20" i="11"/>
  <c r="AH20" i="11" s="1"/>
  <c r="P20" i="11"/>
  <c r="AD20" i="11" s="1"/>
  <c r="M20" i="11"/>
  <c r="AB81" i="12" s="1"/>
  <c r="AA19" i="11"/>
  <c r="X19" i="11"/>
  <c r="AL19" i="11" s="1"/>
  <c r="AL18" i="11"/>
  <c r="AI18" i="11"/>
  <c r="AD18" i="11"/>
  <c r="AA18" i="11"/>
  <c r="Z18" i="11"/>
  <c r="Y18" i="11"/>
  <c r="X18" i="11"/>
  <c r="W18" i="11"/>
  <c r="AK18" i="11" s="1"/>
  <c r="BD9" i="11" s="1"/>
  <c r="V18" i="11"/>
  <c r="AJ18" i="11" s="1"/>
  <c r="BC9" i="11" s="1"/>
  <c r="U18" i="11"/>
  <c r="S18" i="11"/>
  <c r="AG18" i="11" s="1"/>
  <c r="AZ9" i="11" s="1"/>
  <c r="P18" i="11"/>
  <c r="O18" i="11"/>
  <c r="AC18" i="11" s="1"/>
  <c r="M18" i="11"/>
  <c r="AB79" i="12" s="1"/>
  <c r="AA17" i="11"/>
  <c r="X17" i="11"/>
  <c r="X16" i="11"/>
  <c r="AL16" i="11" s="1"/>
  <c r="T16" i="11"/>
  <c r="AH16" i="11" s="1"/>
  <c r="P16" i="11"/>
  <c r="AD16" i="11" s="1"/>
  <c r="AA15" i="11"/>
  <c r="Y15" i="11"/>
  <c r="W15" i="11"/>
  <c r="AK15" i="11" s="1"/>
  <c r="S15" i="11"/>
  <c r="AG15" i="11" s="1"/>
  <c r="O15" i="11"/>
  <c r="AC15" i="11" s="1"/>
  <c r="X14" i="11"/>
  <c r="AL14" i="11" s="1"/>
  <c r="BE8" i="11" s="1"/>
  <c r="Y13" i="11"/>
  <c r="X13" i="11"/>
  <c r="M13" i="11"/>
  <c r="AB74" i="12" s="1"/>
  <c r="AO12" i="11"/>
  <c r="AH12" i="11"/>
  <c r="AG12" i="11"/>
  <c r="AA12" i="11"/>
  <c r="Z12" i="11"/>
  <c r="AN12" i="11" s="1"/>
  <c r="Y12" i="11"/>
  <c r="AM12" i="11" s="1"/>
  <c r="T12" i="11"/>
  <c r="S12" i="11"/>
  <c r="M12" i="11"/>
  <c r="AB73" i="12" s="1"/>
  <c r="AK11" i="11"/>
  <c r="AA11" i="11"/>
  <c r="Z11" i="11"/>
  <c r="Y11" i="11"/>
  <c r="X11" i="11"/>
  <c r="W11" i="11"/>
  <c r="U11" i="11"/>
  <c r="AI11" i="11" s="1"/>
  <c r="R11" i="11"/>
  <c r="AF11" i="11" s="1"/>
  <c r="M11" i="11"/>
  <c r="AB72" i="12" s="1"/>
  <c r="Z10" i="11"/>
  <c r="Y10" i="11"/>
  <c r="X10" i="11"/>
  <c r="V10" i="11"/>
  <c r="U10" i="11"/>
  <c r="T10" i="11"/>
  <c r="R10" i="11"/>
  <c r="Q10" i="11"/>
  <c r="M10" i="11"/>
  <c r="AB71" i="12" s="1"/>
  <c r="BB9" i="11"/>
  <c r="AW9" i="11"/>
  <c r="Z9" i="11"/>
  <c r="AN9" i="11" s="1"/>
  <c r="BG7" i="11" s="1"/>
  <c r="M9" i="11"/>
  <c r="AB70" i="12" s="1"/>
  <c r="AE8" i="11"/>
  <c r="AA8" i="11"/>
  <c r="Z8" i="11"/>
  <c r="X8" i="11"/>
  <c r="W8" i="11"/>
  <c r="V8" i="11"/>
  <c r="T8" i="11"/>
  <c r="S8" i="11"/>
  <c r="R8" i="11"/>
  <c r="Q8" i="11"/>
  <c r="P8" i="11"/>
  <c r="AD8" i="11" s="1"/>
  <c r="O8" i="11"/>
  <c r="AC8" i="11" s="1"/>
  <c r="M8" i="11"/>
  <c r="AB69" i="12" s="1"/>
  <c r="AA7" i="11"/>
  <c r="Z7" i="11"/>
  <c r="X7" i="11"/>
  <c r="W7" i="11"/>
  <c r="M7" i="11"/>
  <c r="AB68" i="12" s="1"/>
  <c r="AA6" i="11"/>
  <c r="Y6" i="11"/>
  <c r="X6" i="11"/>
  <c r="W6" i="11"/>
  <c r="U6" i="11"/>
  <c r="T6" i="11"/>
  <c r="S6" i="11"/>
  <c r="O6" i="11"/>
  <c r="AC6" i="11" s="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N81" i="10"/>
  <c r="O81" i="10" s="1"/>
  <c r="L81" i="10"/>
  <c r="J65" i="10"/>
  <c r="J64" i="10"/>
  <c r="K64" i="10" s="1"/>
  <c r="J63" i="10"/>
  <c r="J62" i="10"/>
  <c r="K62" i="10" s="1"/>
  <c r="J61" i="10"/>
  <c r="J66" i="10" s="1"/>
  <c r="K65" i="10" s="1"/>
  <c r="M35" i="10"/>
  <c r="L35" i="10"/>
  <c r="K35" i="10"/>
  <c r="W35" i="10" s="1"/>
  <c r="J35" i="10"/>
  <c r="W34" i="10"/>
  <c r="M34" i="10"/>
  <c r="L34" i="10"/>
  <c r="K34" i="10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G65" i="10" s="1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G64" i="10" s="1"/>
  <c r="L26" i="10"/>
  <c r="K26" i="10"/>
  <c r="W26" i="10" s="1"/>
  <c r="J26" i="10"/>
  <c r="W25" i="10"/>
  <c r="M25" i="10"/>
  <c r="G63" i="10" s="1"/>
  <c r="L25" i="10"/>
  <c r="K25" i="10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7" i="9"/>
  <c r="O196" i="9"/>
  <c r="O170" i="9"/>
  <c r="U23" i="9" s="1"/>
  <c r="N170" i="9"/>
  <c r="P166" i="9"/>
  <c r="O166" i="9"/>
  <c r="N166" i="9"/>
  <c r="O159" i="9"/>
  <c r="P158" i="9"/>
  <c r="O158" i="9"/>
  <c r="O152" i="9"/>
  <c r="O151" i="9"/>
  <c r="R146" i="9"/>
  <c r="N145" i="9"/>
  <c r="N151" i="9" s="1"/>
  <c r="X142" i="9"/>
  <c r="Y142" i="9" s="1"/>
  <c r="P159" i="9" s="1"/>
  <c r="Y141" i="9"/>
  <c r="Q135" i="9"/>
  <c r="X136" i="9" s="1"/>
  <c r="X137" i="9" s="1"/>
  <c r="I133" i="9"/>
  <c r="O132" i="9"/>
  <c r="P153" i="9" s="1"/>
  <c r="I132" i="9"/>
  <c r="E132" i="9"/>
  <c r="Q131" i="9"/>
  <c r="X130" i="9" s="1"/>
  <c r="O131" i="9"/>
  <c r="P152" i="9" s="1"/>
  <c r="H131" i="9"/>
  <c r="P123" i="9"/>
  <c r="N118" i="9"/>
  <c r="N123" i="9" s="1"/>
  <c r="N117" i="9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P75" i="9"/>
  <c r="N72" i="9"/>
  <c r="N97" i="9" s="1"/>
  <c r="O64" i="9"/>
  <c r="O65" i="9" s="1"/>
  <c r="P89" i="9" s="1"/>
  <c r="Q63" i="9"/>
  <c r="O63" i="9"/>
  <c r="P61" i="9"/>
  <c r="P77" i="9" s="1"/>
  <c r="P60" i="9"/>
  <c r="P59" i="9"/>
  <c r="P76" i="9" s="1"/>
  <c r="P58" i="9"/>
  <c r="P57" i="9"/>
  <c r="P74" i="9" s="1"/>
  <c r="P56" i="9"/>
  <c r="D47" i="9"/>
  <c r="O153" i="9" s="1"/>
  <c r="B47" i="9"/>
  <c r="D46" i="9"/>
  <c r="O123" i="9" s="1"/>
  <c r="B46" i="9"/>
  <c r="O44" i="9"/>
  <c r="O43" i="9"/>
  <c r="O42" i="9"/>
  <c r="N41" i="9"/>
  <c r="Y40" i="9"/>
  <c r="Z38" i="9" s="1"/>
  <c r="P34" i="9"/>
  <c r="P33" i="9"/>
  <c r="P22" i="9"/>
  <c r="O41" i="9" s="1"/>
  <c r="N22" i="9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P158" i="8"/>
  <c r="Q145" i="8" s="1"/>
  <c r="O158" i="8"/>
  <c r="P166" i="8" s="1"/>
  <c r="O151" i="8"/>
  <c r="R146" i="8"/>
  <c r="N146" i="8"/>
  <c r="N145" i="8"/>
  <c r="N158" i="8" s="1"/>
  <c r="X142" i="8"/>
  <c r="Y142" i="8" s="1"/>
  <c r="P159" i="8" s="1"/>
  <c r="Y141" i="8"/>
  <c r="Q132" i="8"/>
  <c r="O132" i="8"/>
  <c r="G132" i="8"/>
  <c r="E132" i="8"/>
  <c r="X131" i="8"/>
  <c r="G131" i="8"/>
  <c r="P123" i="8"/>
  <c r="O123" i="8"/>
  <c r="O152" i="8" s="1"/>
  <c r="N123" i="8"/>
  <c r="N118" i="8"/>
  <c r="P111" i="8"/>
  <c r="X108" i="8"/>
  <c r="X110" i="8" s="1"/>
  <c r="X111" i="8" s="1"/>
  <c r="X112" i="8" s="1"/>
  <c r="X113" i="8" s="1"/>
  <c r="O108" i="8"/>
  <c r="P108" i="8" s="1"/>
  <c r="R100" i="8"/>
  <c r="O98" i="8"/>
  <c r="O86" i="8"/>
  <c r="R72" i="8"/>
  <c r="R79" i="8" s="1"/>
  <c r="N72" i="8"/>
  <c r="N97" i="8" s="1"/>
  <c r="O63" i="8"/>
  <c r="P61" i="8" s="1"/>
  <c r="P77" i="8" s="1"/>
  <c r="N63" i="8"/>
  <c r="O90" i="8" s="1"/>
  <c r="P60" i="8"/>
  <c r="Q59" i="8"/>
  <c r="P58" i="8"/>
  <c r="P75" i="8" s="1"/>
  <c r="Q57" i="8"/>
  <c r="P56" i="8"/>
  <c r="P73" i="8" s="1"/>
  <c r="Q55" i="8"/>
  <c r="D47" i="8"/>
  <c r="B47" i="8"/>
  <c r="D46" i="8"/>
  <c r="B46" i="8"/>
  <c r="O44" i="8"/>
  <c r="O43" i="8"/>
  <c r="O42" i="8"/>
  <c r="O41" i="8"/>
  <c r="N41" i="8"/>
  <c r="S34" i="8"/>
  <c r="P34" i="8"/>
  <c r="O34" i="8"/>
  <c r="S33" i="8"/>
  <c r="P33" i="8"/>
  <c r="O33" i="8"/>
  <c r="O23" i="8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15" i="7"/>
  <c r="O11" i="8" s="1"/>
  <c r="E9" i="7"/>
  <c r="D9" i="7"/>
  <c r="D15" i="7" s="1"/>
  <c r="O11" i="9" s="1"/>
  <c r="F8" i="7"/>
  <c r="F7" i="7"/>
  <c r="B26" i="6"/>
  <c r="G18" i="6"/>
  <c r="G19" i="6" s="1"/>
  <c r="G17" i="6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P11" i="5"/>
  <c r="H11" i="5"/>
  <c r="AO105" i="4"/>
  <c r="Q123" i="4" s="1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AA106" i="4" s="1"/>
  <c r="Z105" i="4"/>
  <c r="Y105" i="4"/>
  <c r="X105" i="4"/>
  <c r="W105" i="4"/>
  <c r="V105" i="4"/>
  <c r="U105" i="4"/>
  <c r="M123" i="4" s="1"/>
  <c r="T105" i="4"/>
  <c r="S105" i="4"/>
  <c r="R105" i="4"/>
  <c r="Q105" i="4"/>
  <c r="P105" i="4"/>
  <c r="O105" i="4"/>
  <c r="N105" i="4"/>
  <c r="M105" i="4"/>
  <c r="L105" i="4"/>
  <c r="K105" i="4"/>
  <c r="K107" i="4" s="1"/>
  <c r="K125" i="4" s="1"/>
  <c r="M50" i="4" s="1"/>
  <c r="M63" i="4" s="1"/>
  <c r="J105" i="4"/>
  <c r="J83" i="4"/>
  <c r="J82" i="4"/>
  <c r="L75" i="4"/>
  <c r="M75" i="4" s="1"/>
  <c r="AI106" i="4" s="1"/>
  <c r="K75" i="4"/>
  <c r="K76" i="4" s="1"/>
  <c r="L76" i="4" s="1"/>
  <c r="M76" i="4" s="1"/>
  <c r="L74" i="4"/>
  <c r="S65" i="4"/>
  <c r="R65" i="4"/>
  <c r="Q65" i="4"/>
  <c r="P65" i="4"/>
  <c r="O65" i="4"/>
  <c r="N65" i="4"/>
  <c r="M65" i="4"/>
  <c r="L65" i="4"/>
  <c r="I64" i="4"/>
  <c r="J52" i="4"/>
  <c r="K65" i="4" s="1"/>
  <c r="I51" i="4"/>
  <c r="E42" i="4"/>
  <c r="E43" i="4" s="1"/>
  <c r="E44" i="4" s="1"/>
  <c r="L51" i="4" s="1"/>
  <c r="D36" i="4"/>
  <c r="K29" i="4"/>
  <c r="K24" i="4"/>
  <c r="K21" i="4" a="1"/>
  <c r="K30" i="4" s="1"/>
  <c r="S18" i="4"/>
  <c r="T18" i="4" s="1"/>
  <c r="T17" i="4"/>
  <c r="S17" i="4"/>
  <c r="R17" i="4"/>
  <c r="S16" i="4"/>
  <c r="T16" i="4" s="1"/>
  <c r="T15" i="4"/>
  <c r="S15" i="4"/>
  <c r="S14" i="4"/>
  <c r="T14" i="4" s="1"/>
  <c r="T13" i="4"/>
  <c r="S13" i="4"/>
  <c r="S12" i="4"/>
  <c r="T12" i="4" s="1"/>
  <c r="T11" i="4"/>
  <c r="S11" i="4"/>
  <c r="S10" i="4"/>
  <c r="T10" i="4" s="1"/>
  <c r="T9" i="4"/>
  <c r="S9" i="4"/>
  <c r="S8" i="4"/>
  <c r="T8" i="4" s="1"/>
  <c r="K16" i="4"/>
  <c r="K11" i="4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J214" i="3"/>
  <c r="G214" i="3"/>
  <c r="K214" i="3" s="1"/>
  <c r="P213" i="3"/>
  <c r="N213" i="3"/>
  <c r="K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J210" i="3"/>
  <c r="G210" i="3"/>
  <c r="K210" i="3" s="1"/>
  <c r="P209" i="3"/>
  <c r="N209" i="3"/>
  <c r="K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J206" i="3"/>
  <c r="G206" i="3"/>
  <c r="K206" i="3" s="1"/>
  <c r="P205" i="3"/>
  <c r="N205" i="3"/>
  <c r="K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J202" i="3"/>
  <c r="G202" i="3"/>
  <c r="K202" i="3" s="1"/>
  <c r="P201" i="3"/>
  <c r="N201" i="3"/>
  <c r="K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J198" i="3"/>
  <c r="G198" i="3"/>
  <c r="K198" i="3" s="1"/>
  <c r="P197" i="3"/>
  <c r="N197" i="3"/>
  <c r="K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J194" i="3"/>
  <c r="G194" i="3"/>
  <c r="K194" i="3" s="1"/>
  <c r="P193" i="3"/>
  <c r="N193" i="3"/>
  <c r="K193" i="3"/>
  <c r="G193" i="3"/>
  <c r="J193" i="3" s="1"/>
  <c r="P192" i="3"/>
  <c r="N192" i="3"/>
  <c r="S129" i="3" s="1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K189" i="3"/>
  <c r="I189" i="3"/>
  <c r="J189" i="3" s="1"/>
  <c r="H189" i="3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I186" i="3" s="1"/>
  <c r="G186" i="3"/>
  <c r="P185" i="3"/>
  <c r="N185" i="3"/>
  <c r="K185" i="3"/>
  <c r="I185" i="3"/>
  <c r="J185" i="3" s="1"/>
  <c r="H185" i="3"/>
  <c r="G185" i="3"/>
  <c r="P184" i="3"/>
  <c r="N184" i="3"/>
  <c r="H184" i="3"/>
  <c r="I184" i="3" s="1"/>
  <c r="G184" i="3"/>
  <c r="P183" i="3"/>
  <c r="N183" i="3"/>
  <c r="I183" i="3"/>
  <c r="G131" i="3" s="1"/>
  <c r="H183" i="3"/>
  <c r="G183" i="3"/>
  <c r="P182" i="3"/>
  <c r="N182" i="3"/>
  <c r="H182" i="3"/>
  <c r="I182" i="3" s="1"/>
  <c r="G182" i="3"/>
  <c r="P181" i="3"/>
  <c r="N181" i="3"/>
  <c r="K181" i="3"/>
  <c r="I181" i="3"/>
  <c r="J181" i="3" s="1"/>
  <c r="H181" i="3"/>
  <c r="G181" i="3"/>
  <c r="P180" i="3"/>
  <c r="N180" i="3"/>
  <c r="H180" i="3"/>
  <c r="I180" i="3" s="1"/>
  <c r="G180" i="3"/>
  <c r="P179" i="3"/>
  <c r="N179" i="3"/>
  <c r="I179" i="3"/>
  <c r="K179" i="3" s="1"/>
  <c r="H179" i="3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I176" i="3" s="1"/>
  <c r="G176" i="3"/>
  <c r="P175" i="3"/>
  <c r="N175" i="3"/>
  <c r="I175" i="3"/>
  <c r="K175" i="3" s="1"/>
  <c r="H175" i="3"/>
  <c r="G175" i="3"/>
  <c r="P173" i="3"/>
  <c r="N173" i="3"/>
  <c r="G173" i="3"/>
  <c r="K173" i="3" s="1"/>
  <c r="E173" i="3"/>
  <c r="P172" i="3"/>
  <c r="N172" i="3"/>
  <c r="I172" i="3"/>
  <c r="E172" i="3"/>
  <c r="P171" i="3"/>
  <c r="N171" i="3"/>
  <c r="E171" i="3"/>
  <c r="P170" i="3"/>
  <c r="N170" i="3"/>
  <c r="I170" i="3"/>
  <c r="E170" i="3"/>
  <c r="P169" i="3"/>
  <c r="N169" i="3"/>
  <c r="G169" i="3"/>
  <c r="K169" i="3" s="1"/>
  <c r="E169" i="3"/>
  <c r="P168" i="3"/>
  <c r="N168" i="3"/>
  <c r="I168" i="3"/>
  <c r="E168" i="3"/>
  <c r="P167" i="3"/>
  <c r="N167" i="3"/>
  <c r="E167" i="3"/>
  <c r="P166" i="3"/>
  <c r="N166" i="3"/>
  <c r="I166" i="3"/>
  <c r="E166" i="3"/>
  <c r="P165" i="3"/>
  <c r="N165" i="3"/>
  <c r="G165" i="3"/>
  <c r="K165" i="3" s="1"/>
  <c r="E165" i="3"/>
  <c r="P164" i="3"/>
  <c r="N164" i="3"/>
  <c r="I164" i="3"/>
  <c r="E164" i="3"/>
  <c r="P163" i="3"/>
  <c r="N163" i="3"/>
  <c r="E163" i="3"/>
  <c r="P162" i="3"/>
  <c r="N162" i="3"/>
  <c r="I162" i="3"/>
  <c r="E162" i="3"/>
  <c r="P161" i="3"/>
  <c r="N161" i="3"/>
  <c r="G161" i="3"/>
  <c r="K161" i="3" s="1"/>
  <c r="E161" i="3"/>
  <c r="P160" i="3"/>
  <c r="N160" i="3"/>
  <c r="I160" i="3"/>
  <c r="E160" i="3"/>
  <c r="P159" i="3"/>
  <c r="N159" i="3"/>
  <c r="E159" i="3"/>
  <c r="P158" i="3"/>
  <c r="N158" i="3"/>
  <c r="I158" i="3"/>
  <c r="E158" i="3"/>
  <c r="P157" i="3"/>
  <c r="N157" i="3"/>
  <c r="G157" i="3"/>
  <c r="K157" i="3" s="1"/>
  <c r="E157" i="3"/>
  <c r="H152" i="3"/>
  <c r="H149" i="3"/>
  <c r="R148" i="3"/>
  <c r="H146" i="3"/>
  <c r="I171" i="3" s="1"/>
  <c r="H143" i="3"/>
  <c r="G170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F137" i="3"/>
  <c r="E137" i="3"/>
  <c r="D137" i="3"/>
  <c r="L136" i="3"/>
  <c r="G136" i="3"/>
  <c r="F136" i="3" s="1"/>
  <c r="G135" i="3"/>
  <c r="F135" i="3"/>
  <c r="E135" i="3"/>
  <c r="D135" i="3"/>
  <c r="L134" i="3"/>
  <c r="L133" i="3"/>
  <c r="L132" i="3"/>
  <c r="L137" i="3" s="1"/>
  <c r="J132" i="3"/>
  <c r="J137" i="3" s="1"/>
  <c r="H132" i="3"/>
  <c r="H137" i="3" s="1"/>
  <c r="F132" i="3"/>
  <c r="I132" i="3" s="1"/>
  <c r="L131" i="3"/>
  <c r="K130" i="3"/>
  <c r="J130" i="3"/>
  <c r="H130" i="3"/>
  <c r="F130" i="3"/>
  <c r="I130" i="3" s="1"/>
  <c r="T129" i="3"/>
  <c r="K129" i="3"/>
  <c r="I129" i="3"/>
  <c r="F129" i="3"/>
  <c r="H129" i="3" s="1"/>
  <c r="J129" i="3" s="1"/>
  <c r="L128" i="3"/>
  <c r="G128" i="3"/>
  <c r="K128" i="3" s="1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L122" i="3"/>
  <c r="J122" i="3"/>
  <c r="H122" i="3"/>
  <c r="G122" i="3"/>
  <c r="F122" i="3"/>
  <c r="E122" i="3"/>
  <c r="L121" i="3"/>
  <c r="J121" i="3"/>
  <c r="H121" i="3"/>
  <c r="G121" i="3"/>
  <c r="F121" i="3"/>
  <c r="E121" i="3"/>
  <c r="K120" i="3"/>
  <c r="I120" i="3"/>
  <c r="F120" i="3"/>
  <c r="H120" i="3" s="1"/>
  <c r="J120" i="3" s="1"/>
  <c r="L119" i="3"/>
  <c r="G119" i="3"/>
  <c r="F119" i="3" s="1"/>
  <c r="L118" i="3"/>
  <c r="L117" i="3"/>
  <c r="G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G113" i="3"/>
  <c r="F113" i="3" s="1"/>
  <c r="K112" i="3"/>
  <c r="I112" i="3"/>
  <c r="F112" i="3"/>
  <c r="H112" i="3" s="1"/>
  <c r="J112" i="3" s="1"/>
  <c r="S111" i="3"/>
  <c r="L111" i="3"/>
  <c r="S110" i="3"/>
  <c r="L110" i="3"/>
  <c r="G110" i="3"/>
  <c r="K110" i="3" s="1"/>
  <c r="S109" i="3"/>
  <c r="L109" i="3"/>
  <c r="W105" i="3"/>
  <c r="I102" i="3"/>
  <c r="I101" i="3"/>
  <c r="N100" i="3"/>
  <c r="I100" i="3"/>
  <c r="N99" i="3"/>
  <c r="N55" i="3"/>
  <c r="N54" i="3"/>
  <c r="F54" i="3"/>
  <c r="F56" i="3" s="1"/>
  <c r="N53" i="3"/>
  <c r="F53" i="3"/>
  <c r="G14" i="3" s="1"/>
  <c r="N52" i="3"/>
  <c r="F52" i="3"/>
  <c r="N51" i="3"/>
  <c r="F51" i="3"/>
  <c r="N50" i="3"/>
  <c r="F50" i="3"/>
  <c r="E50" i="3"/>
  <c r="F11" i="3" s="1"/>
  <c r="N49" i="3"/>
  <c r="F49" i="3"/>
  <c r="G10" i="3" s="1"/>
  <c r="N46" i="3"/>
  <c r="F46" i="3"/>
  <c r="E46" i="3"/>
  <c r="F7" i="3" s="1"/>
  <c r="N45" i="3"/>
  <c r="I45" i="3"/>
  <c r="F45" i="3"/>
  <c r="AL35" i="3"/>
  <c r="AL34" i="3"/>
  <c r="AL30" i="3"/>
  <c r="AL31" i="3" s="1"/>
  <c r="G25" i="3"/>
  <c r="G24" i="3"/>
  <c r="AN23" i="3"/>
  <c r="AN22" i="3"/>
  <c r="AN24" i="3" s="1"/>
  <c r="AL20" i="3"/>
  <c r="AN20" i="3" s="1"/>
  <c r="AN19" i="3"/>
  <c r="AN18" i="3"/>
  <c r="G15" i="3"/>
  <c r="E26" i="6" s="1"/>
  <c r="AL14" i="3"/>
  <c r="G13" i="3"/>
  <c r="G12" i="3"/>
  <c r="G11" i="3"/>
  <c r="J7" i="3"/>
  <c r="G7" i="3"/>
  <c r="G6" i="3"/>
  <c r="N154" i="2"/>
  <c r="N152" i="2"/>
  <c r="N150" i="2"/>
  <c r="N149" i="2" a="1"/>
  <c r="N155" i="2" s="1"/>
  <c r="N149" i="2"/>
  <c r="N147" i="2"/>
  <c r="N145" i="2"/>
  <c r="N143" i="2"/>
  <c r="N142" i="2" a="1"/>
  <c r="N148" i="2" s="1"/>
  <c r="N142" i="2"/>
  <c r="N140" i="2"/>
  <c r="N138" i="2"/>
  <c r="N136" i="2"/>
  <c r="N135" i="2" a="1"/>
  <c r="N141" i="2" s="1"/>
  <c r="N135" i="2"/>
  <c r="N109" i="2"/>
  <c r="N107" i="2"/>
  <c r="N105" i="2"/>
  <c r="N104" i="2" a="1"/>
  <c r="N110" i="2" s="1"/>
  <c r="N104" i="2"/>
  <c r="N102" i="2"/>
  <c r="N100" i="2"/>
  <c r="N98" i="2"/>
  <c r="N97" i="2" a="1"/>
  <c r="N103" i="2" s="1"/>
  <c r="N97" i="2"/>
  <c r="N80" i="2"/>
  <c r="N78" i="2" a="1"/>
  <c r="N83" i="2" s="1"/>
  <c r="N73" i="2"/>
  <c r="N71" i="2"/>
  <c r="N70" i="2"/>
  <c r="N69" i="2"/>
  <c r="N67" i="2"/>
  <c r="N66" i="2"/>
  <c r="N65" i="2"/>
  <c r="N64" i="2" a="1"/>
  <c r="N72" i="2" s="1"/>
  <c r="N64" i="2"/>
  <c r="O54" i="2" a="1"/>
  <c r="O61" i="2" s="1"/>
  <c r="N63" i="2"/>
  <c r="N61" i="2"/>
  <c r="N59" i="2"/>
  <c r="N57" i="2"/>
  <c r="N55" i="2"/>
  <c r="N54" i="2" a="1"/>
  <c r="N60" i="2" s="1"/>
  <c r="N54" i="2"/>
  <c r="O50" i="2"/>
  <c r="O46" i="2"/>
  <c r="O44" i="2" a="1"/>
  <c r="O53" i="2" s="1"/>
  <c r="N53" i="2"/>
  <c r="N51" i="2"/>
  <c r="N50" i="2"/>
  <c r="N49" i="2"/>
  <c r="N47" i="2"/>
  <c r="N46" i="2"/>
  <c r="N45" i="2"/>
  <c r="N44" i="2" a="1"/>
  <c r="N52" i="2" s="1"/>
  <c r="N44" i="2"/>
  <c r="O34" i="2" a="1"/>
  <c r="O41" i="2" s="1"/>
  <c r="N43" i="2"/>
  <c r="N41" i="2"/>
  <c r="N39" i="2"/>
  <c r="N37" i="2"/>
  <c r="N35" i="2"/>
  <c r="N34" i="2" a="1"/>
  <c r="N40" i="2" s="1"/>
  <c r="N34" i="2"/>
  <c r="O30" i="2"/>
  <c r="O26" i="2"/>
  <c r="O24" i="2" a="1"/>
  <c r="O33" i="2" s="1"/>
  <c r="N33" i="2"/>
  <c r="N31" i="2"/>
  <c r="N30" i="2"/>
  <c r="L93" i="13" s="1"/>
  <c r="Q21" i="13" s="1"/>
  <c r="U15" i="13" s="1"/>
  <c r="N29" i="2"/>
  <c r="L79" i="13" s="1"/>
  <c r="Q19" i="13" s="1"/>
  <c r="U14" i="13" s="1"/>
  <c r="N27" i="2"/>
  <c r="L51" i="13" s="1"/>
  <c r="Q15" i="13" s="1"/>
  <c r="U12" i="13" s="1"/>
  <c r="N26" i="2"/>
  <c r="L37" i="13" s="1"/>
  <c r="Q13" i="13" s="1"/>
  <c r="U11" i="13" s="1"/>
  <c r="N25" i="2"/>
  <c r="L23" i="13" s="1"/>
  <c r="Q11" i="13" s="1"/>
  <c r="U10" i="13" s="1"/>
  <c r="N24" i="2" a="1"/>
  <c r="N32" i="2" s="1"/>
  <c r="N24" i="2"/>
  <c r="L9" i="13" s="1"/>
  <c r="Q9" i="13" s="1"/>
  <c r="U9" i="13" s="1"/>
  <c r="E24" i="2" a="1"/>
  <c r="E31" i="2" s="1"/>
  <c r="D33" i="2"/>
  <c r="D31" i="2"/>
  <c r="D29" i="2"/>
  <c r="D27" i="2"/>
  <c r="D25" i="2"/>
  <c r="D24" i="2" a="1"/>
  <c r="D30" i="2" s="1"/>
  <c r="D24" i="2"/>
  <c r="D136" i="1"/>
  <c r="D128" i="1" a="1"/>
  <c r="D131" i="1" s="1"/>
  <c r="D89" i="1"/>
  <c r="D87" i="1"/>
  <c r="D85" i="1"/>
  <c r="D83" i="1"/>
  <c r="D81" i="1"/>
  <c r="D80" i="1" a="1"/>
  <c r="D86" i="1" s="1"/>
  <c r="D80" i="1"/>
  <c r="E76" i="1"/>
  <c r="E72" i="1"/>
  <c r="E70" i="1" a="1"/>
  <c r="E79" i="1" s="1"/>
  <c r="D79" i="1"/>
  <c r="D77" i="1"/>
  <c r="D76" i="1"/>
  <c r="BV21" i="13" s="1"/>
  <c r="DB20" i="13" s="1"/>
  <c r="D75" i="1"/>
  <c r="BV19" i="13" s="1"/>
  <c r="D73" i="1"/>
  <c r="BV15" i="13" s="1"/>
  <c r="DB16" i="13" s="1"/>
  <c r="D72" i="1"/>
  <c r="BV13" i="13" s="1"/>
  <c r="DB14" i="13" s="1"/>
  <c r="D71" i="1"/>
  <c r="BV11" i="13" s="1"/>
  <c r="DB12" i="13" s="1"/>
  <c r="D70" i="1" a="1"/>
  <c r="D78" i="1" s="1"/>
  <c r="D70" i="1"/>
  <c r="BV9" i="13" s="1"/>
  <c r="DB10" i="13" s="1"/>
  <c r="E60" i="1" a="1"/>
  <c r="E67" i="1" s="1"/>
  <c r="D69" i="1"/>
  <c r="D67" i="1"/>
  <c r="D65" i="1"/>
  <c r="D63" i="1"/>
  <c r="D61" i="1"/>
  <c r="D60" i="1" a="1"/>
  <c r="D66" i="1" s="1"/>
  <c r="D60" i="1"/>
  <c r="E56" i="1"/>
  <c r="E52" i="1"/>
  <c r="E50" i="1" a="1"/>
  <c r="E59" i="1" s="1"/>
  <c r="D59" i="1"/>
  <c r="D57" i="1"/>
  <c r="D56" i="1"/>
  <c r="D55" i="1"/>
  <c r="D53" i="1"/>
  <c r="D52" i="1"/>
  <c r="D51" i="1"/>
  <c r="D50" i="1" a="1"/>
  <c r="D58" i="1" s="1"/>
  <c r="D50" i="1"/>
  <c r="E40" i="1" a="1"/>
  <c r="E47" i="1" s="1"/>
  <c r="D47" i="1"/>
  <c r="D45" i="1"/>
  <c r="D43" i="1"/>
  <c r="D41" i="1"/>
  <c r="D40" i="1" a="1"/>
  <c r="D46" i="1" s="1"/>
  <c r="AJ21" i="13" s="1"/>
  <c r="D40" i="1"/>
  <c r="Z33" i="1"/>
  <c r="Z32" i="1"/>
  <c r="Z31" i="1"/>
  <c r="Z30" i="1" a="1"/>
  <c r="Z34" i="1" s="1"/>
  <c r="Z30" i="1"/>
  <c r="E30" i="1" a="1"/>
  <c r="E37" i="1" s="1"/>
  <c r="D37" i="1"/>
  <c r="D33" i="1"/>
  <c r="D30" i="1" a="1"/>
  <c r="D36" i="1" s="1"/>
  <c r="AJ20" i="13" s="1"/>
  <c r="D30" i="1"/>
  <c r="O27" i="1" a="1"/>
  <c r="O30" i="1" s="1"/>
  <c r="AA28" i="1"/>
  <c r="AA27" i="1"/>
  <c r="AA26" i="1"/>
  <c r="AA25" i="1" a="1"/>
  <c r="AA25" i="1"/>
  <c r="Z28" i="1"/>
  <c r="Z27" i="1"/>
  <c r="Z25" i="1" a="1"/>
  <c r="Z26" i="1" s="1"/>
  <c r="Z25" i="1"/>
  <c r="AL29" i="1"/>
  <c r="AL27" i="1"/>
  <c r="AL26" i="1"/>
  <c r="AL25" i="1"/>
  <c r="AL23" i="1"/>
  <c r="AL22" i="1"/>
  <c r="AL21" i="1"/>
  <c r="AL20" i="1" a="1"/>
  <c r="AL28" i="1" s="1"/>
  <c r="AL20" i="1"/>
  <c r="AK20" i="1" a="1"/>
  <c r="AK27" i="1" s="1"/>
  <c r="AA23" i="1"/>
  <c r="AA22" i="1"/>
  <c r="AA20" i="1" a="1"/>
  <c r="AA21" i="1" s="1"/>
  <c r="AA20" i="1"/>
  <c r="Z20" i="1" a="1"/>
  <c r="Z23" i="1" s="1"/>
  <c r="O20" i="1" a="1"/>
  <c r="O23" i="1" s="1"/>
  <c r="E27" i="1"/>
  <c r="E23" i="1"/>
  <c r="E20" i="1" a="1"/>
  <c r="E26" i="1" s="1"/>
  <c r="E20" i="1"/>
  <c r="D26" i="1"/>
  <c r="D22" i="1"/>
  <c r="D20" i="1" a="1"/>
  <c r="D29" i="1" s="1"/>
  <c r="E90" i="16" l="1"/>
  <c r="H90" i="16" s="1"/>
  <c r="E180" i="16"/>
  <c r="E178" i="16"/>
  <c r="E176" i="16"/>
  <c r="E177" i="16"/>
  <c r="I36" i="16"/>
  <c r="J36" i="16" s="1"/>
  <c r="G44" i="16"/>
  <c r="I44" i="16" s="1"/>
  <c r="J44" i="16" s="1"/>
  <c r="I35" i="16"/>
  <c r="J35" i="16" s="1"/>
  <c r="G43" i="16"/>
  <c r="I43" i="16" s="1"/>
  <c r="J43" i="16" s="1"/>
  <c r="I37" i="16"/>
  <c r="J37" i="16" s="1"/>
  <c r="G45" i="16"/>
  <c r="I45" i="16" s="1"/>
  <c r="J45" i="16" s="1"/>
  <c r="AQ60" i="13"/>
  <c r="AT16" i="13"/>
  <c r="AP11" i="13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BB18" i="13"/>
  <c r="AP23" i="13"/>
  <c r="AP43" i="13"/>
  <c r="AT11" i="13"/>
  <c r="L94" i="10"/>
  <c r="E8" i="8"/>
  <c r="E8" i="9"/>
  <c r="J9" i="3"/>
  <c r="J10" i="3" s="1"/>
  <c r="F15" i="9"/>
  <c r="G8" i="6"/>
  <c r="F15" i="8"/>
  <c r="J184" i="3"/>
  <c r="K184" i="3"/>
  <c r="L64" i="4"/>
  <c r="M64" i="4" s="1"/>
  <c r="N64" i="4" s="1"/>
  <c r="O64" i="4" s="1"/>
  <c r="P64" i="4" s="1"/>
  <c r="Q64" i="4" s="1"/>
  <c r="R64" i="4" s="1"/>
  <c r="S64" i="4" s="1"/>
  <c r="M51" i="4"/>
  <c r="N51" i="4" s="1"/>
  <c r="O51" i="4" s="1"/>
  <c r="P51" i="4" s="1"/>
  <c r="Q51" i="4" s="1"/>
  <c r="R51" i="4" s="1"/>
  <c r="S51" i="4" s="1"/>
  <c r="AL15" i="3"/>
  <c r="E12" i="9"/>
  <c r="E12" i="8"/>
  <c r="O65" i="7" s="1"/>
  <c r="I113" i="3"/>
  <c r="H113" i="3"/>
  <c r="J113" i="3" s="1"/>
  <c r="G16" i="3"/>
  <c r="J180" i="3"/>
  <c r="K180" i="3"/>
  <c r="S107" i="4"/>
  <c r="W107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K186" i="3"/>
  <c r="J186" i="3"/>
  <c r="O107" i="4"/>
  <c r="J190" i="3"/>
  <c r="K190" i="3"/>
  <c r="G133" i="3"/>
  <c r="C26" i="6"/>
  <c r="F11" i="9"/>
  <c r="F11" i="8"/>
  <c r="I119" i="3"/>
  <c r="H119" i="3"/>
  <c r="J119" i="3" s="1"/>
  <c r="K170" i="3"/>
  <c r="J170" i="3"/>
  <c r="K182" i="3"/>
  <c r="J182" i="3"/>
  <c r="G124" i="3"/>
  <c r="G134" i="3"/>
  <c r="J188" i="3"/>
  <c r="K188" i="3"/>
  <c r="O24" i="1"/>
  <c r="E44" i="1"/>
  <c r="E48" i="1"/>
  <c r="D132" i="1"/>
  <c r="O58" i="2"/>
  <c r="O62" i="2"/>
  <c r="F13" i="9"/>
  <c r="F13" i="8"/>
  <c r="O66" i="7" s="1"/>
  <c r="G6" i="6"/>
  <c r="M107" i="4"/>
  <c r="Y107" i="4"/>
  <c r="AG107" i="4"/>
  <c r="W106" i="4"/>
  <c r="H64" i="10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29" i="1"/>
  <c r="D133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8" i="2"/>
  <c r="N81" i="2"/>
  <c r="N101" i="2"/>
  <c r="N108" i="2"/>
  <c r="N139" i="2"/>
  <c r="N146" i="2"/>
  <c r="N153" i="2"/>
  <c r="AO75" i="13"/>
  <c r="AO44" i="13" s="1"/>
  <c r="V19" i="13"/>
  <c r="G9" i="6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23" i="4"/>
  <c r="J107" i="4"/>
  <c r="J125" i="4" s="1"/>
  <c r="L50" i="4" s="1"/>
  <c r="L63" i="4" s="1"/>
  <c r="J106" i="4"/>
  <c r="J124" i="4" s="1"/>
  <c r="L49" i="4" s="1"/>
  <c r="L62" i="4" s="1"/>
  <c r="N107" i="4"/>
  <c r="N106" i="4"/>
  <c r="R107" i="4"/>
  <c r="R106" i="4"/>
  <c r="V107" i="4"/>
  <c r="V106" i="4"/>
  <c r="N123" i="4"/>
  <c r="Z107" i="4"/>
  <c r="N125" i="4" s="1"/>
  <c r="P50" i="4" s="1"/>
  <c r="P63" i="4" s="1"/>
  <c r="Z106" i="4"/>
  <c r="N124" i="4" s="1"/>
  <c r="P49" i="4" s="1"/>
  <c r="P62" i="4" s="1"/>
  <c r="AD107" i="4"/>
  <c r="AD106" i="4"/>
  <c r="AH107" i="4"/>
  <c r="AH106" i="4"/>
  <c r="AL107" i="4"/>
  <c r="K106" i="4"/>
  <c r="K124" i="4" s="1"/>
  <c r="M49" i="4" s="1"/>
  <c r="M62" i="4" s="1"/>
  <c r="P11" i="9"/>
  <c r="Q22" i="9"/>
  <c r="AP8" i="11"/>
  <c r="I43" i="11"/>
  <c r="H43" i="11"/>
  <c r="L43" i="11" s="1"/>
  <c r="I50" i="11"/>
  <c r="H50" i="11"/>
  <c r="L50" i="11" s="1"/>
  <c r="H53" i="11"/>
  <c r="I53" i="11"/>
  <c r="H55" i="11"/>
  <c r="L55" i="11" s="1"/>
  <c r="I55" i="11"/>
  <c r="AC12" i="11"/>
  <c r="H62" i="11"/>
  <c r="L62" i="11" s="1"/>
  <c r="L68" i="11"/>
  <c r="I68" i="11"/>
  <c r="Z24" i="1"/>
  <c r="E64" i="1"/>
  <c r="E68" i="1"/>
  <c r="V9" i="13" a="1"/>
  <c r="O38" i="2"/>
  <c r="F16" i="9"/>
  <c r="G14" i="6"/>
  <c r="F16" i="8"/>
  <c r="K114" i="3"/>
  <c r="K119" i="3"/>
  <c r="J135" i="3"/>
  <c r="K136" i="3"/>
  <c r="B145" i="3"/>
  <c r="Q107" i="4"/>
  <c r="AC107" i="4"/>
  <c r="AK107" i="4"/>
  <c r="AM106" i="4"/>
  <c r="N98" i="9"/>
  <c r="N99" i="9"/>
  <c r="N100" i="9"/>
  <c r="AC16" i="11"/>
  <c r="H41" i="11"/>
  <c r="L41" i="11" s="1"/>
  <c r="H64" i="11"/>
  <c r="L64" i="11" s="1"/>
  <c r="D20" i="1"/>
  <c r="D9" i="13" s="1" a="1"/>
  <c r="D23" i="1"/>
  <c r="D27" i="1"/>
  <c r="E24" i="1"/>
  <c r="E28" i="1"/>
  <c r="O21" i="1"/>
  <c r="Z21" i="1"/>
  <c r="AK21" i="1"/>
  <c r="AK29" i="1"/>
  <c r="O28" i="1"/>
  <c r="AA24" i="1"/>
  <c r="AL32" i="1" s="1" a="1"/>
  <c r="AK22" i="1"/>
  <c r="AK26" i="1"/>
  <c r="AN70" i="13" s="1"/>
  <c r="E54" i="1"/>
  <c r="E58" i="1"/>
  <c r="E62" i="1"/>
  <c r="E66" i="1"/>
  <c r="E74" i="1"/>
  <c r="E78" i="1"/>
  <c r="D130" i="1"/>
  <c r="D134" i="1"/>
  <c r="E26" i="2"/>
  <c r="E30" i="2"/>
  <c r="O28" i="2"/>
  <c r="O32" i="2"/>
  <c r="O36" i="2"/>
  <c r="O40" i="2"/>
  <c r="O48" i="2"/>
  <c r="O52" i="2"/>
  <c r="O56" i="2"/>
  <c r="O60" i="2"/>
  <c r="N82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27" i="4"/>
  <c r="L127" i="4"/>
  <c r="P126" i="4"/>
  <c r="R48" i="4" s="1"/>
  <c r="R61" i="4" s="1"/>
  <c r="L126" i="4"/>
  <c r="N48" i="4" s="1"/>
  <c r="N61" i="4" s="1"/>
  <c r="P122" i="4"/>
  <c r="R47" i="4" s="1"/>
  <c r="R60" i="4" s="1"/>
  <c r="L122" i="4"/>
  <c r="N47" i="4" s="1"/>
  <c r="N60" i="4" s="1"/>
  <c r="P121" i="4"/>
  <c r="R46" i="4" s="1"/>
  <c r="R59" i="4" s="1"/>
  <c r="L121" i="4"/>
  <c r="N46" i="4" s="1"/>
  <c r="N59" i="4" s="1"/>
  <c r="P120" i="4"/>
  <c r="R45" i="4" s="1"/>
  <c r="R58" i="4" s="1"/>
  <c r="L120" i="4"/>
  <c r="N45" i="4" s="1"/>
  <c r="N58" i="4" s="1"/>
  <c r="P119" i="4"/>
  <c r="R44" i="4" s="1"/>
  <c r="R57" i="4" s="1"/>
  <c r="L119" i="4"/>
  <c r="N44" i="4" s="1"/>
  <c r="N57" i="4" s="1"/>
  <c r="P118" i="4"/>
  <c r="R43" i="4" s="1"/>
  <c r="R56" i="4" s="1"/>
  <c r="L118" i="4"/>
  <c r="N43" i="4" s="1"/>
  <c r="N56" i="4" s="1"/>
  <c r="P117" i="4"/>
  <c r="R42" i="4" s="1"/>
  <c r="R55" i="4" s="1"/>
  <c r="L117" i="4"/>
  <c r="N42" i="4" s="1"/>
  <c r="N55" i="4" s="1"/>
  <c r="P116" i="4"/>
  <c r="R41" i="4" s="1"/>
  <c r="R54" i="4" s="1"/>
  <c r="L116" i="4"/>
  <c r="N41" i="4" s="1"/>
  <c r="N54" i="4" s="1"/>
  <c r="P115" i="4"/>
  <c r="R40" i="4" s="1"/>
  <c r="R53" i="4" s="1"/>
  <c r="L115" i="4"/>
  <c r="N40" i="4" s="1"/>
  <c r="N53" i="4" s="1"/>
  <c r="O127" i="4"/>
  <c r="K127" i="4"/>
  <c r="O126" i="4"/>
  <c r="Q48" i="4" s="1"/>
  <c r="Q61" i="4" s="1"/>
  <c r="K126" i="4"/>
  <c r="M48" i="4" s="1"/>
  <c r="M61" i="4" s="1"/>
  <c r="O122" i="4"/>
  <c r="Q47" i="4" s="1"/>
  <c r="Q60" i="4" s="1"/>
  <c r="K122" i="4"/>
  <c r="M47" i="4" s="1"/>
  <c r="M60" i="4" s="1"/>
  <c r="O121" i="4"/>
  <c r="Q46" i="4" s="1"/>
  <c r="Q59" i="4" s="1"/>
  <c r="K121" i="4"/>
  <c r="M46" i="4" s="1"/>
  <c r="M59" i="4" s="1"/>
  <c r="O120" i="4"/>
  <c r="Q45" i="4" s="1"/>
  <c r="Q58" i="4" s="1"/>
  <c r="K120" i="4"/>
  <c r="M45" i="4" s="1"/>
  <c r="M58" i="4" s="1"/>
  <c r="O119" i="4"/>
  <c r="Q44" i="4" s="1"/>
  <c r="Q57" i="4" s="1"/>
  <c r="K119" i="4"/>
  <c r="M44" i="4" s="1"/>
  <c r="M57" i="4" s="1"/>
  <c r="O118" i="4"/>
  <c r="Q43" i="4" s="1"/>
  <c r="Q56" i="4" s="1"/>
  <c r="K118" i="4"/>
  <c r="M43" i="4" s="1"/>
  <c r="M56" i="4" s="1"/>
  <c r="O117" i="4"/>
  <c r="Q42" i="4" s="1"/>
  <c r="Q55" i="4" s="1"/>
  <c r="K117" i="4"/>
  <c r="M42" i="4" s="1"/>
  <c r="M55" i="4" s="1"/>
  <c r="O116" i="4"/>
  <c r="Q41" i="4" s="1"/>
  <c r="Q54" i="4" s="1"/>
  <c r="K116" i="4"/>
  <c r="M41" i="4" s="1"/>
  <c r="M54" i="4" s="1"/>
  <c r="O115" i="4"/>
  <c r="Q40" i="4" s="1"/>
  <c r="Q53" i="4" s="1"/>
  <c r="K115" i="4"/>
  <c r="M40" i="4" s="1"/>
  <c r="M53" i="4" s="1"/>
  <c r="N127" i="4"/>
  <c r="J127" i="4"/>
  <c r="N126" i="4"/>
  <c r="P48" i="4" s="1"/>
  <c r="P61" i="4" s="1"/>
  <c r="J126" i="4"/>
  <c r="L48" i="4" s="1"/>
  <c r="L61" i="4" s="1"/>
  <c r="N122" i="4"/>
  <c r="P47" i="4" s="1"/>
  <c r="P60" i="4" s="1"/>
  <c r="J122" i="4"/>
  <c r="L47" i="4" s="1"/>
  <c r="L60" i="4" s="1"/>
  <c r="N121" i="4"/>
  <c r="P46" i="4" s="1"/>
  <c r="P59" i="4" s="1"/>
  <c r="J121" i="4"/>
  <c r="L46" i="4" s="1"/>
  <c r="L59" i="4" s="1"/>
  <c r="N120" i="4"/>
  <c r="P45" i="4" s="1"/>
  <c r="P58" i="4" s="1"/>
  <c r="J120" i="4"/>
  <c r="L45" i="4" s="1"/>
  <c r="L58" i="4" s="1"/>
  <c r="N119" i="4"/>
  <c r="P44" i="4" s="1"/>
  <c r="P57" i="4" s="1"/>
  <c r="J119" i="4"/>
  <c r="L44" i="4" s="1"/>
  <c r="L57" i="4" s="1"/>
  <c r="N118" i="4"/>
  <c r="P43" i="4" s="1"/>
  <c r="P56" i="4" s="1"/>
  <c r="J118" i="4"/>
  <c r="L43" i="4" s="1"/>
  <c r="L56" i="4" s="1"/>
  <c r="N117" i="4"/>
  <c r="P42" i="4" s="1"/>
  <c r="P55" i="4" s="1"/>
  <c r="J117" i="4"/>
  <c r="L42" i="4" s="1"/>
  <c r="L55" i="4" s="1"/>
  <c r="N116" i="4"/>
  <c r="P41" i="4" s="1"/>
  <c r="P54" i="4" s="1"/>
  <c r="J116" i="4"/>
  <c r="L41" i="4" s="1"/>
  <c r="L54" i="4" s="1"/>
  <c r="N115" i="4"/>
  <c r="P40" i="4" s="1"/>
  <c r="P53" i="4" s="1"/>
  <c r="J115" i="4"/>
  <c r="L40" i="4" s="1"/>
  <c r="L53" i="4" s="1"/>
  <c r="Q127" i="4"/>
  <c r="M127" i="4"/>
  <c r="Q126" i="4"/>
  <c r="S48" i="4" s="1"/>
  <c r="S61" i="4" s="1"/>
  <c r="M126" i="4"/>
  <c r="O48" i="4" s="1"/>
  <c r="O61" i="4" s="1"/>
  <c r="Q122" i="4"/>
  <c r="S47" i="4" s="1"/>
  <c r="S60" i="4" s="1"/>
  <c r="M122" i="4"/>
  <c r="O47" i="4" s="1"/>
  <c r="O60" i="4" s="1"/>
  <c r="Q121" i="4"/>
  <c r="S46" i="4" s="1"/>
  <c r="S59" i="4" s="1"/>
  <c r="M121" i="4"/>
  <c r="O46" i="4" s="1"/>
  <c r="O59" i="4" s="1"/>
  <c r="Q120" i="4"/>
  <c r="S45" i="4" s="1"/>
  <c r="S58" i="4" s="1"/>
  <c r="M120" i="4"/>
  <c r="O45" i="4" s="1"/>
  <c r="O58" i="4" s="1"/>
  <c r="Q119" i="4"/>
  <c r="S44" i="4" s="1"/>
  <c r="S57" i="4" s="1"/>
  <c r="M119" i="4"/>
  <c r="O44" i="4" s="1"/>
  <c r="O57" i="4" s="1"/>
  <c r="Q118" i="4"/>
  <c r="S43" i="4" s="1"/>
  <c r="S56" i="4" s="1"/>
  <c r="M118" i="4"/>
  <c r="O43" i="4" s="1"/>
  <c r="O56" i="4" s="1"/>
  <c r="Q117" i="4"/>
  <c r="S42" i="4" s="1"/>
  <c r="S55" i="4" s="1"/>
  <c r="M117" i="4"/>
  <c r="O42" i="4" s="1"/>
  <c r="O55" i="4" s="1"/>
  <c r="Q116" i="4"/>
  <c r="S41" i="4" s="1"/>
  <c r="S54" i="4" s="1"/>
  <c r="M116" i="4"/>
  <c r="O41" i="4" s="1"/>
  <c r="O54" i="4" s="1"/>
  <c r="Q115" i="4"/>
  <c r="S40" i="4" s="1"/>
  <c r="S53" i="4" s="1"/>
  <c r="M115" i="4"/>
  <c r="O40" i="4" s="1"/>
  <c r="O53" i="4" s="1"/>
  <c r="K17" i="4"/>
  <c r="K13" i="4"/>
  <c r="K9" i="4"/>
  <c r="K14" i="4"/>
  <c r="K31" i="4"/>
  <c r="K27" i="4"/>
  <c r="K23" i="4"/>
  <c r="K26" i="4"/>
  <c r="K123" i="4"/>
  <c r="AA107" i="4"/>
  <c r="O123" i="4"/>
  <c r="AE107" i="4"/>
  <c r="O125" i="4" s="1"/>
  <c r="Q50" i="4" s="1"/>
  <c r="Q63" i="4" s="1"/>
  <c r="AI107" i="4"/>
  <c r="AM107" i="4"/>
  <c r="O106" i="4"/>
  <c r="AE106" i="4"/>
  <c r="O124" i="4" s="1"/>
  <c r="Q49" i="4" s="1"/>
  <c r="Q62" i="4" s="1"/>
  <c r="P36" i="8"/>
  <c r="Q79" i="9"/>
  <c r="M21" i="12"/>
  <c r="M51" i="12"/>
  <c r="M83" i="12" s="1"/>
  <c r="BD10" i="11"/>
  <c r="AB75" i="12"/>
  <c r="H47" i="11"/>
  <c r="L47" i="11" s="1"/>
  <c r="H52" i="11"/>
  <c r="I52" i="11"/>
  <c r="BD11" i="11"/>
  <c r="I59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D76" i="12"/>
  <c r="W9" i="11"/>
  <c r="AK9" i="11" s="1"/>
  <c r="BD7" i="11" s="1"/>
  <c r="H63" i="11"/>
  <c r="L63" i="11" s="1"/>
  <c r="D24" i="1"/>
  <c r="D28" i="1"/>
  <c r="E21" i="1"/>
  <c r="E25" i="1"/>
  <c r="E29" i="1"/>
  <c r="O22" i="1"/>
  <c r="O26" i="1"/>
  <c r="Z22" i="1"/>
  <c r="O29" i="1"/>
  <c r="D31" i="1"/>
  <c r="AO9" i="13" s="1" a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AF9" i="13" s="1" a="1"/>
  <c r="D128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AE9" i="13" s="1" a="1"/>
  <c r="N79" i="2"/>
  <c r="N99" i="2"/>
  <c r="DE9" i="13" s="1" a="1"/>
  <c r="N106" i="2"/>
  <c r="N137" i="2"/>
  <c r="N144" i="2"/>
  <c r="AN9" i="13" s="1" a="1"/>
  <c r="N151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07" i="4"/>
  <c r="L123" i="4"/>
  <c r="T107" i="4"/>
  <c r="X107" i="4"/>
  <c r="AB107" i="4"/>
  <c r="AF107" i="4"/>
  <c r="P123" i="4"/>
  <c r="AN107" i="4"/>
  <c r="S106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H61" i="10"/>
  <c r="G66" i="10"/>
  <c r="H65" i="10" s="1"/>
  <c r="M14" i="12"/>
  <c r="M44" i="12"/>
  <c r="M76" i="12" s="1"/>
  <c r="H63" i="10"/>
  <c r="K63" i="10"/>
  <c r="AP6" i="11"/>
  <c r="AV9" i="11"/>
  <c r="AF78" i="12"/>
  <c r="AD78" i="12"/>
  <c r="AE78" i="12" s="1"/>
  <c r="AB80" i="12"/>
  <c r="I46" i="11"/>
  <c r="BG8" i="11"/>
  <c r="AD6" i="11"/>
  <c r="AB6" i="11"/>
  <c r="I51" i="11"/>
  <c r="H51" i="11"/>
  <c r="H57" i="11"/>
  <c r="L57" i="11" s="1"/>
  <c r="AC11" i="11"/>
  <c r="M106" i="4"/>
  <c r="Q106" i="4"/>
  <c r="U106" i="4"/>
  <c r="M124" i="4" s="1"/>
  <c r="O49" i="4" s="1"/>
  <c r="O62" i="4" s="1"/>
  <c r="Y106" i="4"/>
  <c r="AC106" i="4"/>
  <c r="AG106" i="4"/>
  <c r="AK106" i="4"/>
  <c r="AO106" i="4"/>
  <c r="Q124" i="4" s="1"/>
  <c r="S49" i="4" s="1"/>
  <c r="S62" i="4" s="1"/>
  <c r="U107" i="4"/>
  <c r="M125" i="4" s="1"/>
  <c r="O50" i="4" s="1"/>
  <c r="O63" i="4" s="1"/>
  <c r="AO107" i="4"/>
  <c r="Q125" i="4" s="1"/>
  <c r="S50" i="4" s="1"/>
  <c r="S63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N10" i="16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U7" i="11"/>
  <c r="AC79" i="12"/>
  <c r="AF79" i="12"/>
  <c r="AD79" i="12"/>
  <c r="AF85" i="12"/>
  <c r="AD85" i="12"/>
  <c r="AC85" i="12"/>
  <c r="AD89" i="12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W10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Z7" i="11" s="1"/>
  <c r="AN52" i="11"/>
  <c r="X9" i="11" s="1"/>
  <c r="AL9" i="11" s="1"/>
  <c r="BE7" i="11" s="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Q165" i="11"/>
  <c r="W73" i="12"/>
  <c r="Z73" i="12"/>
  <c r="Y73" i="12"/>
  <c r="X73" i="12"/>
  <c r="P73" i="12"/>
  <c r="X76" i="12"/>
  <c r="P76" i="12"/>
  <c r="W76" i="12"/>
  <c r="AG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06" i="4"/>
  <c r="O64" i="8"/>
  <c r="O65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C70" i="12"/>
  <c r="AF70" i="12"/>
  <c r="AD71" i="12"/>
  <c r="AE71" i="12" s="1"/>
  <c r="AF72" i="12"/>
  <c r="AD72" i="12"/>
  <c r="AD73" i="12"/>
  <c r="AF73" i="12"/>
  <c r="AG73" i="12" s="1"/>
  <c r="AC82" i="12"/>
  <c r="AF82" i="12"/>
  <c r="AF86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Q14" i="11" s="1"/>
  <c r="AE14" i="11" s="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W11" i="11" s="1"/>
  <c r="AQ68" i="11"/>
  <c r="AA24" i="11" s="1"/>
  <c r="AO24" i="11" s="1"/>
  <c r="BH11" i="11" s="1"/>
  <c r="AM68" i="11"/>
  <c r="W24" i="11" s="1"/>
  <c r="AK24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X78" i="12"/>
  <c r="P78" i="12"/>
  <c r="W78" i="12"/>
  <c r="Z78" i="12"/>
  <c r="AG78" i="12"/>
  <c r="Y78" i="12"/>
  <c r="Q63" i="8"/>
  <c r="Q58" i="8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F84" i="12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BF10" i="11" s="1"/>
  <c r="H45" i="11"/>
  <c r="L45" i="11" s="1"/>
  <c r="AH45" i="11"/>
  <c r="H46" i="11"/>
  <c r="L46" i="11" s="1"/>
  <c r="AH46" i="11"/>
  <c r="R14" i="11" s="1"/>
  <c r="AF14" i="11" s="1"/>
  <c r="AL46" i="11"/>
  <c r="AG47" i="11"/>
  <c r="AK47" i="11"/>
  <c r="AO47" i="11"/>
  <c r="Y14" i="11" s="1"/>
  <c r="AM14" i="11" s="1"/>
  <c r="BF8" i="11" s="1"/>
  <c r="G48" i="11"/>
  <c r="AG48" i="11"/>
  <c r="AK48" i="11"/>
  <c r="U15" i="11" s="1"/>
  <c r="AI15" i="11" s="1"/>
  <c r="AF49" i="11"/>
  <c r="P15" i="11" s="1"/>
  <c r="AJ49" i="11"/>
  <c r="T15" i="11" s="1"/>
  <c r="AH15" i="11" s="1"/>
  <c r="AE51" i="11"/>
  <c r="O9" i="11" s="1"/>
  <c r="AJ51" i="11"/>
  <c r="T9" i="11" s="1"/>
  <c r="AH9" i="11" s="1"/>
  <c r="BA7" i="11" s="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O165" i="11"/>
  <c r="S165" i="11"/>
  <c r="W165" i="11"/>
  <c r="Q67" i="12"/>
  <c r="W77" i="12"/>
  <c r="Z77" i="12"/>
  <c r="Y77" i="12"/>
  <c r="X77" i="12"/>
  <c r="P77" i="12"/>
  <c r="Y80" i="12"/>
  <c r="X80" i="12"/>
  <c r="P80" i="12"/>
  <c r="W80" i="12"/>
  <c r="Z80" i="12"/>
  <c r="L106" i="4"/>
  <c r="P106" i="4"/>
  <c r="L124" i="4" s="1"/>
  <c r="N49" i="4" s="1"/>
  <c r="N62" i="4" s="1"/>
  <c r="T106" i="4"/>
  <c r="X106" i="4"/>
  <c r="AB106" i="4"/>
  <c r="AF106" i="4"/>
  <c r="AJ106" i="4"/>
  <c r="P124" i="4" s="1"/>
  <c r="R49" i="4" s="1"/>
  <c r="R62" i="4" s="1"/>
  <c r="AN106" i="4"/>
  <c r="P107" i="4"/>
  <c r="L125" i="4" s="1"/>
  <c r="N50" i="4" s="1"/>
  <c r="N63" i="4" s="1"/>
  <c r="AJ107" i="4"/>
  <c r="P125" i="4" s="1"/>
  <c r="R50" i="4" s="1"/>
  <c r="R63" i="4" s="1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R19" i="11" s="1"/>
  <c r="AF19" i="11" s="1"/>
  <c r="AY10" i="11" s="1"/>
  <c r="AL44" i="11"/>
  <c r="V19" i="11" s="1"/>
  <c r="AJ19" i="11" s="1"/>
  <c r="BC10" i="11" s="1"/>
  <c r="AE45" i="11"/>
  <c r="AE46" i="11"/>
  <c r="O14" i="11" s="1"/>
  <c r="AI46" i="11"/>
  <c r="S14" i="11" s="1"/>
  <c r="AG14" i="11" s="1"/>
  <c r="AZ8" i="11" s="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O23" i="11" s="1"/>
  <c r="AH56" i="11"/>
  <c r="AI58" i="11"/>
  <c r="AE58" i="11"/>
  <c r="AL58" i="11"/>
  <c r="V23" i="11" s="1"/>
  <c r="AJ23" i="11" s="1"/>
  <c r="BC11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Q23" i="11" s="1"/>
  <c r="AE23" i="11" s="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P11" i="11" s="1"/>
  <c r="AD11" i="11" s="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AG70" i="12"/>
  <c r="Y70" i="12"/>
  <c r="X72" i="12"/>
  <c r="P72" i="12"/>
  <c r="W72" i="12"/>
  <c r="AG72" i="12"/>
  <c r="Y72" i="12"/>
  <c r="Z72" i="12"/>
  <c r="N43" i="12"/>
  <c r="Z43" i="12" s="1"/>
  <c r="O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E70" i="12"/>
  <c r="AH70" i="12"/>
  <c r="N50" i="12"/>
  <c r="Z50" i="12" s="1"/>
  <c r="O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R22" i="11" s="1"/>
  <c r="AF22" i="11" s="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T165" i="11"/>
  <c r="X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D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X85" i="12"/>
  <c r="P85" i="12"/>
  <c r="W85" i="12"/>
  <c r="Z85" i="12"/>
  <c r="Y85" i="12"/>
  <c r="AG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P48" i="12"/>
  <c r="Q80" i="12"/>
  <c r="Q81" i="12"/>
  <c r="AC81" i="12" s="1"/>
  <c r="AH83" i="12"/>
  <c r="AE85" i="12"/>
  <c r="AH85" i="12"/>
  <c r="Z88" i="12"/>
  <c r="AG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H75" i="12"/>
  <c r="AE76" i="12"/>
  <c r="AH76" i="12"/>
  <c r="AE79" i="12"/>
  <c r="AH79" i="12"/>
  <c r="AE81" i="12"/>
  <c r="AH81" i="12"/>
  <c r="AH82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Z10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R165" i="11"/>
  <c r="V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AH78" i="12"/>
  <c r="Q84" i="12"/>
  <c r="AC84" i="12" s="1"/>
  <c r="Q86" i="12"/>
  <c r="AC86" i="12" s="1"/>
  <c r="AE89" i="12"/>
  <c r="AH89" i="12"/>
  <c r="R67" i="12"/>
  <c r="AH80" i="12"/>
  <c r="AH86" i="12"/>
  <c r="R105" i="12"/>
  <c r="V105" i="12"/>
  <c r="Q87" i="12"/>
  <c r="Q105" i="12" s="1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AO52" i="13"/>
  <c r="BD11" i="13"/>
  <c r="BD10" i="13"/>
  <c r="BH14" i="13"/>
  <c r="BH13" i="13"/>
  <c r="BH12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8" i="13"/>
  <c r="CM27" i="13"/>
  <c r="CM24" i="13"/>
  <c r="CM26" i="13"/>
  <c r="CM25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CB16" i="13" s="1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J36" i="15" a="1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J38" i="16" l="1"/>
  <c r="J46" i="16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BG18" i="13"/>
  <c r="BG10" i="13"/>
  <c r="BG17" i="13"/>
  <c r="BG20" i="13"/>
  <c r="BG19" i="13"/>
  <c r="BG16" i="13"/>
  <c r="BG23" i="13"/>
  <c r="AC19" i="11"/>
  <c r="AB19" i="11"/>
  <c r="AN26" i="13"/>
  <c r="AN22" i="13"/>
  <c r="AN18" i="13"/>
  <c r="AN14" i="13"/>
  <c r="AN10" i="13"/>
  <c r="AN29" i="13"/>
  <c r="AN24" i="13"/>
  <c r="AN19" i="13"/>
  <c r="AN13" i="13"/>
  <c r="AN9" i="13"/>
  <c r="AN28" i="13"/>
  <c r="AN23" i="13"/>
  <c r="AN17" i="13"/>
  <c r="AN12" i="13"/>
  <c r="AN27" i="13"/>
  <c r="AN21" i="13"/>
  <c r="AN16" i="13"/>
  <c r="AN11" i="13"/>
  <c r="AN25" i="13"/>
  <c r="AN20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BA8" i="11"/>
  <c r="AB11" i="11"/>
  <c r="AQ70" i="13"/>
  <c r="AQ53" i="13"/>
  <c r="AQ57" i="13"/>
  <c r="AQ61" i="13"/>
  <c r="AQ49" i="13"/>
  <c r="AQ65" i="13"/>
  <c r="J163" i="3"/>
  <c r="K163" i="3"/>
  <c r="V13" i="13"/>
  <c r="V11" i="13"/>
  <c r="V15" i="13"/>
  <c r="V10" i="13"/>
  <c r="V14" i="13"/>
  <c r="V9" i="13"/>
  <c r="V12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J78" i="12"/>
  <c r="BF78" i="12"/>
  <c r="BB78" i="12"/>
  <c r="AX78" i="12"/>
  <c r="BI78" i="12"/>
  <c r="BE78" i="12"/>
  <c r="BA78" i="12"/>
  <c r="AW78" i="12"/>
  <c r="BH78" i="12"/>
  <c r="BD78" i="12"/>
  <c r="AZ78" i="12"/>
  <c r="BG78" i="12"/>
  <c r="BC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C82" i="12"/>
  <c r="AY82" i="12"/>
  <c r="BJ82" i="12"/>
  <c r="BF82" i="12"/>
  <c r="BB82" i="12"/>
  <c r="AX82" i="12"/>
  <c r="BI82" i="12"/>
  <c r="BE82" i="12"/>
  <c r="BA82" i="12"/>
  <c r="AW82" i="12"/>
  <c r="BH82" i="12"/>
  <c r="BD82" i="12"/>
  <c r="AZ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V8" i="11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Y12" i="13"/>
  <c r="Y15" i="13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BC29" i="13" a="1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AX8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P15" i="11" s="1"/>
  <c r="AB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5" i="13"/>
  <c r="R21" i="13" s="1"/>
  <c r="D10" i="13"/>
  <c r="R11" i="13" s="1"/>
  <c r="D14" i="13"/>
  <c r="R19" i="13" s="1"/>
  <c r="D9" i="13"/>
  <c r="R9" i="13" s="1"/>
  <c r="D12" i="13"/>
  <c r="R15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W7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AH103" i="12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Z121" i="12" s="1" a="1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AP11" i="11"/>
  <c r="G81" i="11"/>
  <c r="L51" i="11"/>
  <c r="BI9" i="11"/>
  <c r="J21" i="4" a="1"/>
  <c r="J8" i="4" a="1"/>
  <c r="AD75" i="12"/>
  <c r="AE75" i="12" s="1"/>
  <c r="AC75" i="12"/>
  <c r="AF75" i="12"/>
  <c r="AB16" i="11"/>
  <c r="AB12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AA99" i="12" l="1"/>
  <c r="R156" i="12" s="1"/>
  <c r="BW10" i="13" s="1"/>
  <c r="BW9" i="13" s="1"/>
  <c r="BC9" i="13" a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X99" i="12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P84" i="8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T104" i="12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7" i="12"/>
  <c r="Z123" i="12"/>
  <c r="Z126" i="12"/>
  <c r="Z122" i="12"/>
  <c r="Z125" i="12"/>
  <c r="Z124" i="12"/>
  <c r="Z121" i="12"/>
  <c r="O9" i="13" a="1"/>
  <c r="AW99" i="12"/>
  <c r="BK99" i="12"/>
  <c r="BT110" i="12"/>
  <c r="BF110" i="12"/>
  <c r="BN103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F99" i="12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BC23" i="13"/>
  <c r="BC19" i="13"/>
  <c r="BC15" i="13"/>
  <c r="BC11" i="13"/>
  <c r="BC22" i="13"/>
  <c r="BC18" i="13"/>
  <c r="BC14" i="13"/>
  <c r="BC10" i="13"/>
  <c r="BC21" i="13"/>
  <c r="BC13" i="13"/>
  <c r="BC20" i="13"/>
  <c r="BC12" i="13"/>
  <c r="BC17" i="13"/>
  <c r="BC16" i="13"/>
  <c r="BC9" i="13"/>
  <c r="AB23" i="11"/>
  <c r="E45" i="3"/>
  <c r="F6" i="3" s="1"/>
  <c r="K111" i="3"/>
  <c r="F111" i="3"/>
  <c r="AY104" i="12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BN101" i="12"/>
  <c r="J17" i="4"/>
  <c r="I49" i="4" s="1"/>
  <c r="J49" i="4" s="1"/>
  <c r="J13" i="4"/>
  <c r="I45" i="4" s="1"/>
  <c r="J45" i="4" s="1"/>
  <c r="J9" i="4"/>
  <c r="I41" i="4" s="1"/>
  <c r="J41" i="4" s="1"/>
  <c r="J16" i="4"/>
  <c r="I48" i="4" s="1"/>
  <c r="J48" i="4" s="1"/>
  <c r="J11" i="4"/>
  <c r="I43" i="4" s="1"/>
  <c r="J43" i="4" s="1"/>
  <c r="J12" i="4"/>
  <c r="I44" i="4" s="1"/>
  <c r="J44" i="4" s="1"/>
  <c r="J15" i="4"/>
  <c r="I47" i="4" s="1"/>
  <c r="J47" i="4" s="1"/>
  <c r="J10" i="4"/>
  <c r="I42" i="4" s="1"/>
  <c r="J42" i="4" s="1"/>
  <c r="J18" i="4"/>
  <c r="I50" i="4" s="1"/>
  <c r="J50" i="4" s="1"/>
  <c r="J14" i="4"/>
  <c r="I46" i="4" s="1"/>
  <c r="J46" i="4" s="1"/>
  <c r="J8" i="4"/>
  <c r="I40" i="4" s="1"/>
  <c r="J40" i="4" s="1"/>
  <c r="BG99" i="12"/>
  <c r="BU99" i="12"/>
  <c r="AE99" i="12"/>
  <c r="AC99" i="12"/>
  <c r="AZ99" i="12"/>
  <c r="BN99" i="12"/>
  <c r="BW99" i="12"/>
  <c r="BI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E57" i="3"/>
  <c r="F16" i="3"/>
  <c r="D61" i="3"/>
  <c r="F57" i="3" s="1"/>
  <c r="O32" i="9"/>
  <c r="R34" i="9"/>
  <c r="P42" i="9" s="1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BI7" i="11" s="1"/>
  <c r="AE22" i="1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AD100" i="12"/>
  <c r="AE100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O30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3" i="4" s="1"/>
  <c r="K63" i="4" s="1"/>
  <c r="J27" i="4"/>
  <c r="I59" i="4" s="1"/>
  <c r="K59" i="4" s="1"/>
  <c r="J23" i="4"/>
  <c r="I55" i="4" s="1"/>
  <c r="K55" i="4" s="1"/>
  <c r="J29" i="4"/>
  <c r="I61" i="4" s="1"/>
  <c r="K61" i="4" s="1"/>
  <c r="J24" i="4"/>
  <c r="I56" i="4" s="1"/>
  <c r="K56" i="4" s="1"/>
  <c r="J28" i="4"/>
  <c r="I60" i="4" s="1"/>
  <c r="K60" i="4" s="1"/>
  <c r="J22" i="4"/>
  <c r="I54" i="4" s="1"/>
  <c r="K54" i="4" s="1"/>
  <c r="J30" i="4"/>
  <c r="I62" i="4" s="1"/>
  <c r="K62" i="4" s="1"/>
  <c r="J21" i="4"/>
  <c r="I53" i="4" s="1"/>
  <c r="K53" i="4" s="1"/>
  <c r="J26" i="4"/>
  <c r="I58" i="4" s="1"/>
  <c r="K58" i="4" s="1"/>
  <c r="J25" i="4"/>
  <c r="I57" i="4" s="1"/>
  <c r="K57" i="4" s="1"/>
  <c r="BD99" i="12"/>
  <c r="BR99" i="12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AX104" i="12"/>
  <c r="BL104" i="12"/>
  <c r="Z111" i="12"/>
  <c r="Y111" i="12"/>
  <c r="X111" i="12"/>
  <c r="W111" i="12"/>
  <c r="AC104" i="12"/>
  <c r="AZ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BC34" i="13"/>
  <c r="BC30" i="13"/>
  <c r="BC33" i="13"/>
  <c r="BC32" i="13"/>
  <c r="BC29" i="13"/>
  <c r="BC31" i="13"/>
  <c r="I134" i="3"/>
  <c r="H134" i="3"/>
  <c r="BB101" i="12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BS101" i="12" l="1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F17" i="3" s="1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BK117" i="12" s="1"/>
  <c r="BK118" i="12" s="1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17" i="12" s="1"/>
  <c r="BV118" i="12" s="1"/>
  <c r="BV101" i="12"/>
  <c r="BJ100" i="12"/>
  <c r="BT101" i="12"/>
  <c r="BO100" i="12"/>
  <c r="BO117" i="12" s="1"/>
  <c r="BO118" i="12" s="1"/>
  <c r="BJ104" i="12"/>
  <c r="AW104" i="12"/>
  <c r="BN100" i="12"/>
  <c r="BB100" i="12"/>
  <c r="BB117" i="12" s="1"/>
  <c r="BB118" i="12" s="1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P42" i="8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E117" i="12" s="1"/>
  <c r="BE118" i="12" s="1"/>
  <c r="BU101" i="12"/>
  <c r="BL101" i="12"/>
  <c r="BL117" i="12" s="1"/>
  <c r="BL118" i="12" s="1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F29" i="3"/>
  <c r="F18" i="3"/>
  <c r="D32" i="3"/>
  <c r="G29" i="3" s="1"/>
  <c r="D22" i="3"/>
  <c r="BP117" i="12"/>
  <c r="BP118" i="12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P43" i="8"/>
  <c r="P41" i="8"/>
  <c r="BD100" i="12"/>
  <c r="BD101" i="12"/>
  <c r="BT100" i="12"/>
  <c r="AW100" i="12"/>
  <c r="AW117" i="12" s="1"/>
  <c r="AW118" i="12" s="1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I117" i="12" s="1"/>
  <c r="BI118" i="12" s="1"/>
  <c r="BR104" i="12"/>
  <c r="BL103" i="12"/>
  <c r="BJ99" i="12"/>
  <c r="J109" i="3"/>
  <c r="E101" i="3"/>
  <c r="P44" i="9"/>
  <c r="BX117" i="12" l="1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P152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T89" i="5" l="1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<sst xmlns="http://schemas.openxmlformats.org/spreadsheetml/2006/main" count="5723" uniqueCount="1761">
  <si>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</si>
  <si>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</si>
  <si>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</si>
  <si>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</si>
  <si>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</si>
  <si>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</si>
  <si>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</si>
  <si>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</si>
  <si>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</si>
  <si>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</si>
  <si>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</si>
  <si>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</si>
  <si>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</si>
  <si>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</si>
  <si>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</si>
  <si>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</si>
  <si>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</si>
  <si>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</si>
  <si>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</si>
  <si>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</si>
  <si>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</si>
  <si>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</si>
  <si>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</si>
  <si>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</si>
  <si>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</si>
  <si>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</si>
  <si>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</si>
  <si>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</si>
  <si>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</si>
  <si>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</si>
  <si>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</si>
  <si>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</si>
  <si>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</si>
  <si>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</si>
  <si>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</si>
  <si>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</si>
  <si>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</si>
  <si>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</si>
  <si>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</si>
  <si>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</si>
  <si>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</si>
  <si>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</si>
  <si>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</si>
  <si>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</si>
  <si>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</si>
  <si>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</si>
  <si>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</si>
  <si>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</si>
  <si>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</si>
  <si>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</si>
  <si>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</si>
  <si>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</si>
  <si>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</si>
  <si>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</si>
  <si>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</si>
  <si>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</si>
  <si>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</si>
  <si>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</si>
  <si>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</si>
  <si>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</si>
  <si>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</si>
  <si>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</si>
  <si>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</si>
  <si>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</si>
  <si>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</si>
  <si>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</si>
  <si>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</si>
  <si>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</si>
  <si>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</si>
  <si>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</si>
  <si>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</si>
  <si>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</si>
  <si>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</si>
  <si>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</si>
  <si>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</si>
  <si>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</si>
  <si>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</si>
  <si>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</si>
  <si>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</si>
  <si>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</si>
  <si>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</si>
  <si>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</si>
  <si>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</si>
  <si>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</si>
  <si>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</si>
  <si>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</si>
  <si>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</si>
  <si>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</si>
  <si>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</si>
  <si>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</si>
  <si>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</si>
  <si>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</si>
  <si>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</si>
  <si>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</si>
  <si>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</si>
  <si>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</si>
  <si>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</si>
  <si>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</si>
  <si>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</si>
  <si>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</si>
  <si>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</si>
  <si>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</si>
  <si>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</si>
  <si>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</si>
  <si>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</si>
  <si>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</si>
  <si>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</si>
  <si>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</si>
  <si>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</si>
  <si>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</si>
  <si>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</si>
  <si>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</si>
  <si>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</si>
  <si>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</si>
  <si>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</si>
  <si>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</si>
  <si>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</si>
  <si>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</si>
  <si>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</si>
  <si>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</si>
  <si>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</si>
  <si>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</si>
  <si>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</si>
  <si>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</si>
  <si>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</si>
  <si>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</si>
  <si>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</si>
  <si>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</si>
  <si>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</si>
  <si>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</si>
  <si>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</si>
  <si>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</si>
  <si>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</si>
  <si>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</si>
  <si>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</si>
  <si>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</si>
  <si>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</si>
  <si>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</si>
  <si>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</si>
  <si>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</si>
  <si>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</si>
  <si>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</si>
  <si>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</si>
  <si>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</si>
  <si>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</si>
  <si>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</si>
  <si>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</si>
  <si>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</si>
  <si>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</si>
  <si>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</si>
  <si>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</si>
  <si>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</si>
  <si>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</si>
  <si>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</si>
  <si>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</si>
  <si>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</si>
  <si>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</si>
  <si>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</si>
  <si>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</si>
  <si>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</si>
  <si>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</si>
  <si>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</si>
  <si>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</si>
  <si>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</si>
  <si>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</si>
  <si>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</si>
  <si>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</si>
  <si>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</si>
  <si>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</si>
  <si>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</si>
  <si>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</si>
  <si>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</si>
  <si>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</si>
  <si>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</si>
  <si>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</si>
  <si>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</si>
  <si>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</si>
  <si>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FUEL-COLOIL-CAM1</t>
  </si>
  <si>
    <t>Combustible para transporte petroleo Campo 1</t>
  </si>
  <si>
    <t>FUEL-COLOIL-CAM2</t>
  </si>
  <si>
    <t>Combustible para transporte petroleo Campo 2</t>
  </si>
  <si>
    <t>FUEL-COLOIL-CAM3</t>
  </si>
  <si>
    <t>Combustible para transporte petroleo Campo 3</t>
  </si>
  <si>
    <t>FUEL-COLOIL-CAM4</t>
  </si>
  <si>
    <t>Combustible para transporte petroleo Campo 4</t>
  </si>
  <si>
    <t>FUEL-COLOIL-CAM5</t>
  </si>
  <si>
    <t>Combustible para transporte petroleo Campo 5</t>
  </si>
  <si>
    <t>FUEL-COLOIL-CAM6</t>
  </si>
  <si>
    <t>Combustible para transporte petroleo Campo 6</t>
  </si>
  <si>
    <t>FUEL-COLOIL-CAM7</t>
  </si>
  <si>
    <t>Combustible para transporte petroleo Campo 7</t>
  </si>
  <si>
    <t>FUEL-COLGAS-CAM1</t>
  </si>
  <si>
    <t>Combustible para transporte gas Campo 1</t>
  </si>
  <si>
    <t>FUEL-COLGAS-CAM2</t>
  </si>
  <si>
    <t>Combustible para transporte gas Campo 2</t>
  </si>
  <si>
    <t>FUEL-COLGAS-CAM3</t>
  </si>
  <si>
    <t>Combustible para transporte gas Campo 3</t>
  </si>
  <si>
    <t>FUEL-COLGAS-CAM4</t>
  </si>
  <si>
    <t>Combustible para transporte gas Campo 4</t>
  </si>
  <si>
    <t>FUEL-COLGAS-CAM5</t>
  </si>
  <si>
    <t>Combustible para transporte gas Campo 5</t>
  </si>
  <si>
    <t>FUEL-COLGAS-CAM6</t>
  </si>
  <si>
    <t>Combustible para transporte gas Campo 6</t>
  </si>
  <si>
    <t>FUEL-COLGAS-CAM7</t>
  </si>
  <si>
    <t>Combustible para transporte gas Campo 7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</si>
  <si>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</si>
  <si>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</si>
  <si>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</si>
  <si>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</si>
  <si>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</si>
  <si>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</si>
  <si>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</si>
  <si>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</si>
  <si>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</si>
  <si>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</si>
  <si>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</si>
  <si>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</si>
  <si>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</si>
  <si>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</si>
  <si>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</si>
  <si>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</si>
  <si>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</si>
  <si>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</si>
  <si>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</si>
  <si>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</si>
  <si>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</si>
  <si>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</si>
  <si>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</si>
  <si>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</si>
  <si>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</si>
  <si>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</si>
  <si>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</si>
  <si>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</si>
  <si>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</si>
  <si>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</si>
  <si>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</si>
  <si>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</si>
  <si>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</si>
  <si>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</si>
  <si>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</si>
  <si>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</si>
  <si>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</si>
  <si>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</si>
  <si>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</si>
  <si>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</si>
  <si>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</si>
  <si>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</si>
  <si>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</si>
  <si>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</si>
  <si>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</si>
  <si>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</si>
  <si>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</si>
  <si>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</si>
  <si>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</si>
  <si>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</si>
  <si>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</si>
  <si>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</si>
  <si>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</si>
  <si>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</si>
  <si>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ELC-COLOIL-CAM1</t>
  </si>
  <si>
    <t>Energia para colectores de petroleo en campo 1</t>
  </si>
  <si>
    <t>ELC-COLOIL-CAM2</t>
  </si>
  <si>
    <t>Energia para colectores de petroleo en campo 2</t>
  </si>
  <si>
    <t>ELC-COLOIL-CAM4</t>
  </si>
  <si>
    <t>Energia para colectores de petroleo en campo 4</t>
  </si>
  <si>
    <t>ELC-COLOIL-CAM5</t>
  </si>
  <si>
    <t>Energia para colectores de petroleo en campo 5</t>
  </si>
  <si>
    <t>ELC-COLOIL-CAM6</t>
  </si>
  <si>
    <t>Energia para colectores de petroleo en campo 6</t>
  </si>
  <si>
    <t>ELC-COLOIL-CAM7</t>
  </si>
  <si>
    <t>Energia para colectores de petroleo en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</si>
  <si>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</si>
  <si>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</si>
  <si>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</si>
  <si>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</si>
  <si>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</si>
  <si>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</si>
  <si>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</si>
  <si>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</si>
  <si>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</si>
  <si>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</si>
  <si>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</si>
  <si>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</si>
  <si>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</si>
  <si>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</si>
  <si>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</si>
  <si>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</si>
  <si>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</si>
  <si>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</si>
  <si>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</si>
  <si>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</si>
  <si>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</si>
  <si>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</si>
  <si>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</si>
  <si>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</si>
  <si>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</si>
  <si>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</si>
  <si>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</si>
  <si>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</si>
  <si>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</si>
  <si>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</si>
  <si>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</si>
  <si>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</si>
  <si>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</si>
  <si>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</si>
  <si>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</si>
  <si>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</si>
  <si>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</si>
  <si>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</si>
  <si>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</si>
  <si>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</si>
  <si>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</si>
  <si>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</si>
  <si>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</si>
  <si>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</si>
  <si>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</si>
  <si>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</si>
  <si>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</si>
  <si>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</si>
  <si>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</si>
  <si>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</si>
  <si>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</si>
  <si>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</si>
  <si>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</si>
  <si>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</si>
  <si>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</si>
  <si>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</si>
  <si>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</si>
  <si>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</si>
  <si>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</si>
  <si>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</si>
  <si>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</si>
  <si>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</si>
  <si>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</si>
  <si>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</si>
  <si>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</si>
  <si>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</si>
  <si>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</si>
  <si>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</si>
  <si>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</si>
  <si>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COL-GAS</t>
  </si>
  <si>
    <t>Colector de Gas</t>
  </si>
  <si>
    <t>COL-LOIL</t>
  </si>
  <si>
    <t>Colector de Loil</t>
  </si>
  <si>
    <t>COL-MOIL</t>
  </si>
  <si>
    <t>Colector de Moil</t>
  </si>
  <si>
    <t>COL-HOIL</t>
  </si>
  <si>
    <t>Colector de Hoil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</si>
  <si>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</si>
  <si>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</si>
  <si>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</si>
  <si>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</si>
  <si>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</si>
  <si>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</si>
  <si>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</si>
  <si>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</si>
  <si>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</si>
  <si>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</si>
  <si>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</si>
  <si>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</si>
  <si>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</si>
  <si>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</si>
  <si>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</si>
  <si>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</si>
  <si>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</si>
  <si>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</si>
  <si>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</si>
  <si>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</si>
  <si>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</si>
  <si>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</si>
  <si>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</si>
  <si>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</si>
  <si>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</si>
  <si>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</si>
  <si>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</si>
  <si>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</si>
  <si>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</si>
  <si>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</si>
  <si>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</si>
  <si>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</si>
  <si>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</si>
  <si>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</si>
  <si>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</si>
  <si>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</si>
  <si>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</si>
  <si>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</si>
  <si>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</si>
  <si>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</si>
  <si>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</si>
  <si>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</si>
  <si>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</si>
  <si>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</si>
  <si>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</si>
  <si>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</si>
  <si>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</si>
  <si>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</si>
  <si>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</si>
  <si>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</si>
  <si>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</si>
  <si>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</si>
  <si>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</si>
  <si>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</si>
  <si>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</si>
  <si>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</si>
  <si>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</si>
  <si>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</si>
  <si>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</si>
  <si>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</si>
  <si>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</si>
  <si>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</si>
  <si>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</si>
  <si>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</si>
  <si>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</si>
  <si>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</si>
  <si>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</si>
  <si>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MIXFUEL-COLOIL-CAM1</t>
  </si>
  <si>
    <t>Mezcla de combustibles para transporte de  petroleo en campo 1</t>
  </si>
  <si>
    <t>MIXFUEL-COLOIL-CAM2</t>
  </si>
  <si>
    <t>Mezcla de combustibles para transporte de  petroleo en campo 2</t>
  </si>
  <si>
    <t>MIXFUEL-COLOIL-CAM3</t>
  </si>
  <si>
    <t>Mezcla de combustibles para transporte de  petroleo en campo 3</t>
  </si>
  <si>
    <t>MIXFUEL-COLOIL-CAM4</t>
  </si>
  <si>
    <t>Mezcla de combustibles para transporte de  petroleo en campo 4</t>
  </si>
  <si>
    <t>MIXFUEL-COLOIL-CAM5</t>
  </si>
  <si>
    <t>Mezcla de combustibles para transporte de  petroleo en campo 5</t>
  </si>
  <si>
    <t>MIXFUEL-COLOIL-CAM6</t>
  </si>
  <si>
    <t>Mezcla de combustibles para transporte de  petroleo en campo 6</t>
  </si>
  <si>
    <t>MIXFUEL-COLOIL-CAM7</t>
  </si>
  <si>
    <t>Mezcla de combustibles para transporte de  petroleo en campo 7</t>
  </si>
  <si>
    <t>MIXFUEL-COLGAS-CAM1</t>
  </si>
  <si>
    <t>Mezcla de combustibles para transporte gas en campo 1</t>
  </si>
  <si>
    <t>MIXFUEL-COLGAS-CAM2</t>
  </si>
  <si>
    <t>Mezcla de combustibles para transporte gas en campo 2</t>
  </si>
  <si>
    <t>MIXFUEL-COLGAS-CAM3</t>
  </si>
  <si>
    <t>Mezcla de combustibles para transporte gas en campo 3</t>
  </si>
  <si>
    <t>MIXFUEL-COLGAS-CAM4</t>
  </si>
  <si>
    <t>Mezcla de combustibles para transporte gas en campo 4</t>
  </si>
  <si>
    <t>MIXFUEL-COLGAS-CAM5</t>
  </si>
  <si>
    <t>Mezcla de combustibles para transporte gas en campo 5</t>
  </si>
  <si>
    <t>MIXFUEL-COLGAS-CAM6</t>
  </si>
  <si>
    <t>Mezcla de combustibles para transporte gas en campo 6</t>
  </si>
  <si>
    <t>MIXFUEL-COLGAS-CAM7</t>
  </si>
  <si>
    <t>Mezcla de combustibles para transporte gas en campo 7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</si>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</sst>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</numFmts>
  <fonts count="7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</fills>
  <borders count="7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57" fillId="0" borderId="0" applyFont="0" applyFill="0" applyBorder="0" applyAlignment="0" applyProtection="0"/>
    <xf numFmtId="9" fontId="58" fillId="0" borderId="0" applyFont="0" applyFill="0" applyBorder="0" applyAlignment="0" applyProtection="0"/>
  </cellStyleXfs>
  <cellXfs count="974">
    <xf numFmtId="0" fontId="0" fillId="0" borderId="0" xfId="0"/>
    <xf numFmtId="0" fontId="10" fillId="2" borderId="1" xfId="0" applyFont="1" applyFill="1" applyBorder="1"/>
    <xf numFmtId="0" fontId="10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wrapText="1"/>
    </xf>
    <xf numFmtId="0" fontId="10" fillId="2" borderId="1" xfId="0" applyFont="1" applyFill="1" applyBorder="1" applyAlignment="1">
      <alignment horizontal="center" wrapText="1"/>
    </xf>
    <xf numFmtId="0" fontId="10" fillId="0" borderId="0" xfId="0" applyFont="1" applyAlignment="1">
      <alignment wrapText="1"/>
    </xf>
    <xf numFmtId="164" fontId="13" fillId="2" borderId="1" xfId="0" applyNumberFormat="1" applyFont="1" applyFill="1" applyBorder="1"/>
    <xf numFmtId="164" fontId="14" fillId="2" borderId="1" xfId="0" applyNumberFormat="1" applyFont="1" applyFill="1" applyBorder="1"/>
    <xf numFmtId="164" fontId="15" fillId="3" borderId="5" xfId="0" applyNumberFormat="1" applyFont="1" applyFill="1" applyBorder="1" applyAlignment="1">
      <alignment horizontal="left"/>
    </xf>
    <xf numFmtId="164" fontId="15" fillId="3" borderId="6" xfId="0" applyNumberFormat="1" applyFont="1" applyFill="1" applyBorder="1" applyAlignment="1">
      <alignment horizontal="left"/>
    </xf>
    <xf numFmtId="164" fontId="16" fillId="4" borderId="7" xfId="0" applyNumberFormat="1" applyFont="1" applyFill="1" applyBorder="1" applyAlignment="1">
      <alignment horizontal="left" wrapText="1"/>
    </xf>
    <xf numFmtId="165" fontId="10" fillId="0" borderId="0" xfId="0" applyNumberFormat="1" applyFont="1"/>
    <xf numFmtId="0" fontId="17" fillId="0" borderId="0" xfId="0" applyFont="1"/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64" fontId="13" fillId="0" borderId="0" xfId="0" applyNumberFormat="1" applyFont="1"/>
    <xf numFmtId="0" fontId="10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165" fontId="10" fillId="2" borderId="1" xfId="0" applyNumberFormat="1" applyFont="1" applyFill="1" applyBorder="1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right"/>
    </xf>
    <xf numFmtId="0" fontId="20" fillId="0" borderId="0" xfId="0" applyFont="1"/>
    <xf numFmtId="0" fontId="11" fillId="0" borderId="10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11" fillId="0" borderId="8" xfId="0" applyFont="1" applyBorder="1"/>
    <xf numFmtId="0" fontId="21" fillId="0" borderId="13" xfId="0" applyFont="1" applyBorder="1" applyAlignment="1">
      <alignment horizontal="left"/>
    </xf>
    <xf numFmtId="0" fontId="21" fillId="0" borderId="9" xfId="0" applyFont="1" applyBorder="1"/>
    <xf numFmtId="0" fontId="10" fillId="0" borderId="10" xfId="0" applyFont="1" applyBorder="1"/>
    <xf numFmtId="0" fontId="18" fillId="0" borderId="13" xfId="0" applyFont="1" applyBorder="1" applyAlignment="1">
      <alignment horizontal="left"/>
    </xf>
    <xf numFmtId="0" fontId="18" fillId="0" borderId="9" xfId="0" applyFont="1" applyBorder="1" applyAlignment="1">
      <alignment horizontal="left" vertical="center"/>
    </xf>
    <xf numFmtId="0" fontId="10" fillId="0" borderId="13" xfId="0" applyFont="1" applyBorder="1" applyAlignment="1">
      <alignment horizontal="center"/>
    </xf>
    <xf numFmtId="2" fontId="10" fillId="0" borderId="10" xfId="0" applyNumberFormat="1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10" fillId="0" borderId="14" xfId="0" applyFont="1" applyBorder="1"/>
    <xf numFmtId="0" fontId="18" fillId="0" borderId="15" xfId="0" applyFont="1" applyBorder="1" applyAlignment="1">
      <alignment horizontal="left"/>
    </xf>
    <xf numFmtId="0" fontId="18" fillId="0" borderId="16" xfId="0" applyFont="1" applyBorder="1" applyAlignment="1">
      <alignment horizontal="left" vertical="center"/>
    </xf>
    <xf numFmtId="0" fontId="10" fillId="0" borderId="15" xfId="0" applyFont="1" applyBorder="1" applyAlignment="1">
      <alignment horizontal="center"/>
    </xf>
    <xf numFmtId="2" fontId="10" fillId="0" borderId="14" xfId="0" applyNumberFormat="1" applyFont="1" applyBorder="1" applyAlignment="1">
      <alignment horizontal="center" vertical="center"/>
    </xf>
    <xf numFmtId="2" fontId="10" fillId="0" borderId="16" xfId="0" applyNumberFormat="1" applyFont="1" applyBorder="1" applyAlignment="1">
      <alignment horizontal="center" vertical="center"/>
    </xf>
    <xf numFmtId="0" fontId="10" fillId="0" borderId="11" xfId="0" applyFont="1" applyBorder="1"/>
    <xf numFmtId="0" fontId="18" fillId="0" borderId="0" xfId="0" applyFont="1" applyAlignment="1">
      <alignment horizontal="left"/>
    </xf>
    <xf numFmtId="2" fontId="10" fillId="0" borderId="11" xfId="0" applyNumberFormat="1" applyFont="1" applyBorder="1" applyAlignment="1">
      <alignment vertical="center"/>
    </xf>
    <xf numFmtId="2" fontId="10" fillId="0" borderId="12" xfId="0" applyNumberFormat="1" applyFont="1" applyBorder="1" applyAlignment="1">
      <alignment vertical="center"/>
    </xf>
    <xf numFmtId="0" fontId="10" fillId="0" borderId="17" xfId="0" applyFont="1" applyBorder="1"/>
    <xf numFmtId="0" fontId="18" fillId="0" borderId="18" xfId="0" applyFont="1" applyBorder="1" applyAlignment="1">
      <alignment horizontal="left"/>
    </xf>
    <xf numFmtId="0" fontId="10" fillId="0" borderId="18" xfId="0" applyFont="1" applyBorder="1" applyAlignment="1">
      <alignment horizontal="center"/>
    </xf>
    <xf numFmtId="2" fontId="10" fillId="0" borderId="17" xfId="0" applyNumberFormat="1" applyFont="1" applyBorder="1" applyAlignment="1">
      <alignment vertical="center"/>
    </xf>
    <xf numFmtId="2" fontId="10" fillId="0" borderId="19" xfId="0" applyNumberFormat="1" applyFont="1" applyBorder="1" applyAlignment="1">
      <alignment vertical="center"/>
    </xf>
    <xf numFmtId="0" fontId="19" fillId="0" borderId="12" xfId="0" applyFont="1" applyBorder="1" applyAlignment="1">
      <alignment horizontal="left" vertical="center"/>
    </xf>
    <xf numFmtId="2" fontId="10" fillId="0" borderId="11" xfId="0" applyNumberFormat="1" applyFont="1" applyBorder="1" applyAlignment="1">
      <alignment horizontal="center" vertical="center"/>
    </xf>
    <xf numFmtId="2" fontId="10" fillId="0" borderId="12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9" xfId="0" applyFont="1" applyBorder="1" applyAlignment="1">
      <alignment horizontal="left" vertical="center"/>
    </xf>
    <xf numFmtId="2" fontId="10" fillId="0" borderId="17" xfId="0" applyNumberFormat="1" applyFont="1" applyBorder="1" applyAlignment="1">
      <alignment horizontal="center" vertical="center"/>
    </xf>
    <xf numFmtId="2" fontId="10" fillId="0" borderId="19" xfId="0" applyNumberFormat="1" applyFont="1" applyBorder="1" applyAlignment="1">
      <alignment horizontal="center" vertical="center"/>
    </xf>
    <xf numFmtId="166" fontId="19" fillId="0" borderId="0" xfId="0" applyNumberFormat="1" applyFont="1"/>
    <xf numFmtId="0" fontId="19" fillId="0" borderId="15" xfId="0" applyFont="1" applyBorder="1" applyAlignment="1">
      <alignment horizontal="left"/>
    </xf>
    <xf numFmtId="0" fontId="19" fillId="0" borderId="15" xfId="0" applyFont="1" applyBorder="1" applyAlignment="1">
      <alignment horizontal="left" vertical="center"/>
    </xf>
    <xf numFmtId="0" fontId="11" fillId="2" borderId="20" xfId="0" applyFont="1" applyFill="1" applyBorder="1" applyAlignment="1">
      <alignment horizontal="center"/>
    </xf>
    <xf numFmtId="2" fontId="10" fillId="0" borderId="21" xfId="0" applyNumberFormat="1" applyFont="1" applyBorder="1" applyAlignment="1">
      <alignment horizontal="center"/>
    </xf>
    <xf numFmtId="2" fontId="10" fillId="0" borderId="14" xfId="0" applyNumberFormat="1" applyFont="1" applyBorder="1" applyAlignment="1">
      <alignment horizontal="center"/>
    </xf>
    <xf numFmtId="0" fontId="19" fillId="0" borderId="18" xfId="0" applyFont="1" applyBorder="1" applyAlignment="1">
      <alignment horizontal="left"/>
    </xf>
    <xf numFmtId="0" fontId="11" fillId="2" borderId="22" xfId="0" applyFont="1" applyFill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2" fontId="10" fillId="0" borderId="17" xfId="0" applyNumberFormat="1" applyFont="1" applyBorder="1" applyAlignment="1">
      <alignment horizontal="center"/>
    </xf>
    <xf numFmtId="1" fontId="19" fillId="0" borderId="0" xfId="0" applyNumberFormat="1" applyFont="1"/>
    <xf numFmtId="0" fontId="22" fillId="0" borderId="0" xfId="0" applyFont="1"/>
    <xf numFmtId="0" fontId="22" fillId="5" borderId="1" xfId="0" applyFont="1" applyFill="1" applyBorder="1" applyAlignment="1">
      <alignment horizontal="left"/>
    </xf>
    <xf numFmtId="9" fontId="22" fillId="5" borderId="1" xfId="0" applyNumberFormat="1" applyFont="1" applyFill="1" applyBorder="1" applyAlignment="1">
      <alignment horizontal="left"/>
    </xf>
    <xf numFmtId="0" fontId="22" fillId="0" borderId="0" xfId="0" applyFont="1" applyAlignment="1">
      <alignment horizontal="left"/>
    </xf>
    <xf numFmtId="10" fontId="22" fillId="0" borderId="0" xfId="0" applyNumberFormat="1" applyFont="1" applyAlignment="1">
      <alignment horizontal="left"/>
    </xf>
    <xf numFmtId="0" fontId="18" fillId="0" borderId="14" xfId="0" applyFont="1" applyBorder="1"/>
    <xf numFmtId="0" fontId="18" fillId="0" borderId="15" xfId="0" applyFont="1" applyBorder="1"/>
    <xf numFmtId="167" fontId="18" fillId="0" borderId="14" xfId="0" applyNumberFormat="1" applyFont="1" applyBorder="1"/>
    <xf numFmtId="167" fontId="18" fillId="0" borderId="16" xfId="0" applyNumberFormat="1" applyFont="1" applyBorder="1"/>
    <xf numFmtId="0" fontId="18" fillId="0" borderId="17" xfId="0" applyFont="1" applyBorder="1"/>
    <xf numFmtId="0" fontId="18" fillId="0" borderId="18" xfId="0" applyFont="1" applyBorder="1"/>
    <xf numFmtId="0" fontId="18" fillId="0" borderId="19" xfId="0" applyFont="1" applyBorder="1"/>
    <xf numFmtId="168" fontId="19" fillId="0" borderId="0" xfId="0" applyNumberFormat="1" applyFont="1"/>
    <xf numFmtId="2" fontId="10" fillId="0" borderId="24" xfId="0" applyNumberFormat="1" applyFont="1" applyBorder="1" applyAlignment="1">
      <alignment horizontal="center"/>
    </xf>
    <xf numFmtId="169" fontId="19" fillId="0" borderId="0" xfId="0" applyNumberFormat="1" applyFont="1"/>
    <xf numFmtId="167" fontId="19" fillId="0" borderId="0" xfId="0" applyNumberFormat="1" applyFont="1"/>
    <xf numFmtId="170" fontId="18" fillId="0" borderId="0" xfId="0" applyNumberFormat="1" applyFont="1"/>
    <xf numFmtId="1" fontId="18" fillId="0" borderId="0" xfId="0" applyNumberFormat="1" applyFont="1"/>
    <xf numFmtId="2" fontId="19" fillId="0" borderId="0" xfId="0" applyNumberFormat="1" applyFont="1"/>
    <xf numFmtId="0" fontId="21" fillId="0" borderId="24" xfId="0" applyFont="1" applyBorder="1"/>
    <xf numFmtId="0" fontId="21" fillId="0" borderId="16" xfId="0" applyFont="1" applyBorder="1"/>
    <xf numFmtId="0" fontId="18" fillId="0" borderId="24" xfId="0" applyFont="1" applyBorder="1"/>
    <xf numFmtId="0" fontId="19" fillId="0" borderId="15" xfId="0" applyFont="1" applyBorder="1"/>
    <xf numFmtId="0" fontId="19" fillId="0" borderId="16" xfId="0" applyFont="1" applyBorder="1" applyAlignment="1">
      <alignment horizontal="right"/>
    </xf>
    <xf numFmtId="0" fontId="11" fillId="0" borderId="2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8" fillId="0" borderId="21" xfId="0" applyFont="1" applyBorder="1"/>
    <xf numFmtId="0" fontId="19" fillId="0" borderId="0" xfId="0" applyFont="1" applyAlignment="1">
      <alignment horizontal="center"/>
    </xf>
    <xf numFmtId="0" fontId="19" fillId="0" borderId="12" xfId="0" applyFont="1" applyBorder="1" applyAlignment="1">
      <alignment horizontal="right"/>
    </xf>
    <xf numFmtId="0" fontId="11" fillId="0" borderId="0" xfId="0" applyFont="1"/>
    <xf numFmtId="0" fontId="19" fillId="0" borderId="0" xfId="0" applyFont="1" applyAlignment="1">
      <alignment horizontal="center" vertical="center"/>
    </xf>
    <xf numFmtId="0" fontId="23" fillId="0" borderId="12" xfId="0" applyFont="1" applyBorder="1" applyAlignment="1">
      <alignment horizontal="center"/>
    </xf>
    <xf numFmtId="0" fontId="10" fillId="0" borderId="8" xfId="0" applyFont="1" applyBorder="1"/>
    <xf numFmtId="0" fontId="10" fillId="0" borderId="13" xfId="0" applyFont="1" applyBorder="1"/>
    <xf numFmtId="2" fontId="10" fillId="0" borderId="8" xfId="0" applyNumberFormat="1" applyFont="1" applyBorder="1" applyAlignment="1">
      <alignment horizontal="center"/>
    </xf>
    <xf numFmtId="171" fontId="10" fillId="0" borderId="9" xfId="0" applyNumberFormat="1" applyFont="1" applyBorder="1" applyAlignment="1">
      <alignment horizontal="center"/>
    </xf>
    <xf numFmtId="2" fontId="18" fillId="0" borderId="8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/>
    </xf>
    <xf numFmtId="0" fontId="18" fillId="0" borderId="13" xfId="0" applyFont="1" applyBorder="1"/>
    <xf numFmtId="0" fontId="19" fillId="0" borderId="9" xfId="0" applyFont="1" applyBorder="1" applyAlignment="1">
      <alignment horizontal="center" vertical="center"/>
    </xf>
    <xf numFmtId="170" fontId="19" fillId="0" borderId="12" xfId="0" applyNumberFormat="1" applyFont="1" applyBorder="1" applyAlignment="1">
      <alignment horizontal="right"/>
    </xf>
    <xf numFmtId="0" fontId="10" fillId="0" borderId="24" xfId="0" applyFont="1" applyBorder="1"/>
    <xf numFmtId="0" fontId="10" fillId="0" borderId="15" xfId="0" applyFont="1" applyBorder="1"/>
    <xf numFmtId="2" fontId="18" fillId="0" borderId="2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0" fillId="0" borderId="21" xfId="0" applyFont="1" applyBorder="1"/>
    <xf numFmtId="0" fontId="10" fillId="0" borderId="23" xfId="0" applyFont="1" applyBorder="1"/>
    <xf numFmtId="0" fontId="10" fillId="0" borderId="18" xfId="0" applyFont="1" applyBorder="1"/>
    <xf numFmtId="171" fontId="10" fillId="0" borderId="16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71" fontId="10" fillId="0" borderId="12" xfId="0" applyNumberFormat="1" applyFont="1" applyBorder="1" applyAlignment="1">
      <alignment horizontal="center"/>
    </xf>
    <xf numFmtId="2" fontId="18" fillId="0" borderId="2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19" fillId="0" borderId="12" xfId="0" applyFont="1" applyBorder="1" applyAlignment="1">
      <alignment horizontal="center" vertical="center"/>
    </xf>
    <xf numFmtId="170" fontId="10" fillId="0" borderId="21" xfId="0" applyNumberFormat="1" applyFont="1" applyBorder="1" applyAlignment="1">
      <alignment horizontal="center"/>
    </xf>
    <xf numFmtId="171" fontId="10" fillId="0" borderId="19" xfId="0" applyNumberFormat="1" applyFont="1" applyBorder="1" applyAlignment="1">
      <alignment horizontal="center"/>
    </xf>
    <xf numFmtId="2" fontId="18" fillId="0" borderId="23" xfId="0" applyNumberFormat="1" applyFont="1" applyBorder="1" applyAlignment="1">
      <alignment horizontal="center" vertical="center"/>
    </xf>
    <xf numFmtId="0" fontId="18" fillId="0" borderId="18" xfId="0" applyFont="1" applyBorder="1" applyAlignment="1">
      <alignment horizontal="center"/>
    </xf>
    <xf numFmtId="0" fontId="19" fillId="0" borderId="19" xfId="0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/>
    </xf>
    <xf numFmtId="2" fontId="10" fillId="0" borderId="12" xfId="0" applyNumberFormat="1" applyFont="1" applyBorder="1" applyAlignment="1">
      <alignment horizontal="right"/>
    </xf>
    <xf numFmtId="170" fontId="18" fillId="0" borderId="24" xfId="0" applyNumberFormat="1" applyFont="1" applyBorder="1" applyAlignment="1">
      <alignment horizontal="center" vertical="center"/>
    </xf>
    <xf numFmtId="2" fontId="10" fillId="0" borderId="19" xfId="0" applyNumberFormat="1" applyFont="1" applyBorder="1" applyAlignment="1">
      <alignment horizontal="right"/>
    </xf>
    <xf numFmtId="0" fontId="18" fillId="0" borderId="23" xfId="0" applyFont="1" applyBorder="1"/>
    <xf numFmtId="0" fontId="19" fillId="0" borderId="19" xfId="0" applyFont="1" applyBorder="1"/>
    <xf numFmtId="0" fontId="19" fillId="0" borderId="18" xfId="0" applyFont="1" applyBorder="1"/>
    <xf numFmtId="0" fontId="19" fillId="0" borderId="19" xfId="0" applyFont="1" applyBorder="1" applyAlignment="1">
      <alignment horizontal="right"/>
    </xf>
    <xf numFmtId="9" fontId="22" fillId="0" borderId="0" xfId="0" applyNumberFormat="1" applyFont="1" applyAlignment="1">
      <alignment horizontal="left"/>
    </xf>
    <xf numFmtId="172" fontId="18" fillId="0" borderId="0" xfId="0" applyNumberFormat="1" applyFont="1"/>
    <xf numFmtId="171" fontId="18" fillId="0" borderId="0" xfId="0" applyNumberFormat="1" applyFont="1"/>
    <xf numFmtId="0" fontId="24" fillId="0" borderId="0" xfId="0" applyFont="1"/>
    <xf numFmtId="0" fontId="21" fillId="0" borderId="0" xfId="0" applyFont="1"/>
    <xf numFmtId="0" fontId="25" fillId="0" borderId="25" xfId="0" applyFont="1" applyBorder="1" applyAlignment="1">
      <alignment vertical="center" wrapText="1"/>
    </xf>
    <xf numFmtId="0" fontId="25" fillId="0" borderId="26" xfId="0" applyFont="1" applyBorder="1" applyAlignment="1">
      <alignment vertical="center" wrapText="1"/>
    </xf>
    <xf numFmtId="173" fontId="18" fillId="0" borderId="0" xfId="0" applyNumberFormat="1" applyFont="1"/>
    <xf numFmtId="11" fontId="18" fillId="0" borderId="0" xfId="0" applyNumberFormat="1" applyFont="1"/>
    <xf numFmtId="0" fontId="25" fillId="0" borderId="27" xfId="0" applyFont="1" applyBorder="1" applyAlignment="1">
      <alignment vertical="center" wrapText="1"/>
    </xf>
    <xf numFmtId="0" fontId="25" fillId="0" borderId="28" xfId="0" applyFont="1" applyBorder="1" applyAlignment="1">
      <alignment vertical="center" wrapText="1"/>
    </xf>
    <xf numFmtId="0" fontId="26" fillId="6" borderId="32" xfId="0" applyFont="1" applyFill="1" applyBorder="1" applyAlignment="1">
      <alignment vertical="center"/>
    </xf>
    <xf numFmtId="0" fontId="27" fillId="7" borderId="32" xfId="0" applyFont="1" applyFill="1" applyBorder="1" applyAlignment="1">
      <alignment vertical="center"/>
    </xf>
    <xf numFmtId="0" fontId="27" fillId="7" borderId="32" xfId="0" applyFont="1" applyFill="1" applyBorder="1" applyAlignment="1">
      <alignment horizontal="center" vertical="center"/>
    </xf>
    <xf numFmtId="0" fontId="27" fillId="7" borderId="33" xfId="0" applyFont="1" applyFill="1" applyBorder="1"/>
    <xf numFmtId="0" fontId="27" fillId="7" borderId="34" xfId="0" applyFont="1" applyFill="1" applyBorder="1"/>
    <xf numFmtId="0" fontId="27" fillId="7" borderId="32" xfId="0" applyFont="1" applyFill="1" applyBorder="1" applyAlignment="1">
      <alignment horizontal="center"/>
    </xf>
    <xf numFmtId="0" fontId="27" fillId="7" borderId="32" xfId="0" applyFont="1" applyFill="1" applyBorder="1" applyAlignment="1">
      <alignment horizontal="center" vertical="center" wrapText="1"/>
    </xf>
    <xf numFmtId="0" fontId="22" fillId="0" borderId="32" xfId="0" applyFont="1" applyBorder="1" applyAlignment="1">
      <alignment horizontal="left" vertical="top"/>
    </xf>
    <xf numFmtId="0" fontId="22" fillId="0" borderId="32" xfId="0" applyFont="1" applyBorder="1" applyAlignment="1">
      <alignment vertical="center" wrapText="1"/>
    </xf>
    <xf numFmtId="0" fontId="22" fillId="0" borderId="32" xfId="0" applyFont="1" applyBorder="1"/>
    <xf numFmtId="171" fontId="22" fillId="0" borderId="32" xfId="0" applyNumberFormat="1" applyFont="1" applyBorder="1"/>
    <xf numFmtId="174" fontId="22" fillId="0" borderId="32" xfId="0" applyNumberFormat="1" applyFont="1" applyBorder="1"/>
    <xf numFmtId="0" fontId="22" fillId="8" borderId="32" xfId="0" applyFont="1" applyFill="1" applyBorder="1" applyAlignment="1">
      <alignment horizontal="left" vertical="top"/>
    </xf>
    <xf numFmtId="0" fontId="22" fillId="8" borderId="32" xfId="0" applyFont="1" applyFill="1" applyBorder="1" applyAlignment="1">
      <alignment vertical="center" wrapText="1"/>
    </xf>
    <xf numFmtId="0" fontId="22" fillId="8" borderId="32" xfId="0" applyFont="1" applyFill="1" applyBorder="1"/>
    <xf numFmtId="171" fontId="22" fillId="8" borderId="32" xfId="0" applyNumberFormat="1" applyFont="1" applyFill="1" applyBorder="1"/>
    <xf numFmtId="174" fontId="22" fillId="8" borderId="32" xfId="0" applyNumberFormat="1" applyFont="1" applyFill="1" applyBorder="1"/>
    <xf numFmtId="0" fontId="28" fillId="0" borderId="32" xfId="0" applyFont="1" applyBorder="1" applyAlignment="1">
      <alignment horizontal="left" vertical="top"/>
    </xf>
    <xf numFmtId="0" fontId="29" fillId="0" borderId="32" xfId="0" applyFont="1" applyBorder="1" applyAlignment="1">
      <alignment vertical="center" wrapText="1"/>
    </xf>
    <xf numFmtId="0" fontId="29" fillId="0" borderId="32" xfId="0" applyFont="1" applyBorder="1"/>
    <xf numFmtId="171" fontId="29" fillId="0" borderId="32" xfId="0" applyNumberFormat="1" applyFont="1" applyBorder="1"/>
    <xf numFmtId="174" fontId="29" fillId="0" borderId="32" xfId="0" applyNumberFormat="1" applyFont="1" applyBorder="1"/>
    <xf numFmtId="171" fontId="28" fillId="0" borderId="32" xfId="0" applyNumberFormat="1" applyFont="1" applyBorder="1"/>
    <xf numFmtId="0" fontId="28" fillId="8" borderId="32" xfId="0" applyFont="1" applyFill="1" applyBorder="1" applyAlignment="1">
      <alignment horizontal="right" vertical="top"/>
    </xf>
    <xf numFmtId="0" fontId="22" fillId="8" borderId="32" xfId="0" applyFont="1" applyFill="1" applyBorder="1" applyAlignment="1">
      <alignment horizontal="left" vertical="center" wrapText="1"/>
    </xf>
    <xf numFmtId="0" fontId="28" fillId="0" borderId="32" xfId="0" applyFont="1" applyBorder="1" applyAlignment="1">
      <alignment horizontal="right" vertical="top"/>
    </xf>
    <xf numFmtId="0" fontId="22" fillId="0" borderId="32" xfId="0" applyFont="1" applyBorder="1" applyAlignment="1">
      <alignment horizontal="left" vertical="center" wrapText="1"/>
    </xf>
    <xf numFmtId="0" fontId="27" fillId="6" borderId="32" xfId="0" applyFont="1" applyFill="1" applyBorder="1" applyAlignment="1">
      <alignment vertical="center"/>
    </xf>
    <xf numFmtId="166" fontId="22" fillId="0" borderId="32" xfId="0" applyNumberFormat="1" applyFont="1" applyBorder="1"/>
    <xf numFmtId="175" fontId="22" fillId="0" borderId="32" xfId="0" applyNumberFormat="1" applyFont="1" applyBorder="1"/>
    <xf numFmtId="166" fontId="22" fillId="8" borderId="32" xfId="0" applyNumberFormat="1" applyFont="1" applyFill="1" applyBorder="1"/>
    <xf numFmtId="175" fontId="22" fillId="8" borderId="32" xfId="0" applyNumberFormat="1" applyFont="1" applyFill="1" applyBorder="1"/>
    <xf numFmtId="172" fontId="22" fillId="8" borderId="32" xfId="0" applyNumberFormat="1" applyFont="1" applyFill="1" applyBorder="1"/>
    <xf numFmtId="166" fontId="22" fillId="0" borderId="0" xfId="0" applyNumberFormat="1" applyFont="1"/>
    <xf numFmtId="175" fontId="22" fillId="0" borderId="0" xfId="0" applyNumberFormat="1" applyFont="1"/>
    <xf numFmtId="0" fontId="26" fillId="6" borderId="1" xfId="0" applyFont="1" applyFill="1" applyBorder="1" applyAlignment="1">
      <alignment horizontal="center" vertical="center"/>
    </xf>
    <xf numFmtId="0" fontId="27" fillId="7" borderId="33" xfId="0" applyFont="1" applyFill="1" applyBorder="1" applyAlignment="1">
      <alignment horizontal="center" vertical="center" wrapText="1"/>
    </xf>
    <xf numFmtId="0" fontId="27" fillId="7" borderId="34" xfId="0" applyFont="1" applyFill="1" applyBorder="1" applyAlignment="1">
      <alignment horizontal="center" vertical="center" wrapText="1"/>
    </xf>
    <xf numFmtId="166" fontId="22" fillId="2" borderId="33" xfId="0" applyNumberFormat="1" applyFont="1" applyFill="1" applyBorder="1"/>
    <xf numFmtId="166" fontId="22" fillId="2" borderId="34" xfId="0" applyNumberFormat="1" applyFont="1" applyFill="1" applyBorder="1"/>
    <xf numFmtId="175" fontId="22" fillId="2" borderId="32" xfId="0" applyNumberFormat="1" applyFont="1" applyFill="1" applyBorder="1"/>
    <xf numFmtId="166" fontId="22" fillId="2" borderId="32" xfId="0" applyNumberFormat="1" applyFont="1" applyFill="1" applyBorder="1"/>
    <xf numFmtId="166" fontId="22" fillId="8" borderId="33" xfId="0" applyNumberFormat="1" applyFont="1" applyFill="1" applyBorder="1"/>
    <xf numFmtId="166" fontId="22" fillId="8" borderId="34" xfId="0" applyNumberFormat="1" applyFont="1" applyFill="1" applyBorder="1"/>
    <xf numFmtId="166" fontId="30" fillId="2" borderId="33" xfId="0" applyNumberFormat="1" applyFont="1" applyFill="1" applyBorder="1"/>
    <xf numFmtId="166" fontId="30" fillId="2" borderId="34" xfId="0" applyNumberFormat="1" applyFont="1" applyFill="1" applyBorder="1"/>
    <xf numFmtId="175" fontId="30" fillId="2" borderId="32" xfId="0" applyNumberFormat="1" applyFont="1" applyFill="1" applyBorder="1"/>
    <xf numFmtId="166" fontId="30" fillId="2" borderId="32" xfId="0" applyNumberFormat="1" applyFont="1" applyFill="1" applyBorder="1"/>
    <xf numFmtId="166" fontId="27" fillId="7" borderId="32" xfId="0" applyNumberFormat="1" applyFont="1" applyFill="1" applyBorder="1" applyAlignment="1">
      <alignment horizontal="center" vertical="center" wrapText="1"/>
    </xf>
    <xf numFmtId="166" fontId="30" fillId="8" borderId="33" xfId="0" applyNumberFormat="1" applyFont="1" applyFill="1" applyBorder="1"/>
    <xf numFmtId="166" fontId="30" fillId="8" borderId="34" xfId="0" applyNumberFormat="1" applyFont="1" applyFill="1" applyBorder="1"/>
    <xf numFmtId="175" fontId="30" fillId="8" borderId="32" xfId="0" applyNumberFormat="1" applyFont="1" applyFill="1" applyBorder="1"/>
    <xf numFmtId="166" fontId="30" fillId="8" borderId="32" xfId="0" applyNumberFormat="1" applyFont="1" applyFill="1" applyBorder="1"/>
    <xf numFmtId="0" fontId="31" fillId="0" borderId="0" xfId="0" applyFont="1"/>
    <xf numFmtId="0" fontId="31" fillId="0" borderId="0" xfId="0" applyFont="1" applyAlignment="1">
      <alignment wrapText="1"/>
    </xf>
    <xf numFmtId="1" fontId="32" fillId="0" borderId="0" xfId="0" applyNumberFormat="1" applyFont="1" applyAlignment="1">
      <alignment horizontal="center" vertical="center"/>
    </xf>
    <xf numFmtId="169" fontId="10" fillId="0" borderId="0" xfId="0" applyNumberFormat="1" applyFont="1"/>
    <xf numFmtId="0" fontId="13" fillId="2" borderId="1" xfId="0" applyFont="1" applyFill="1" applyBorder="1" applyAlignment="1">
      <alignment horizontal="left"/>
    </xf>
    <xf numFmtId="0" fontId="14" fillId="2" borderId="1" xfId="0" applyFont="1" applyFill="1" applyBorder="1"/>
    <xf numFmtId="0" fontId="15" fillId="3" borderId="5" xfId="0" applyFont="1" applyFill="1" applyBorder="1" applyAlignment="1">
      <alignment horizontal="left"/>
    </xf>
    <xf numFmtId="0" fontId="15" fillId="3" borderId="6" xfId="0" applyFont="1" applyFill="1" applyBorder="1" applyAlignment="1">
      <alignment horizontal="left"/>
    </xf>
    <xf numFmtId="0" fontId="15" fillId="3" borderId="5" xfId="0" applyFont="1" applyFill="1" applyBorder="1" applyAlignment="1">
      <alignment horizontal="center" wrapText="1"/>
    </xf>
    <xf numFmtId="0" fontId="16" fillId="4" borderId="7" xfId="0" applyFont="1" applyFill="1" applyBorder="1" applyAlignment="1">
      <alignment horizontal="left" wrapText="1"/>
    </xf>
    <xf numFmtId="0" fontId="16" fillId="4" borderId="7" xfId="0" applyFont="1" applyFill="1" applyBorder="1" applyAlignment="1">
      <alignment horizontal="center" vertical="center" wrapText="1"/>
    </xf>
    <xf numFmtId="0" fontId="16" fillId="4" borderId="7" xfId="0" applyFont="1" applyFill="1" applyBorder="1" applyAlignment="1">
      <alignment horizontal="center" wrapText="1"/>
    </xf>
    <xf numFmtId="0" fontId="10" fillId="0" borderId="0" xfId="0" applyFont="1" applyAlignment="1">
      <alignment horizontal="center" vertical="center"/>
    </xf>
    <xf numFmtId="170" fontId="10" fillId="0" borderId="0" xfId="0" applyNumberFormat="1" applyFont="1"/>
    <xf numFmtId="0" fontId="10" fillId="5" borderId="1" xfId="0" applyFont="1" applyFill="1" applyBorder="1"/>
    <xf numFmtId="0" fontId="10" fillId="9" borderId="1" xfId="0" applyFont="1" applyFill="1" applyBorder="1"/>
    <xf numFmtId="9" fontId="10" fillId="9" borderId="1" xfId="0" applyNumberFormat="1" applyFont="1" applyFill="1" applyBorder="1"/>
    <xf numFmtId="0" fontId="33" fillId="10" borderId="1" xfId="0" applyFont="1" applyFill="1" applyBorder="1" applyAlignment="1">
      <alignment horizontal="center" vertical="center"/>
    </xf>
    <xf numFmtId="2" fontId="10" fillId="10" borderId="1" xfId="0" applyNumberFormat="1" applyFont="1" applyFill="1" applyBorder="1"/>
    <xf numFmtId="0" fontId="33" fillId="0" borderId="0" xfId="0" applyFont="1" applyAlignment="1">
      <alignment horizontal="center" vertical="center"/>
    </xf>
    <xf numFmtId="2" fontId="10" fillId="0" borderId="0" xfId="0" applyNumberFormat="1" applyFont="1"/>
    <xf numFmtId="170" fontId="10" fillId="9" borderId="1" xfId="0" applyNumberFormat="1" applyFont="1" applyFill="1" applyBorder="1"/>
    <xf numFmtId="169" fontId="10" fillId="9" borderId="1" xfId="0" applyNumberFormat="1" applyFont="1" applyFill="1" applyBorder="1"/>
    <xf numFmtId="167" fontId="10" fillId="9" borderId="1" xfId="0" applyNumberFormat="1" applyFont="1" applyFill="1" applyBorder="1"/>
    <xf numFmtId="169" fontId="10" fillId="10" borderId="1" xfId="0" applyNumberFormat="1" applyFont="1" applyFill="1" applyBorder="1"/>
    <xf numFmtId="0" fontId="33" fillId="0" borderId="0" xfId="0" applyFont="1" applyAlignment="1">
      <alignment horizontal="center"/>
    </xf>
    <xf numFmtId="9" fontId="10" fillId="0" borderId="0" xfId="0" applyNumberFormat="1" applyFont="1"/>
    <xf numFmtId="0" fontId="10" fillId="11" borderId="41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1" fontId="10" fillId="0" borderId="0" xfId="0" applyNumberFormat="1" applyFont="1"/>
    <xf numFmtId="176" fontId="10" fillId="11" borderId="41" xfId="0" applyNumberFormat="1" applyFont="1" applyFill="1" applyBorder="1" applyAlignment="1">
      <alignment horizontal="center" vertical="center"/>
    </xf>
    <xf numFmtId="0" fontId="18" fillId="2" borderId="1" xfId="0" applyFont="1" applyFill="1" applyBorder="1"/>
    <xf numFmtId="0" fontId="34" fillId="2" borderId="1" xfId="0" applyFont="1" applyFill="1" applyBorder="1"/>
    <xf numFmtId="0" fontId="34" fillId="0" borderId="0" xfId="0" applyFont="1"/>
    <xf numFmtId="164" fontId="34" fillId="0" borderId="0" xfId="0" applyNumberFormat="1" applyFont="1"/>
    <xf numFmtId="0" fontId="21" fillId="3" borderId="5" xfId="0" applyFont="1" applyFill="1" applyBorder="1" applyAlignment="1">
      <alignment vertical="center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164" fontId="21" fillId="3" borderId="6" xfId="0" applyNumberFormat="1" applyFont="1" applyFill="1" applyBorder="1" applyAlignment="1">
      <alignment horizontal="left"/>
    </xf>
    <xf numFmtId="0" fontId="18" fillId="4" borderId="5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vertical="center"/>
    </xf>
    <xf numFmtId="0" fontId="18" fillId="2" borderId="1" xfId="0" applyFont="1" applyFill="1" applyBorder="1" applyAlignment="1">
      <alignment horizontal="left"/>
    </xf>
    <xf numFmtId="0" fontId="18" fillId="4" borderId="6" xfId="0" applyFont="1" applyFill="1" applyBorder="1" applyAlignment="1">
      <alignment horizontal="left" wrapText="1"/>
    </xf>
    <xf numFmtId="0" fontId="18" fillId="2" borderId="1" xfId="0" applyFont="1" applyFill="1" applyBorder="1" applyAlignment="1">
      <alignment horizontal="center" wrapText="1"/>
    </xf>
    <xf numFmtId="169" fontId="18" fillId="0" borderId="0" xfId="0" applyNumberFormat="1" applyFont="1"/>
    <xf numFmtId="0" fontId="18" fillId="0" borderId="0" xfId="0" applyFont="1" applyAlignment="1">
      <alignment horizontal="center" vertical="center"/>
    </xf>
    <xf numFmtId="169" fontId="18" fillId="2" borderId="1" xfId="0" applyNumberFormat="1" applyFont="1" applyFill="1" applyBorder="1"/>
    <xf numFmtId="0" fontId="14" fillId="2" borderId="1" xfId="0" applyFont="1" applyFill="1" applyBorder="1" applyAlignment="1">
      <alignment vertical="center" wrapText="1"/>
    </xf>
    <xf numFmtId="169" fontId="14" fillId="2" borderId="1" xfId="0" applyNumberFormat="1" applyFont="1" applyFill="1" applyBorder="1" applyAlignment="1">
      <alignment wrapText="1"/>
    </xf>
    <xf numFmtId="164" fontId="18" fillId="0" borderId="0" xfId="0" applyNumberFormat="1" applyFont="1" applyAlignment="1">
      <alignment wrapText="1"/>
    </xf>
    <xf numFmtId="0" fontId="18" fillId="0" borderId="0" xfId="0" applyFont="1" applyAlignment="1">
      <alignment wrapText="1"/>
    </xf>
    <xf numFmtId="9" fontId="18" fillId="0" borderId="0" xfId="0" applyNumberFormat="1" applyFont="1" applyAlignment="1">
      <alignment horizontal="center" vertical="center" wrapText="1"/>
    </xf>
    <xf numFmtId="9" fontId="18" fillId="0" borderId="0" xfId="0" applyNumberFormat="1" applyFont="1" applyAlignment="1">
      <alignment wrapText="1"/>
    </xf>
    <xf numFmtId="164" fontId="18" fillId="2" borderId="1" xfId="0" applyNumberFormat="1" applyFont="1" applyFill="1" applyBorder="1" applyAlignment="1">
      <alignment horizontal="left" wrapText="1"/>
    </xf>
    <xf numFmtId="164" fontId="18" fillId="0" borderId="0" xfId="0" applyNumberFormat="1" applyFont="1"/>
    <xf numFmtId="9" fontId="18" fillId="0" borderId="0" xfId="0" applyNumberFormat="1" applyFont="1" applyAlignment="1">
      <alignment horizontal="center" vertical="center"/>
    </xf>
    <xf numFmtId="9" fontId="18" fillId="0" borderId="0" xfId="0" applyNumberFormat="1" applyFont="1"/>
    <xf numFmtId="0" fontId="10" fillId="11" borderId="1" xfId="0" applyFont="1" applyFill="1" applyBorder="1"/>
    <xf numFmtId="0" fontId="11" fillId="11" borderId="1" xfId="0" applyFont="1" applyFill="1" applyBorder="1" applyAlignment="1">
      <alignment horizontal="center"/>
    </xf>
    <xf numFmtId="0" fontId="10" fillId="11" borderId="1" xfId="0" applyFont="1" applyFill="1" applyBorder="1" applyAlignment="1">
      <alignment horizontal="center"/>
    </xf>
    <xf numFmtId="0" fontId="10" fillId="11" borderId="1" xfId="0" applyFont="1" applyFill="1" applyBorder="1" applyAlignment="1">
      <alignment horizontal="center" vertical="center"/>
    </xf>
    <xf numFmtId="9" fontId="10" fillId="11" borderId="1" xfId="0" applyNumberFormat="1" applyFont="1" applyFill="1" applyBorder="1"/>
    <xf numFmtId="10" fontId="10" fillId="0" borderId="0" xfId="0" applyNumberFormat="1" applyFont="1"/>
    <xf numFmtId="177" fontId="10" fillId="0" borderId="0" xfId="0" applyNumberFormat="1" applyFont="1"/>
    <xf numFmtId="0" fontId="13" fillId="0" borderId="0" xfId="0" applyFont="1"/>
    <xf numFmtId="0" fontId="14" fillId="0" borderId="0" xfId="0" applyFont="1"/>
    <xf numFmtId="0" fontId="15" fillId="3" borderId="6" xfId="0" applyFont="1" applyFill="1" applyBorder="1" applyAlignment="1">
      <alignment vertical="center"/>
    </xf>
    <xf numFmtId="0" fontId="15" fillId="3" borderId="6" xfId="0" applyFont="1" applyFill="1" applyBorder="1" applyAlignment="1">
      <alignment horizontal="center" vertical="center"/>
    </xf>
    <xf numFmtId="169" fontId="14" fillId="2" borderId="1" xfId="0" applyNumberFormat="1" applyFont="1" applyFill="1" applyBorder="1" applyAlignment="1">
      <alignment horizontal="center"/>
    </xf>
    <xf numFmtId="169" fontId="10" fillId="2" borderId="1" xfId="0" applyNumberFormat="1" applyFont="1" applyFill="1" applyBorder="1" applyAlignment="1">
      <alignment horizontal="center"/>
    </xf>
    <xf numFmtId="169" fontId="10" fillId="0" borderId="0" xfId="0" applyNumberFormat="1" applyFont="1" applyAlignment="1">
      <alignment horizontal="center"/>
    </xf>
    <xf numFmtId="169" fontId="17" fillId="0" borderId="0" xfId="0" applyNumberFormat="1" applyFont="1"/>
    <xf numFmtId="0" fontId="21" fillId="0" borderId="11" xfId="0" applyFont="1" applyBorder="1" applyAlignment="1">
      <alignment horizontal="center"/>
    </xf>
    <xf numFmtId="0" fontId="21" fillId="0" borderId="17" xfId="0" applyFont="1" applyBorder="1" applyAlignment="1">
      <alignment horizontal="center"/>
    </xf>
    <xf numFmtId="0" fontId="35" fillId="2" borderId="1" xfId="0" applyFont="1" applyFill="1" applyBorder="1"/>
    <xf numFmtId="0" fontId="35" fillId="0" borderId="0" xfId="0" applyFont="1"/>
    <xf numFmtId="178" fontId="10" fillId="0" borderId="0" xfId="0" applyNumberFormat="1" applyFont="1"/>
    <xf numFmtId="0" fontId="10" fillId="12" borderId="1" xfId="0" applyFont="1" applyFill="1" applyBorder="1"/>
    <xf numFmtId="0" fontId="36" fillId="0" borderId="0" xfId="0" applyFont="1"/>
    <xf numFmtId="0" fontId="13" fillId="0" borderId="0" xfId="0" applyFont="1" applyAlignment="1">
      <alignment horizontal="left"/>
    </xf>
    <xf numFmtId="0" fontId="15" fillId="3" borderId="7" xfId="0" applyFont="1" applyFill="1" applyBorder="1" applyAlignment="1">
      <alignment horizontal="left" vertical="center"/>
    </xf>
    <xf numFmtId="0" fontId="15" fillId="3" borderId="7" xfId="0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9" fontId="10" fillId="0" borderId="0" xfId="0" applyNumberFormat="1" applyFont="1" applyAlignment="1">
      <alignment horizontal="center" vertical="center"/>
    </xf>
    <xf numFmtId="0" fontId="37" fillId="0" borderId="0" xfId="0" applyFont="1"/>
    <xf numFmtId="0" fontId="38" fillId="0" borderId="0" xfId="0" applyFont="1"/>
    <xf numFmtId="0" fontId="31" fillId="0" borderId="0" xfId="0" applyFont="1" applyAlignment="1">
      <alignment horizontal="center" vertical="center"/>
    </xf>
    <xf numFmtId="166" fontId="31" fillId="0" borderId="0" xfId="0" applyNumberFormat="1" applyFont="1" applyAlignment="1">
      <alignment horizontal="center" vertical="center"/>
    </xf>
    <xf numFmtId="9" fontId="10" fillId="0" borderId="0" xfId="0" applyNumberFormat="1" applyFont="1" applyAlignment="1">
      <alignment horizontal="center" vertical="center"/>
    </xf>
    <xf numFmtId="166" fontId="10" fillId="0" borderId="0" xfId="0" applyNumberFormat="1" applyFont="1"/>
    <xf numFmtId="166" fontId="10" fillId="0" borderId="0" xfId="0" applyNumberFormat="1" applyFont="1" applyAlignment="1">
      <alignment horizontal="center" vertical="center"/>
    </xf>
    <xf numFmtId="9" fontId="10" fillId="0" borderId="0" xfId="0" applyNumberFormat="1" applyFont="1" applyAlignment="1">
      <alignment horizontal="center"/>
    </xf>
    <xf numFmtId="174" fontId="10" fillId="0" borderId="0" xfId="0" applyNumberFormat="1" applyFont="1"/>
    <xf numFmtId="0" fontId="22" fillId="0" borderId="0" xfId="0" applyFont="1" applyAlignment="1">
      <alignment horizontal="center" vertical="center"/>
    </xf>
    <xf numFmtId="166" fontId="10" fillId="0" borderId="0" xfId="0" applyNumberFormat="1" applyFont="1" applyAlignment="1">
      <alignment horizontal="center"/>
    </xf>
    <xf numFmtId="171" fontId="10" fillId="0" borderId="0" xfId="0" applyNumberFormat="1" applyFont="1"/>
    <xf numFmtId="0" fontId="22" fillId="10" borderId="43" xfId="0" applyFont="1" applyFill="1" applyBorder="1"/>
    <xf numFmtId="0" fontId="11" fillId="10" borderId="5" xfId="0" applyFont="1" applyFill="1" applyBorder="1"/>
    <xf numFmtId="0" fontId="10" fillId="10" borderId="5" xfId="0" applyFont="1" applyFill="1" applyBorder="1"/>
    <xf numFmtId="0" fontId="10" fillId="10" borderId="44" xfId="0" applyFont="1" applyFill="1" applyBorder="1"/>
    <xf numFmtId="0" fontId="22" fillId="0" borderId="21" xfId="0" applyFont="1" applyBorder="1"/>
    <xf numFmtId="0" fontId="10" fillId="0" borderId="12" xfId="0" applyFont="1" applyBorder="1"/>
    <xf numFmtId="0" fontId="10" fillId="10" borderId="1" xfId="0" applyFont="1" applyFill="1" applyBorder="1"/>
    <xf numFmtId="9" fontId="10" fillId="10" borderId="1" xfId="0" applyNumberFormat="1" applyFont="1" applyFill="1" applyBorder="1"/>
    <xf numFmtId="0" fontId="22" fillId="10" borderId="45" xfId="0" applyFont="1" applyFill="1" applyBorder="1"/>
    <xf numFmtId="9" fontId="10" fillId="2" borderId="1" xfId="0" applyNumberFormat="1" applyFont="1" applyFill="1" applyBorder="1"/>
    <xf numFmtId="0" fontId="22" fillId="0" borderId="23" xfId="0" applyFont="1" applyBorder="1"/>
    <xf numFmtId="10" fontId="10" fillId="0" borderId="18" xfId="0" applyNumberFormat="1" applyFont="1" applyBorder="1"/>
    <xf numFmtId="0" fontId="10" fillId="0" borderId="19" xfId="0" applyFont="1" applyBorder="1"/>
    <xf numFmtId="10" fontId="10" fillId="0" borderId="0" xfId="0" applyNumberFormat="1" applyFont="1" applyAlignment="1">
      <alignment horizontal="center" vertical="center"/>
    </xf>
    <xf numFmtId="10" fontId="10" fillId="0" borderId="0" xfId="0" applyNumberFormat="1" applyFont="1" applyAlignment="1">
      <alignment horizontal="center"/>
    </xf>
    <xf numFmtId="2" fontId="10" fillId="0" borderId="15" xfId="0" applyNumberFormat="1" applyFont="1" applyBorder="1"/>
    <xf numFmtId="2" fontId="10" fillId="0" borderId="16" xfId="0" applyNumberFormat="1" applyFont="1" applyBorder="1"/>
    <xf numFmtId="2" fontId="10" fillId="0" borderId="12" xfId="0" applyNumberFormat="1" applyFont="1" applyBorder="1"/>
    <xf numFmtId="2" fontId="10" fillId="0" borderId="18" xfId="0" applyNumberFormat="1" applyFont="1" applyBorder="1"/>
    <xf numFmtId="2" fontId="10" fillId="0" borderId="19" xfId="0" applyNumberFormat="1" applyFont="1" applyBorder="1"/>
    <xf numFmtId="0" fontId="10" fillId="2" borderId="45" xfId="0" applyFont="1" applyFill="1" applyBorder="1" applyAlignment="1">
      <alignment horizontal="center" vertical="center"/>
    </xf>
    <xf numFmtId="0" fontId="10" fillId="2" borderId="46" xfId="0" applyFont="1" applyFill="1" applyBorder="1" applyAlignment="1">
      <alignment horizontal="center" vertical="center"/>
    </xf>
    <xf numFmtId="9" fontId="10" fillId="2" borderId="1" xfId="0" applyNumberFormat="1" applyFont="1" applyFill="1" applyBorder="1" applyAlignment="1">
      <alignment horizontal="center" vertical="center"/>
    </xf>
    <xf numFmtId="9" fontId="10" fillId="2" borderId="46" xfId="0" applyNumberFormat="1" applyFont="1" applyFill="1" applyBorder="1" applyAlignment="1">
      <alignment horizontal="center" vertical="center"/>
    </xf>
    <xf numFmtId="0" fontId="10" fillId="2" borderId="48" xfId="0" applyFont="1" applyFill="1" applyBorder="1" applyAlignment="1">
      <alignment horizontal="center" vertical="center"/>
    </xf>
    <xf numFmtId="0" fontId="10" fillId="2" borderId="50" xfId="0" applyFont="1" applyFill="1" applyBorder="1" applyAlignment="1">
      <alignment horizontal="center" vertical="center"/>
    </xf>
    <xf numFmtId="0" fontId="11" fillId="0" borderId="0" xfId="0" applyFont="1" applyAlignment="1">
      <alignment horizontal="right"/>
    </xf>
    <xf numFmtId="164" fontId="39" fillId="0" borderId="0" xfId="0" applyNumberFormat="1" applyFont="1"/>
    <xf numFmtId="0" fontId="10" fillId="0" borderId="0" xfId="0" applyFont="1"/>
    <xf numFmtId="0" fontId="39" fillId="0" borderId="0" xfId="0" applyFont="1"/>
    <xf numFmtId="0" fontId="10" fillId="0" borderId="0" xfId="0" applyFont="1" applyAlignment="1">
      <alignment horizontal="right"/>
    </xf>
    <xf numFmtId="164" fontId="11" fillId="3" borderId="51" xfId="0" applyNumberFormat="1" applyFont="1" applyFill="1" applyBorder="1" applyAlignment="1">
      <alignment horizontal="left"/>
    </xf>
    <xf numFmtId="164" fontId="11" fillId="3" borderId="6" xfId="0" applyNumberFormat="1" applyFont="1" applyFill="1" applyBorder="1" applyAlignment="1">
      <alignment horizontal="left"/>
    </xf>
    <xf numFmtId="164" fontId="11" fillId="3" borderId="52" xfId="0" applyNumberFormat="1" applyFont="1" applyFill="1" applyBorder="1" applyAlignment="1">
      <alignment horizontal="left"/>
    </xf>
    <xf numFmtId="0" fontId="15" fillId="10" borderId="51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15" fillId="13" borderId="6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164" fontId="14" fillId="2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2" fontId="14" fillId="9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 wrapText="1"/>
    </xf>
    <xf numFmtId="179" fontId="10" fillId="0" borderId="0" xfId="0" applyNumberFormat="1" applyFont="1"/>
    <xf numFmtId="0" fontId="10" fillId="2" borderId="1" xfId="0" applyFont="1" applyFill="1" applyBorder="1" applyAlignment="1">
      <alignment horizontal="left"/>
    </xf>
    <xf numFmtId="0" fontId="11" fillId="0" borderId="18" xfId="0" applyFont="1" applyBorder="1" applyAlignment="1">
      <alignment horizontal="center"/>
    </xf>
    <xf numFmtId="2" fontId="40" fillId="0" borderId="0" xfId="0" applyNumberFormat="1" applyFont="1"/>
    <xf numFmtId="0" fontId="40" fillId="0" borderId="0" xfId="0" applyFont="1"/>
    <xf numFmtId="164" fontId="39" fillId="2" borderId="1" xfId="0" applyNumberFormat="1" applyFont="1" applyFill="1" applyBorder="1"/>
    <xf numFmtId="164" fontId="10" fillId="2" borderId="1" xfId="0" applyNumberFormat="1" applyFont="1" applyFill="1" applyBorder="1"/>
    <xf numFmtId="164" fontId="10" fillId="2" borderId="1" xfId="0" applyNumberFormat="1" applyFont="1" applyFill="1" applyBorder="1" applyAlignment="1">
      <alignment horizontal="left" wrapText="1"/>
    </xf>
    <xf numFmtId="0" fontId="10" fillId="14" borderId="1" xfId="0" applyFont="1" applyFill="1" applyBorder="1" applyAlignment="1">
      <alignment horizontal="right"/>
    </xf>
    <xf numFmtId="170" fontId="10" fillId="14" borderId="1" xfId="0" applyNumberFormat="1" applyFont="1" applyFill="1" applyBorder="1"/>
    <xf numFmtId="0" fontId="10" fillId="14" borderId="1" xfId="0" applyFont="1" applyFill="1" applyBorder="1"/>
    <xf numFmtId="0" fontId="11" fillId="10" borderId="51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1" fillId="10" borderId="52" xfId="0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10" fillId="15" borderId="1" xfId="0" applyFont="1" applyFill="1" applyBorder="1"/>
    <xf numFmtId="0" fontId="10" fillId="16" borderId="1" xfId="0" applyFont="1" applyFill="1" applyBorder="1"/>
    <xf numFmtId="0" fontId="11" fillId="12" borderId="6" xfId="0" applyFont="1" applyFill="1" applyBorder="1" applyAlignment="1">
      <alignment horizontal="center" vertical="center"/>
    </xf>
    <xf numFmtId="10" fontId="41" fillId="0" borderId="0" xfId="0" applyNumberFormat="1" applyFont="1"/>
    <xf numFmtId="2" fontId="10" fillId="0" borderId="0" xfId="0" applyNumberFormat="1" applyFont="1" applyAlignment="1">
      <alignment horizontal="right"/>
    </xf>
    <xf numFmtId="9" fontId="10" fillId="0" borderId="12" xfId="0" applyNumberFormat="1" applyFont="1" applyBorder="1"/>
    <xf numFmtId="0" fontId="11" fillId="0" borderId="18" xfId="0" applyFont="1" applyBorder="1" applyAlignment="1">
      <alignment horizontal="right"/>
    </xf>
    <xf numFmtId="2" fontId="10" fillId="0" borderId="0" xfId="0" applyNumberFormat="1" applyFont="1" applyAlignment="1">
      <alignment horizontal="center"/>
    </xf>
    <xf numFmtId="9" fontId="10" fillId="0" borderId="0" xfId="0" applyNumberFormat="1" applyFont="1" applyAlignment="1">
      <alignment horizontal="right"/>
    </xf>
    <xf numFmtId="9" fontId="41" fillId="0" borderId="0" xfId="0" applyNumberFormat="1" applyFont="1" applyAlignment="1">
      <alignment horizontal="center"/>
    </xf>
    <xf numFmtId="9" fontId="41" fillId="0" borderId="0" xfId="0" applyNumberFormat="1" applyFont="1"/>
    <xf numFmtId="9" fontId="10" fillId="2" borderId="53" xfId="0" applyNumberFormat="1" applyFont="1" applyFill="1" applyBorder="1"/>
    <xf numFmtId="2" fontId="10" fillId="2" borderId="1" xfId="0" applyNumberFormat="1" applyFont="1" applyFill="1" applyBorder="1"/>
    <xf numFmtId="0" fontId="15" fillId="10" borderId="6" xfId="0" applyFont="1" applyFill="1" applyBorder="1" applyAlignment="1">
      <alignment horizontal="center" vertical="center"/>
    </xf>
    <xf numFmtId="0" fontId="15" fillId="10" borderId="52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center" vertical="center"/>
    </xf>
    <xf numFmtId="10" fontId="42" fillId="0" borderId="0" xfId="0" applyNumberFormat="1" applyFont="1"/>
    <xf numFmtId="0" fontId="10" fillId="5" borderId="1" xfId="0" applyFont="1" applyFill="1" applyBorder="1" applyAlignment="1">
      <alignment horizontal="right"/>
    </xf>
    <xf numFmtId="9" fontId="10" fillId="5" borderId="1" xfId="0" applyNumberFormat="1" applyFont="1" applyFill="1" applyBorder="1"/>
    <xf numFmtId="9" fontId="10" fillId="14" borderId="1" xfId="0" applyNumberFormat="1" applyFont="1" applyFill="1" applyBorder="1"/>
    <xf numFmtId="0" fontId="33" fillId="0" borderId="0" xfId="0" applyFont="1" applyAlignment="1">
      <alignment horizontal="right"/>
    </xf>
    <xf numFmtId="0" fontId="33" fillId="0" borderId="0" xfId="0" applyFont="1"/>
    <xf numFmtId="171" fontId="10" fillId="2" borderId="1" xfId="0" applyNumberFormat="1" applyFont="1" applyFill="1" applyBorder="1"/>
    <xf numFmtId="0" fontId="39" fillId="0" borderId="0" xfId="0" applyFont="1" applyAlignment="1">
      <alignment horizontal="center" vertical="center"/>
    </xf>
    <xf numFmtId="0" fontId="11" fillId="10" borderId="52" xfId="0" applyFont="1" applyFill="1" applyBorder="1" applyAlignment="1">
      <alignment horizontal="center" vertical="center" wrapText="1"/>
    </xf>
    <xf numFmtId="174" fontId="10" fillId="2" borderId="1" xfId="0" applyNumberFormat="1" applyFont="1" applyFill="1" applyBorder="1"/>
    <xf numFmtId="164" fontId="10" fillId="2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" fontId="10" fillId="2" borderId="1" xfId="0" applyNumberFormat="1" applyFont="1" applyFill="1" applyBorder="1" applyAlignment="1">
      <alignment horizontal="center" vertical="center"/>
    </xf>
    <xf numFmtId="180" fontId="10" fillId="2" borderId="1" xfId="0" applyNumberFormat="1" applyFont="1" applyFill="1" applyBorder="1"/>
    <xf numFmtId="164" fontId="10" fillId="0" borderId="0" xfId="0" applyNumberFormat="1" applyFont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2" fontId="10" fillId="2" borderId="1" xfId="0" applyNumberFormat="1" applyFont="1" applyFill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170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center" vertical="center"/>
    </xf>
    <xf numFmtId="179" fontId="10" fillId="0" borderId="0" xfId="0" applyNumberFormat="1" applyFont="1" applyAlignment="1">
      <alignment horizontal="center"/>
    </xf>
    <xf numFmtId="0" fontId="39" fillId="2" borderId="1" xfId="0" applyFont="1" applyFill="1" applyBorder="1" applyAlignment="1">
      <alignment horizontal="left"/>
    </xf>
    <xf numFmtId="0" fontId="11" fillId="10" borderId="6" xfId="0" applyFont="1" applyFill="1" applyBorder="1" applyAlignment="1">
      <alignment horizontal="center" vertical="center" wrapText="1"/>
    </xf>
    <xf numFmtId="1" fontId="10" fillId="5" borderId="1" xfId="0" applyNumberFormat="1" applyFont="1" applyFill="1" applyBorder="1" applyAlignment="1">
      <alignment horizontal="center" vertical="center"/>
    </xf>
    <xf numFmtId="9" fontId="10" fillId="2" borderId="1" xfId="0" applyNumberFormat="1" applyFont="1" applyFill="1" applyBorder="1" applyAlignment="1">
      <alignment horizontal="center"/>
    </xf>
    <xf numFmtId="170" fontId="10" fillId="2" borderId="1" xfId="0" applyNumberFormat="1" applyFont="1" applyFill="1" applyBorder="1"/>
    <xf numFmtId="1" fontId="10" fillId="0" borderId="0" xfId="0" applyNumberFormat="1" applyFont="1" applyAlignment="1">
      <alignment horizontal="center"/>
    </xf>
    <xf numFmtId="2" fontId="10" fillId="14" borderId="1" xfId="0" applyNumberFormat="1" applyFont="1" applyFill="1" applyBorder="1"/>
    <xf numFmtId="170" fontId="10" fillId="2" borderId="1" xfId="0" applyNumberFormat="1" applyFont="1" applyFill="1" applyBorder="1" applyAlignment="1">
      <alignment horizontal="right"/>
    </xf>
    <xf numFmtId="0" fontId="15" fillId="10" borderId="6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2" fontId="14" fillId="5" borderId="1" xfId="0" applyNumberFormat="1" applyFont="1" applyFill="1" applyBorder="1" applyAlignment="1">
      <alignment horizontal="center" vertical="center"/>
    </xf>
    <xf numFmtId="169" fontId="10" fillId="2" borderId="1" xfId="0" applyNumberFormat="1" applyFont="1" applyFill="1" applyBorder="1"/>
    <xf numFmtId="0" fontId="14" fillId="2" borderId="51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/>
    </xf>
    <xf numFmtId="0" fontId="10" fillId="2" borderId="6" xfId="0" applyFont="1" applyFill="1" applyBorder="1"/>
    <xf numFmtId="10" fontId="14" fillId="5" borderId="52" xfId="0" applyNumberFormat="1" applyFont="1" applyFill="1" applyBorder="1" applyAlignment="1">
      <alignment horizontal="center" vertical="center"/>
    </xf>
    <xf numFmtId="10" fontId="14" fillId="2" borderId="1" xfId="0" applyNumberFormat="1" applyFont="1" applyFill="1" applyBorder="1" applyAlignment="1">
      <alignment horizontal="center" vertical="center"/>
    </xf>
    <xf numFmtId="9" fontId="14" fillId="2" borderId="1" xfId="0" applyNumberFormat="1" applyFont="1" applyFill="1" applyBorder="1"/>
    <xf numFmtId="2" fontId="14" fillId="2" borderId="1" xfId="0" applyNumberFormat="1" applyFont="1" applyFill="1" applyBorder="1" applyAlignment="1">
      <alignment horizontal="center" vertical="center"/>
    </xf>
    <xf numFmtId="167" fontId="10" fillId="2" borderId="1" xfId="0" applyNumberFormat="1" applyFont="1" applyFill="1" applyBorder="1"/>
    <xf numFmtId="164" fontId="10" fillId="2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/>
    <xf numFmtId="164" fontId="14" fillId="14" borderId="1" xfId="0" applyNumberFormat="1" applyFont="1" applyFill="1" applyBorder="1" applyAlignment="1">
      <alignment horizontal="center"/>
    </xf>
    <xf numFmtId="181" fontId="10" fillId="0" borderId="0" xfId="0" applyNumberFormat="1" applyFont="1"/>
    <xf numFmtId="1" fontId="10" fillId="0" borderId="0" xfId="0" applyNumberFormat="1" applyFont="1" applyAlignment="1">
      <alignment horizontal="center" vertical="center"/>
    </xf>
    <xf numFmtId="9" fontId="10" fillId="0" borderId="11" xfId="0" applyNumberFormat="1" applyFont="1" applyBorder="1"/>
    <xf numFmtId="2" fontId="10" fillId="11" borderId="1" xfId="0" applyNumberFormat="1" applyFont="1" applyFill="1" applyBorder="1" applyAlignment="1">
      <alignment horizontal="center"/>
    </xf>
    <xf numFmtId="9" fontId="10" fillId="0" borderId="17" xfId="0" applyNumberFormat="1" applyFont="1" applyBorder="1" applyAlignment="1">
      <alignment horizontal="right"/>
    </xf>
    <xf numFmtId="0" fontId="11" fillId="2" borderId="1" xfId="0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36" fillId="5" borderId="1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/>
    </xf>
    <xf numFmtId="169" fontId="18" fillId="5" borderId="5" xfId="0" applyNumberFormat="1" applyFont="1" applyFill="1" applyBorder="1" applyAlignment="1">
      <alignment horizontal="center" vertical="center" wrapText="1"/>
    </xf>
    <xf numFmtId="169" fontId="18" fillId="2" borderId="5" xfId="0" applyNumberFormat="1" applyFont="1" applyFill="1" applyBorder="1" applyAlignment="1">
      <alignment horizontal="center" vertical="center" wrapText="1"/>
    </xf>
    <xf numFmtId="1" fontId="18" fillId="5" borderId="5" xfId="0" applyNumberFormat="1" applyFont="1" applyFill="1" applyBorder="1" applyAlignment="1">
      <alignment horizontal="center" vertical="center" wrapText="1"/>
    </xf>
    <xf numFmtId="0" fontId="10" fillId="16" borderId="5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vertical="center"/>
    </xf>
    <xf numFmtId="0" fontId="10" fillId="4" borderId="5" xfId="0" applyFont="1" applyFill="1" applyBorder="1" applyAlignment="1">
      <alignment horizontal="center" vertical="center"/>
    </xf>
    <xf numFmtId="169" fontId="18" fillId="4" borderId="5" xfId="0" applyNumberFormat="1" applyFont="1" applyFill="1" applyBorder="1" applyAlignment="1">
      <alignment horizontal="center" vertical="center" wrapText="1"/>
    </xf>
    <xf numFmtId="1" fontId="18" fillId="4" borderId="5" xfId="0" applyNumberFormat="1" applyFont="1" applyFill="1" applyBorder="1" applyAlignment="1">
      <alignment horizontal="center" vertical="center" wrapText="1"/>
    </xf>
    <xf numFmtId="0" fontId="10" fillId="4" borderId="1" xfId="0" applyFont="1" applyFill="1" applyBorder="1"/>
    <xf numFmtId="0" fontId="11" fillId="0" borderId="0" xfId="0" applyFont="1" applyAlignment="1">
      <alignment horizontal="center" vertical="center"/>
    </xf>
    <xf numFmtId="0" fontId="18" fillId="16" borderId="5" xfId="0" applyFont="1" applyFill="1" applyBorder="1" applyAlignment="1">
      <alignment horizontal="center" vertical="center"/>
    </xf>
    <xf numFmtId="166" fontId="10" fillId="16" borderId="1" xfId="0" applyNumberFormat="1" applyFont="1" applyFill="1" applyBorder="1"/>
    <xf numFmtId="9" fontId="10" fillId="16" borderId="1" xfId="0" applyNumberFormat="1" applyFont="1" applyFill="1" applyBorder="1"/>
    <xf numFmtId="169" fontId="10" fillId="2" borderId="1" xfId="0" applyNumberFormat="1" applyFont="1" applyFill="1" applyBorder="1" applyAlignment="1">
      <alignment vertical="center"/>
    </xf>
    <xf numFmtId="0" fontId="20" fillId="5" borderId="1" xfId="0" applyFont="1" applyFill="1" applyBorder="1" applyAlignment="1">
      <alignment vertical="center"/>
    </xf>
    <xf numFmtId="0" fontId="20" fillId="9" borderId="1" xfId="0" applyFont="1" applyFill="1" applyBorder="1" applyAlignment="1">
      <alignment vertical="center"/>
    </xf>
    <xf numFmtId="0" fontId="10" fillId="9" borderId="53" xfId="0" applyFont="1" applyFill="1" applyBorder="1"/>
    <xf numFmtId="0" fontId="20" fillId="5" borderId="10" xfId="0" applyFont="1" applyFill="1" applyBorder="1" applyAlignment="1">
      <alignment vertical="center"/>
    </xf>
    <xf numFmtId="0" fontId="10" fillId="5" borderId="10" xfId="0" applyFont="1" applyFill="1" applyBorder="1"/>
    <xf numFmtId="0" fontId="36" fillId="2" borderId="1" xfId="0" applyFont="1" applyFill="1" applyBorder="1" applyAlignment="1">
      <alignment horizontal="center" vertical="center"/>
    </xf>
    <xf numFmtId="0" fontId="11" fillId="5" borderId="43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5" xfId="0" applyFont="1" applyFill="1" applyBorder="1"/>
    <xf numFmtId="0" fontId="11" fillId="5" borderId="44" xfId="0" applyFont="1" applyFill="1" applyBorder="1"/>
    <xf numFmtId="0" fontId="11" fillId="9" borderId="43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5" xfId="0" applyFont="1" applyFill="1" applyBorder="1"/>
    <xf numFmtId="0" fontId="11" fillId="9" borderId="1" xfId="0" applyFont="1" applyFill="1" applyBorder="1" applyAlignment="1">
      <alignment horizontal="center" vertical="center"/>
    </xf>
    <xf numFmtId="0" fontId="45" fillId="0" borderId="0" xfId="0" applyFont="1"/>
    <xf numFmtId="0" fontId="11" fillId="5" borderId="10" xfId="0" applyFont="1" applyFill="1" applyBorder="1" applyAlignment="1">
      <alignment horizontal="center" vertical="center"/>
    </xf>
    <xf numFmtId="0" fontId="11" fillId="5" borderId="10" xfId="0" applyFont="1" applyFill="1" applyBorder="1"/>
    <xf numFmtId="1" fontId="10" fillId="5" borderId="1" xfId="0" applyNumberFormat="1" applyFont="1" applyFill="1" applyBorder="1"/>
    <xf numFmtId="169" fontId="10" fillId="9" borderId="1" xfId="0" applyNumberFormat="1" applyFont="1" applyFill="1" applyBorder="1" applyAlignment="1">
      <alignment horizontal="center" vertical="center"/>
    </xf>
    <xf numFmtId="169" fontId="45" fillId="5" borderId="1" xfId="0" applyNumberFormat="1" applyFont="1" applyFill="1" applyBorder="1" applyAlignment="1">
      <alignment horizontal="center" vertical="center"/>
    </xf>
    <xf numFmtId="169" fontId="10" fillId="5" borderId="1" xfId="0" applyNumberFormat="1" applyFont="1" applyFill="1" applyBorder="1" applyAlignment="1">
      <alignment horizontal="center" vertical="center"/>
    </xf>
    <xf numFmtId="0" fontId="46" fillId="2" borderId="20" xfId="0" applyFont="1" applyFill="1" applyBorder="1" applyAlignment="1">
      <alignment horizontal="center" vertical="center" wrapText="1"/>
    </xf>
    <xf numFmtId="166" fontId="10" fillId="0" borderId="24" xfId="0" applyNumberFormat="1" applyFont="1" applyBorder="1"/>
    <xf numFmtId="166" fontId="10" fillId="0" borderId="15" xfId="0" applyNumberFormat="1" applyFont="1" applyBorder="1"/>
    <xf numFmtId="166" fontId="10" fillId="0" borderId="16" xfId="0" applyNumberFormat="1" applyFont="1" applyBorder="1"/>
    <xf numFmtId="0" fontId="46" fillId="0" borderId="11" xfId="0" applyFont="1" applyBorder="1" applyAlignment="1">
      <alignment horizontal="center"/>
    </xf>
    <xf numFmtId="166" fontId="10" fillId="0" borderId="21" xfId="0" applyNumberFormat="1" applyFont="1" applyBorder="1"/>
    <xf numFmtId="166" fontId="10" fillId="0" borderId="12" xfId="0" applyNumberFormat="1" applyFont="1" applyBorder="1"/>
    <xf numFmtId="0" fontId="10" fillId="0" borderId="11" xfId="0" applyFont="1" applyBorder="1" applyAlignment="1">
      <alignment horizontal="center"/>
    </xf>
    <xf numFmtId="0" fontId="46" fillId="0" borderId="17" xfId="0" applyFont="1" applyBorder="1" applyAlignment="1">
      <alignment horizontal="center"/>
    </xf>
    <xf numFmtId="166" fontId="10" fillId="0" borderId="23" xfId="0" applyNumberFormat="1" applyFont="1" applyBorder="1"/>
    <xf numFmtId="166" fontId="10" fillId="0" borderId="18" xfId="0" applyNumberFormat="1" applyFont="1" applyBorder="1"/>
    <xf numFmtId="166" fontId="10" fillId="0" borderId="19" xfId="0" applyNumberFormat="1" applyFont="1" applyBorder="1"/>
    <xf numFmtId="0" fontId="46" fillId="0" borderId="0" xfId="0" applyFont="1" applyAlignment="1">
      <alignment horizontal="center"/>
    </xf>
    <xf numFmtId="182" fontId="10" fillId="0" borderId="0" xfId="0" applyNumberFormat="1" applyFont="1"/>
    <xf numFmtId="0" fontId="18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 wrapText="1"/>
    </xf>
    <xf numFmtId="0" fontId="10" fillId="17" borderId="1" xfId="0" applyFont="1" applyFill="1" applyBorder="1"/>
    <xf numFmtId="1" fontId="10" fillId="4" borderId="1" xfId="0" applyNumberFormat="1" applyFont="1" applyFill="1" applyBorder="1" applyAlignment="1">
      <alignment horizontal="center" vertical="center"/>
    </xf>
    <xf numFmtId="1" fontId="10" fillId="10" borderId="1" xfId="0" applyNumberFormat="1" applyFont="1" applyFill="1" applyBorder="1"/>
    <xf numFmtId="11" fontId="10" fillId="0" borderId="0" xfId="0" applyNumberFormat="1" applyFont="1"/>
    <xf numFmtId="0" fontId="10" fillId="18" borderId="1" xfId="0" applyFont="1" applyFill="1" applyBorder="1"/>
    <xf numFmtId="0" fontId="33" fillId="16" borderId="1" xfId="0" applyFont="1" applyFill="1" applyBorder="1" applyAlignment="1">
      <alignment horizontal="center"/>
    </xf>
    <xf numFmtId="0" fontId="11" fillId="10" borderId="1" xfId="0" applyFont="1" applyFill="1" applyBorder="1" applyAlignment="1">
      <alignment horizontal="center" vertical="center"/>
    </xf>
    <xf numFmtId="0" fontId="11" fillId="18" borderId="10" xfId="0" applyFont="1" applyFill="1" applyBorder="1" applyAlignment="1">
      <alignment horizontal="center" vertical="center"/>
    </xf>
    <xf numFmtId="0" fontId="11" fillId="18" borderId="51" xfId="0" applyFont="1" applyFill="1" applyBorder="1"/>
    <xf numFmtId="0" fontId="11" fillId="18" borderId="6" xfId="0" applyFont="1" applyFill="1" applyBorder="1"/>
    <xf numFmtId="0" fontId="11" fillId="18" borderId="52" xfId="0" applyFont="1" applyFill="1" applyBorder="1"/>
    <xf numFmtId="0" fontId="11" fillId="5" borderId="1" xfId="0" applyFont="1" applyFill="1" applyBorder="1" applyAlignment="1">
      <alignment horizontal="center" vertical="center"/>
    </xf>
    <xf numFmtId="0" fontId="11" fillId="5" borderId="43" xfId="0" applyFont="1" applyFill="1" applyBorder="1"/>
    <xf numFmtId="0" fontId="33" fillId="16" borderId="1" xfId="0" applyFont="1" applyFill="1" applyBorder="1"/>
    <xf numFmtId="9" fontId="11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1" fillId="10" borderId="1" xfId="0" applyFont="1" applyFill="1" applyBorder="1"/>
    <xf numFmtId="0" fontId="11" fillId="18" borderId="59" xfId="0" applyFont="1" applyFill="1" applyBorder="1"/>
    <xf numFmtId="1" fontId="10" fillId="18" borderId="43" xfId="0" applyNumberFormat="1" applyFont="1" applyFill="1" applyBorder="1" applyAlignment="1">
      <alignment horizontal="center"/>
    </xf>
    <xf numFmtId="1" fontId="10" fillId="18" borderId="5" xfId="0" applyNumberFormat="1" applyFont="1" applyFill="1" applyBorder="1" applyAlignment="1">
      <alignment horizontal="center"/>
    </xf>
    <xf numFmtId="1" fontId="10" fillId="18" borderId="44" xfId="0" applyNumberFormat="1" applyFont="1" applyFill="1" applyBorder="1" applyAlignment="1">
      <alignment horizontal="center"/>
    </xf>
    <xf numFmtId="0" fontId="11" fillId="5" borderId="51" xfId="0" applyFont="1" applyFill="1" applyBorder="1" applyAlignment="1">
      <alignment horizontal="center" vertical="center"/>
    </xf>
    <xf numFmtId="1" fontId="10" fillId="5" borderId="1" xfId="0" applyNumberFormat="1" applyFont="1" applyFill="1" applyBorder="1" applyAlignment="1">
      <alignment horizontal="center"/>
    </xf>
    <xf numFmtId="1" fontId="10" fillId="18" borderId="45" xfId="0" applyNumberFormat="1" applyFont="1" applyFill="1" applyBorder="1" applyAlignment="1">
      <alignment horizontal="center"/>
    </xf>
    <xf numFmtId="1" fontId="10" fillId="18" borderId="1" xfId="0" applyNumberFormat="1" applyFont="1" applyFill="1" applyBorder="1" applyAlignment="1">
      <alignment horizontal="center"/>
    </xf>
    <xf numFmtId="1" fontId="10" fillId="18" borderId="46" xfId="0" applyNumberFormat="1" applyFont="1" applyFill="1" applyBorder="1" applyAlignment="1">
      <alignment horizontal="center"/>
    </xf>
    <xf numFmtId="0" fontId="11" fillId="2" borderId="1" xfId="0" applyFont="1" applyFill="1" applyBorder="1"/>
    <xf numFmtId="1" fontId="11" fillId="5" borderId="10" xfId="0" applyNumberFormat="1" applyFont="1" applyFill="1" applyBorder="1" applyAlignment="1">
      <alignment horizontal="center" vertical="center"/>
    </xf>
    <xf numFmtId="176" fontId="33" fillId="16" borderId="1" xfId="0" applyNumberFormat="1" applyFont="1" applyFill="1" applyBorder="1"/>
    <xf numFmtId="176" fontId="11" fillId="0" borderId="0" xfId="0" applyNumberFormat="1" applyFont="1" applyAlignment="1">
      <alignment horizontal="center" vertical="center"/>
    </xf>
    <xf numFmtId="167" fontId="33" fillId="16" borderId="1" xfId="0" applyNumberFormat="1" applyFont="1" applyFill="1" applyBorder="1"/>
    <xf numFmtId="167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11" fillId="18" borderId="22" xfId="0" applyFont="1" applyFill="1" applyBorder="1"/>
    <xf numFmtId="1" fontId="10" fillId="18" borderId="48" xfId="0" applyNumberFormat="1" applyFont="1" applyFill="1" applyBorder="1" applyAlignment="1">
      <alignment horizontal="center"/>
    </xf>
    <xf numFmtId="1" fontId="10" fillId="18" borderId="53" xfId="0" applyNumberFormat="1" applyFont="1" applyFill="1" applyBorder="1" applyAlignment="1">
      <alignment horizontal="center"/>
    </xf>
    <xf numFmtId="1" fontId="10" fillId="18" borderId="50" xfId="0" applyNumberFormat="1" applyFont="1" applyFill="1" applyBorder="1" applyAlignment="1">
      <alignment horizontal="center"/>
    </xf>
    <xf numFmtId="167" fontId="33" fillId="0" borderId="0" xfId="0" applyNumberFormat="1" applyFont="1"/>
    <xf numFmtId="0" fontId="11" fillId="5" borderId="59" xfId="0" applyFont="1" applyFill="1" applyBorder="1" applyAlignment="1">
      <alignment horizontal="center" vertical="center"/>
    </xf>
    <xf numFmtId="0" fontId="11" fillId="18" borderId="1" xfId="0" applyFont="1" applyFill="1" applyBorder="1" applyAlignment="1">
      <alignment horizontal="center" vertical="center"/>
    </xf>
    <xf numFmtId="0" fontId="11" fillId="18" borderId="1" xfId="0" applyFont="1" applyFill="1" applyBorder="1"/>
    <xf numFmtId="1" fontId="11" fillId="18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/>
    <xf numFmtId="9" fontId="11" fillId="18" borderId="1" xfId="0" applyNumberFormat="1" applyFont="1" applyFill="1" applyBorder="1" applyAlignment="1">
      <alignment horizontal="center"/>
    </xf>
    <xf numFmtId="0" fontId="36" fillId="2" borderId="1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169" fontId="10" fillId="2" borderId="1" xfId="0" applyNumberFormat="1" applyFont="1" applyFill="1" applyBorder="1" applyAlignment="1">
      <alignment horizontal="center" vertical="center"/>
    </xf>
    <xf numFmtId="9" fontId="33" fillId="2" borderId="1" xfId="0" applyNumberFormat="1" applyFont="1" applyFill="1" applyBorder="1" applyAlignment="1">
      <alignment horizontal="center" vertical="center"/>
    </xf>
    <xf numFmtId="170" fontId="18" fillId="2" borderId="5" xfId="0" applyNumberFormat="1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169" fontId="18" fillId="2" borderId="1" xfId="0" applyNumberFormat="1" applyFont="1" applyFill="1" applyBorder="1" applyAlignment="1">
      <alignment horizontal="center" vertical="center" wrapText="1"/>
    </xf>
    <xf numFmtId="1" fontId="18" fillId="2" borderId="1" xfId="0" applyNumberFormat="1" applyFont="1" applyFill="1" applyBorder="1" applyAlignment="1">
      <alignment horizontal="center" vertical="center" wrapText="1"/>
    </xf>
    <xf numFmtId="0" fontId="11" fillId="11" borderId="1" xfId="0" applyFont="1" applyFill="1" applyBorder="1"/>
    <xf numFmtId="0" fontId="10" fillId="14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0" fillId="2" borderId="1" xfId="0" applyFont="1" applyFill="1" applyBorder="1"/>
    <xf numFmtId="0" fontId="20" fillId="18" borderId="51" xfId="0" applyFont="1" applyFill="1" applyBorder="1"/>
    <xf numFmtId="0" fontId="20" fillId="18" borderId="6" xfId="0" applyFont="1" applyFill="1" applyBorder="1"/>
    <xf numFmtId="0" fontId="20" fillId="18" borderId="52" xfId="0" applyFont="1" applyFill="1" applyBorder="1"/>
    <xf numFmtId="0" fontId="36" fillId="14" borderId="1" xfId="0" applyFont="1" applyFill="1" applyBorder="1" applyAlignment="1">
      <alignment horizontal="center" vertical="center" wrapText="1"/>
    </xf>
    <xf numFmtId="0" fontId="36" fillId="16" borderId="1" xfId="0" applyFont="1" applyFill="1" applyBorder="1" applyAlignment="1">
      <alignment horizontal="center" vertical="center" wrapText="1"/>
    </xf>
    <xf numFmtId="0" fontId="36" fillId="11" borderId="1" xfId="0" applyFont="1" applyFill="1" applyBorder="1" applyAlignment="1">
      <alignment horizontal="center" vertical="center" wrapText="1"/>
    </xf>
    <xf numFmtId="0" fontId="36" fillId="4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" fillId="18" borderId="45" xfId="0" applyFont="1" applyFill="1" applyBorder="1" applyAlignment="1">
      <alignment horizontal="center" vertical="center"/>
    </xf>
    <xf numFmtId="0" fontId="11" fillId="18" borderId="46" xfId="0" applyFont="1" applyFill="1" applyBorder="1" applyAlignment="1">
      <alignment horizontal="center" vertical="center"/>
    </xf>
    <xf numFmtId="1" fontId="18" fillId="2" borderId="5" xfId="0" applyNumberFormat="1" applyFont="1" applyFill="1" applyBorder="1" applyAlignment="1">
      <alignment horizontal="center" vertical="center" wrapText="1"/>
    </xf>
    <xf numFmtId="9" fontId="18" fillId="14" borderId="5" xfId="0" applyNumberFormat="1" applyFont="1" applyFill="1" applyBorder="1" applyAlignment="1">
      <alignment horizontal="center" vertical="center" wrapText="1"/>
    </xf>
    <xf numFmtId="169" fontId="18" fillId="14" borderId="5" xfId="0" applyNumberFormat="1" applyFont="1" applyFill="1" applyBorder="1" applyAlignment="1">
      <alignment horizontal="center" vertical="center" wrapText="1"/>
    </xf>
    <xf numFmtId="9" fontId="18" fillId="16" borderId="5" xfId="0" applyNumberFormat="1" applyFont="1" applyFill="1" applyBorder="1" applyAlignment="1">
      <alignment horizontal="center" vertical="center" wrapText="1"/>
    </xf>
    <xf numFmtId="9" fontId="18" fillId="11" borderId="5" xfId="0" applyNumberFormat="1" applyFont="1" applyFill="1" applyBorder="1" applyAlignment="1">
      <alignment horizontal="center" vertical="center" wrapText="1"/>
    </xf>
    <xf numFmtId="1" fontId="10" fillId="4" borderId="6" xfId="0" applyNumberFormat="1" applyFont="1" applyFill="1" applyBorder="1" applyAlignment="1">
      <alignment horizontal="center" vertical="center"/>
    </xf>
    <xf numFmtId="169" fontId="10" fillId="4" borderId="6" xfId="0" applyNumberFormat="1" applyFont="1" applyFill="1" applyBorder="1"/>
    <xf numFmtId="1" fontId="10" fillId="14" borderId="6" xfId="0" applyNumberFormat="1" applyFont="1" applyFill="1" applyBorder="1"/>
    <xf numFmtId="0" fontId="10" fillId="14" borderId="6" xfId="0" applyFont="1" applyFill="1" applyBorder="1" applyAlignment="1">
      <alignment horizontal="center" vertical="center"/>
    </xf>
    <xf numFmtId="169" fontId="10" fillId="14" borderId="6" xfId="0" applyNumberFormat="1" applyFont="1" applyFill="1" applyBorder="1" applyAlignment="1">
      <alignment horizontal="center"/>
    </xf>
    <xf numFmtId="9" fontId="10" fillId="18" borderId="45" xfId="0" applyNumberFormat="1" applyFont="1" applyFill="1" applyBorder="1" applyAlignment="1">
      <alignment horizontal="center"/>
    </xf>
    <xf numFmtId="9" fontId="10" fillId="18" borderId="1" xfId="0" applyNumberFormat="1" applyFont="1" applyFill="1" applyBorder="1" applyAlignment="1">
      <alignment horizontal="center"/>
    </xf>
    <xf numFmtId="9" fontId="10" fillId="18" borderId="46" xfId="0" applyNumberFormat="1" applyFont="1" applyFill="1" applyBorder="1" applyAlignment="1">
      <alignment horizontal="center"/>
    </xf>
    <xf numFmtId="2" fontId="10" fillId="18" borderId="45" xfId="0" applyNumberFormat="1" applyFont="1" applyFill="1" applyBorder="1" applyAlignment="1">
      <alignment horizontal="center"/>
    </xf>
    <xf numFmtId="2" fontId="10" fillId="18" borderId="1" xfId="0" applyNumberFormat="1" applyFont="1" applyFill="1" applyBorder="1" applyAlignment="1">
      <alignment horizontal="center"/>
    </xf>
    <xf numFmtId="2" fontId="10" fillId="18" borderId="46" xfId="0" applyNumberFormat="1" applyFont="1" applyFill="1" applyBorder="1" applyAlignment="1">
      <alignment horizontal="center"/>
    </xf>
    <xf numFmtId="2" fontId="10" fillId="17" borderId="1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46" xfId="0" applyNumberFormat="1" applyFont="1" applyFill="1" applyBorder="1" applyAlignment="1">
      <alignment horizontal="center"/>
    </xf>
    <xf numFmtId="169" fontId="18" fillId="2" borderId="5" xfId="0" applyNumberFormat="1" applyFont="1" applyFill="1" applyBorder="1" applyAlignment="1">
      <alignment horizontal="center" vertical="center"/>
    </xf>
    <xf numFmtId="1" fontId="18" fillId="2" borderId="5" xfId="0" applyNumberFormat="1" applyFont="1" applyFill="1" applyBorder="1" applyAlignment="1">
      <alignment horizontal="center" vertical="center"/>
    </xf>
    <xf numFmtId="9" fontId="18" fillId="14" borderId="5" xfId="0" applyNumberFormat="1" applyFont="1" applyFill="1" applyBorder="1" applyAlignment="1">
      <alignment horizontal="center" vertical="center"/>
    </xf>
    <xf numFmtId="169" fontId="18" fillId="14" borderId="5" xfId="0" applyNumberFormat="1" applyFont="1" applyFill="1" applyBorder="1" applyAlignment="1">
      <alignment horizontal="center" vertical="center"/>
    </xf>
    <xf numFmtId="169" fontId="18" fillId="5" borderId="5" xfId="0" applyNumberFormat="1" applyFont="1" applyFill="1" applyBorder="1" applyAlignment="1">
      <alignment horizontal="center" vertical="center"/>
    </xf>
    <xf numFmtId="9" fontId="18" fillId="16" borderId="5" xfId="0" applyNumberFormat="1" applyFont="1" applyFill="1" applyBorder="1" applyAlignment="1">
      <alignment horizontal="center" vertical="center"/>
    </xf>
    <xf numFmtId="9" fontId="18" fillId="11" borderId="5" xfId="0" applyNumberFormat="1" applyFont="1" applyFill="1" applyBorder="1" applyAlignment="1">
      <alignment horizontal="center" vertical="center"/>
    </xf>
    <xf numFmtId="169" fontId="10" fillId="14" borderId="6" xfId="0" applyNumberFormat="1" applyFont="1" applyFill="1" applyBorder="1" applyAlignment="1">
      <alignment horizontal="center" vertical="center"/>
    </xf>
    <xf numFmtId="2" fontId="18" fillId="2" borderId="5" xfId="0" applyNumberFormat="1" applyFont="1" applyFill="1" applyBorder="1" applyAlignment="1">
      <alignment horizontal="center" vertical="center"/>
    </xf>
    <xf numFmtId="170" fontId="18" fillId="5" borderId="5" xfId="0" applyNumberFormat="1" applyFont="1" applyFill="1" applyBorder="1" applyAlignment="1">
      <alignment horizontal="center" vertical="center"/>
    </xf>
    <xf numFmtId="174" fontId="18" fillId="2" borderId="1" xfId="0" applyNumberFormat="1" applyFont="1" applyFill="1" applyBorder="1" applyAlignment="1">
      <alignment horizontal="center"/>
    </xf>
    <xf numFmtId="175" fontId="18" fillId="2" borderId="1" xfId="0" applyNumberFormat="1" applyFont="1" applyFill="1" applyBorder="1" applyAlignment="1">
      <alignment horizontal="center"/>
    </xf>
    <xf numFmtId="9" fontId="10" fillId="18" borderId="48" xfId="0" applyNumberFormat="1" applyFont="1" applyFill="1" applyBorder="1" applyAlignment="1">
      <alignment horizontal="center"/>
    </xf>
    <xf numFmtId="9" fontId="10" fillId="18" borderId="53" xfId="0" applyNumberFormat="1" applyFont="1" applyFill="1" applyBorder="1" applyAlignment="1">
      <alignment horizontal="center"/>
    </xf>
    <xf numFmtId="9" fontId="10" fillId="18" borderId="50" xfId="0" applyNumberFormat="1" applyFont="1" applyFill="1" applyBorder="1" applyAlignment="1">
      <alignment horizontal="center"/>
    </xf>
    <xf numFmtId="2" fontId="10" fillId="18" borderId="48" xfId="0" applyNumberFormat="1" applyFont="1" applyFill="1" applyBorder="1" applyAlignment="1">
      <alignment horizontal="center"/>
    </xf>
    <xf numFmtId="2" fontId="10" fillId="18" borderId="53" xfId="0" applyNumberFormat="1" applyFont="1" applyFill="1" applyBorder="1" applyAlignment="1">
      <alignment horizontal="center"/>
    </xf>
    <xf numFmtId="2" fontId="10" fillId="18" borderId="50" xfId="0" applyNumberFormat="1" applyFont="1" applyFill="1" applyBorder="1" applyAlignment="1">
      <alignment horizontal="center"/>
    </xf>
    <xf numFmtId="169" fontId="10" fillId="4" borderId="6" xfId="0" applyNumberFormat="1" applyFont="1" applyFill="1" applyBorder="1" applyAlignment="1">
      <alignment horizontal="center"/>
    </xf>
    <xf numFmtId="2" fontId="10" fillId="18" borderId="43" xfId="0" applyNumberFormat="1" applyFont="1" applyFill="1" applyBorder="1" applyAlignment="1">
      <alignment horizontal="center"/>
    </xf>
    <xf numFmtId="2" fontId="10" fillId="18" borderId="5" xfId="0" applyNumberFormat="1" applyFont="1" applyFill="1" applyBorder="1" applyAlignment="1">
      <alignment horizontal="center"/>
    </xf>
    <xf numFmtId="2" fontId="10" fillId="17" borderId="5" xfId="0" applyNumberFormat="1" applyFont="1" applyFill="1" applyBorder="1" applyAlignment="1">
      <alignment horizontal="center"/>
    </xf>
    <xf numFmtId="2" fontId="10" fillId="18" borderId="44" xfId="0" applyNumberFormat="1" applyFont="1" applyFill="1" applyBorder="1" applyAlignment="1">
      <alignment horizontal="center"/>
    </xf>
    <xf numFmtId="169" fontId="10" fillId="14" borderId="6" xfId="0" applyNumberFormat="1" applyFont="1" applyFill="1" applyBorder="1"/>
    <xf numFmtId="2" fontId="10" fillId="2" borderId="53" xfId="0" applyNumberFormat="1" applyFont="1" applyFill="1" applyBorder="1" applyAlignment="1">
      <alignment horizontal="center"/>
    </xf>
    <xf numFmtId="2" fontId="10" fillId="2" borderId="50" xfId="0" applyNumberFormat="1" applyFont="1" applyFill="1" applyBorder="1" applyAlignment="1">
      <alignment horizontal="center"/>
    </xf>
    <xf numFmtId="169" fontId="18" fillId="14" borderId="1" xfId="0" applyNumberFormat="1" applyFont="1" applyFill="1" applyBorder="1" applyAlignment="1">
      <alignment horizontal="center" vertical="center" wrapText="1"/>
    </xf>
    <xf numFmtId="169" fontId="18" fillId="5" borderId="1" xfId="0" applyNumberFormat="1" applyFont="1" applyFill="1" applyBorder="1" applyAlignment="1">
      <alignment horizontal="center" vertical="center" wrapText="1"/>
    </xf>
    <xf numFmtId="9" fontId="18" fillId="16" borderId="1" xfId="0" applyNumberFormat="1" applyFont="1" applyFill="1" applyBorder="1" applyAlignment="1">
      <alignment horizontal="center" vertical="center" wrapText="1"/>
    </xf>
    <xf numFmtId="9" fontId="18" fillId="11" borderId="1" xfId="0" applyNumberFormat="1" applyFont="1" applyFill="1" applyBorder="1" applyAlignment="1">
      <alignment horizontal="center" vertical="center" wrapText="1"/>
    </xf>
    <xf numFmtId="9" fontId="11" fillId="2" borderId="1" xfId="0" applyNumberFormat="1" applyFont="1" applyFill="1" applyBorder="1" applyAlignment="1">
      <alignment horizontal="center"/>
    </xf>
    <xf numFmtId="169" fontId="10" fillId="14" borderId="1" xfId="0" applyNumberFormat="1" applyFont="1" applyFill="1" applyBorder="1" applyAlignment="1">
      <alignment horizontal="center"/>
    </xf>
    <xf numFmtId="2" fontId="47" fillId="0" borderId="0" xfId="0" applyNumberFormat="1" applyFont="1"/>
    <xf numFmtId="0" fontId="20" fillId="2" borderId="53" xfId="0" applyFont="1" applyFill="1" applyBorder="1" applyAlignment="1">
      <alignment horizontal="center" vertical="center" wrapText="1"/>
    </xf>
    <xf numFmtId="0" fontId="36" fillId="14" borderId="53" xfId="0" applyFont="1" applyFill="1" applyBorder="1" applyAlignment="1">
      <alignment horizontal="center" vertical="center" wrapText="1"/>
    </xf>
    <xf numFmtId="0" fontId="36" fillId="5" borderId="53" xfId="0" applyFont="1" applyFill="1" applyBorder="1" applyAlignment="1">
      <alignment horizontal="center" vertical="center" wrapText="1"/>
    </xf>
    <xf numFmtId="0" fontId="36" fillId="16" borderId="53" xfId="0" applyFont="1" applyFill="1" applyBorder="1" applyAlignment="1">
      <alignment horizontal="center" vertical="center" wrapText="1"/>
    </xf>
    <xf numFmtId="0" fontId="36" fillId="11" borderId="53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/>
    </xf>
    <xf numFmtId="0" fontId="46" fillId="2" borderId="6" xfId="0" applyFont="1" applyFill="1" applyBorder="1" applyAlignment="1">
      <alignment horizontal="center" vertical="center" wrapText="1"/>
    </xf>
    <xf numFmtId="1" fontId="46" fillId="0" borderId="13" xfId="0" applyNumberFormat="1" applyFont="1" applyBorder="1" applyAlignment="1">
      <alignment horizontal="center"/>
    </xf>
    <xf numFmtId="9" fontId="46" fillId="14" borderId="6" xfId="0" applyNumberFormat="1" applyFont="1" applyFill="1" applyBorder="1" applyAlignment="1">
      <alignment horizontal="center"/>
    </xf>
    <xf numFmtId="1" fontId="46" fillId="14" borderId="6" xfId="0" applyNumberFormat="1" applyFont="1" applyFill="1" applyBorder="1" applyAlignment="1">
      <alignment horizontal="center"/>
    </xf>
    <xf numFmtId="1" fontId="46" fillId="9" borderId="6" xfId="0" applyNumberFormat="1" applyFont="1" applyFill="1" applyBorder="1" applyAlignment="1">
      <alignment horizontal="center"/>
    </xf>
    <xf numFmtId="2" fontId="46" fillId="9" borderId="6" xfId="0" applyNumberFormat="1" applyFont="1" applyFill="1" applyBorder="1" applyAlignment="1">
      <alignment horizontal="center"/>
    </xf>
    <xf numFmtId="181" fontId="18" fillId="16" borderId="5" xfId="0" applyNumberFormat="1" applyFont="1" applyFill="1" applyBorder="1" applyAlignment="1">
      <alignment horizontal="center" vertical="center" wrapText="1"/>
    </xf>
    <xf numFmtId="1" fontId="46" fillId="4" borderId="6" xfId="0" applyNumberFormat="1" applyFont="1" applyFill="1" applyBorder="1" applyAlignment="1">
      <alignment horizontal="center"/>
    </xf>
    <xf numFmtId="169" fontId="46" fillId="4" borderId="6" xfId="0" applyNumberFormat="1" applyFont="1" applyFill="1" applyBorder="1" applyAlignment="1">
      <alignment horizontal="center"/>
    </xf>
    <xf numFmtId="1" fontId="10" fillId="14" borderId="6" xfId="0" applyNumberFormat="1" applyFont="1" applyFill="1" applyBorder="1" applyAlignment="1">
      <alignment horizontal="center" vertical="center"/>
    </xf>
    <xf numFmtId="1" fontId="46" fillId="0" borderId="0" xfId="0" applyNumberFormat="1" applyFont="1" applyAlignment="1">
      <alignment horizontal="center"/>
    </xf>
    <xf numFmtId="0" fontId="46" fillId="0" borderId="13" xfId="0" applyFont="1" applyBorder="1" applyAlignment="1">
      <alignment horizontal="center"/>
    </xf>
    <xf numFmtId="1" fontId="10" fillId="14" borderId="6" xfId="0" applyNumberFormat="1" applyFont="1" applyFill="1" applyBorder="1" applyAlignment="1">
      <alignment horizontal="center"/>
    </xf>
    <xf numFmtId="0" fontId="10" fillId="14" borderId="6" xfId="0" applyFont="1" applyFill="1" applyBorder="1" applyAlignment="1">
      <alignment horizontal="center"/>
    </xf>
    <xf numFmtId="9" fontId="18" fillId="16" borderId="6" xfId="0" applyNumberFormat="1" applyFont="1" applyFill="1" applyBorder="1" applyAlignment="1">
      <alignment horizontal="center" vertical="center" wrapText="1"/>
    </xf>
    <xf numFmtId="9" fontId="18" fillId="11" borderId="6" xfId="0" applyNumberFormat="1" applyFont="1" applyFill="1" applyBorder="1" applyAlignment="1">
      <alignment horizontal="center" vertical="center" wrapText="1"/>
    </xf>
    <xf numFmtId="1" fontId="10" fillId="0" borderId="14" xfId="0" applyNumberFormat="1" applyFont="1" applyBorder="1"/>
    <xf numFmtId="1" fontId="10" fillId="0" borderId="15" xfId="0" applyNumberFormat="1" applyFont="1" applyBorder="1"/>
    <xf numFmtId="1" fontId="10" fillId="0" borderId="24" xfId="0" applyNumberFormat="1" applyFont="1" applyBorder="1"/>
    <xf numFmtId="1" fontId="10" fillId="0" borderId="16" xfId="0" applyNumberFormat="1" applyFont="1" applyBorder="1"/>
    <xf numFmtId="1" fontId="10" fillId="0" borderId="18" xfId="0" applyNumberFormat="1" applyFont="1" applyBorder="1"/>
    <xf numFmtId="1" fontId="10" fillId="0" borderId="23" xfId="0" applyNumberFormat="1" applyFont="1" applyBorder="1"/>
    <xf numFmtId="1" fontId="10" fillId="0" borderId="19" xfId="0" applyNumberFormat="1" applyFont="1" applyBorder="1"/>
    <xf numFmtId="0" fontId="20" fillId="2" borderId="53" xfId="0" applyFont="1" applyFill="1" applyBorder="1" applyAlignment="1">
      <alignment horizontal="left" vertical="center"/>
    </xf>
    <xf numFmtId="0" fontId="36" fillId="2" borderId="53" xfId="0" applyFont="1" applyFill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" fontId="46" fillId="2" borderId="1" xfId="0" applyNumberFormat="1" applyFont="1" applyFill="1" applyBorder="1" applyAlignment="1">
      <alignment horizontal="center"/>
    </xf>
    <xf numFmtId="176" fontId="14" fillId="2" borderId="1" xfId="0" applyNumberFormat="1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1" fontId="49" fillId="0" borderId="0" xfId="0" applyNumberFormat="1" applyFont="1"/>
    <xf numFmtId="0" fontId="49" fillId="0" borderId="0" xfId="0" applyFont="1"/>
    <xf numFmtId="0" fontId="10" fillId="5" borderId="5" xfId="0" applyFont="1" applyFill="1" applyBorder="1" applyAlignment="1">
      <alignment horizontal="center" vertical="center"/>
    </xf>
    <xf numFmtId="0" fontId="46" fillId="0" borderId="15" xfId="0" applyFont="1" applyBorder="1" applyAlignment="1">
      <alignment horizontal="center"/>
    </xf>
    <xf numFmtId="1" fontId="10" fillId="11" borderId="1" xfId="0" applyNumberFormat="1" applyFont="1" applyFill="1" applyBorder="1"/>
    <xf numFmtId="167" fontId="10" fillId="0" borderId="0" xfId="0" applyNumberFormat="1" applyFont="1"/>
    <xf numFmtId="0" fontId="11" fillId="0" borderId="0" xfId="0" applyFont="1" applyAlignment="1">
      <alignment horizontal="center" vertical="center" wrapText="1"/>
    </xf>
    <xf numFmtId="169" fontId="10" fillId="12" borderId="1" xfId="0" applyNumberFormat="1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2" fontId="10" fillId="12" borderId="1" xfId="0" applyNumberFormat="1" applyFont="1" applyFill="1" applyBorder="1" applyAlignment="1">
      <alignment horizontal="center" vertical="center"/>
    </xf>
    <xf numFmtId="2" fontId="10" fillId="5" borderId="1" xfId="0" applyNumberFormat="1" applyFont="1" applyFill="1" applyBorder="1" applyAlignment="1">
      <alignment horizontal="center" vertical="center"/>
    </xf>
    <xf numFmtId="0" fontId="10" fillId="2" borderId="46" xfId="0" applyFont="1" applyFill="1" applyBorder="1"/>
    <xf numFmtId="0" fontId="10" fillId="2" borderId="45" xfId="0" applyFont="1" applyFill="1" applyBorder="1"/>
    <xf numFmtId="0" fontId="37" fillId="2" borderId="46" xfId="0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/>
    </xf>
    <xf numFmtId="0" fontId="37" fillId="0" borderId="21" xfId="0" applyFont="1" applyBorder="1"/>
    <xf numFmtId="0" fontId="50" fillId="0" borderId="0" xfId="0" applyFont="1"/>
    <xf numFmtId="0" fontId="50" fillId="0" borderId="21" xfId="0" applyFont="1" applyBorder="1"/>
    <xf numFmtId="0" fontId="50" fillId="2" borderId="46" xfId="0" applyFont="1" applyFill="1" applyBorder="1"/>
    <xf numFmtId="0" fontId="50" fillId="0" borderId="0" xfId="0" applyFont="1" applyAlignment="1">
      <alignment horizontal="center"/>
    </xf>
    <xf numFmtId="0" fontId="50" fillId="2" borderId="1" xfId="0" applyFont="1" applyFill="1" applyBorder="1" applyAlignment="1">
      <alignment horizontal="center"/>
    </xf>
    <xf numFmtId="0" fontId="50" fillId="2" borderId="1" xfId="0" applyFont="1" applyFill="1" applyBorder="1"/>
    <xf numFmtId="0" fontId="50" fillId="2" borderId="1" xfId="0" applyFont="1" applyFill="1" applyBorder="1" applyAlignment="1">
      <alignment horizontal="left"/>
    </xf>
    <xf numFmtId="0" fontId="50" fillId="0" borderId="11" xfId="0" applyFont="1" applyBorder="1"/>
    <xf numFmtId="0" fontId="50" fillId="0" borderId="0" xfId="0" applyFont="1" applyAlignment="1">
      <alignment horizontal="left"/>
    </xf>
    <xf numFmtId="0" fontId="50" fillId="2" borderId="45" xfId="0" applyFont="1" applyFill="1" applyBorder="1"/>
    <xf numFmtId="0" fontId="50" fillId="0" borderId="12" xfId="0" applyFont="1" applyBorder="1"/>
    <xf numFmtId="0" fontId="11" fillId="3" borderId="6" xfId="0" applyFont="1" applyFill="1" applyBorder="1" applyAlignment="1">
      <alignment horizontal="left"/>
    </xf>
    <xf numFmtId="0" fontId="11" fillId="2" borderId="46" xfId="0" applyFont="1" applyFill="1" applyBorder="1" applyAlignment="1">
      <alignment horizontal="left"/>
    </xf>
    <xf numFmtId="0" fontId="11" fillId="10" borderId="51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0" fontId="15" fillId="2" borderId="46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10" borderId="6" xfId="0" applyFont="1" applyFill="1" applyBorder="1" applyAlignment="1">
      <alignment horizontal="left"/>
    </xf>
    <xf numFmtId="0" fontId="15" fillId="10" borderId="6" xfId="0" applyFont="1" applyFill="1" applyBorder="1" applyAlignment="1">
      <alignment horizontal="center"/>
    </xf>
    <xf numFmtId="0" fontId="15" fillId="3" borderId="52" xfId="0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15" fillId="12" borderId="6" xfId="0" applyFont="1" applyFill="1" applyBorder="1" applyAlignment="1">
      <alignment horizontal="center" vertical="center"/>
    </xf>
    <xf numFmtId="0" fontId="15" fillId="12" borderId="6" xfId="0" applyFont="1" applyFill="1" applyBorder="1" applyAlignment="1">
      <alignment horizontal="left"/>
    </xf>
    <xf numFmtId="0" fontId="15" fillId="12" borderId="6" xfId="0" applyFont="1" applyFill="1" applyBorder="1" applyAlignment="1">
      <alignment horizontal="center"/>
    </xf>
    <xf numFmtId="0" fontId="15" fillId="12" borderId="52" xfId="0" applyFont="1" applyFill="1" applyBorder="1" applyAlignment="1">
      <alignment horizontal="left"/>
    </xf>
    <xf numFmtId="0" fontId="15" fillId="2" borderId="46" xfId="0" applyFont="1" applyFill="1" applyBorder="1" applyAlignment="1">
      <alignment horizontal="left"/>
    </xf>
    <xf numFmtId="0" fontId="15" fillId="2" borderId="45" xfId="0" applyFont="1" applyFill="1" applyBorder="1" applyAlignment="1">
      <alignment horizontal="center" vertical="center"/>
    </xf>
    <xf numFmtId="0" fontId="15" fillId="19" borderId="6" xfId="0" applyFont="1" applyFill="1" applyBorder="1" applyAlignment="1">
      <alignment horizontal="center" vertical="center"/>
    </xf>
    <xf numFmtId="0" fontId="15" fillId="19" borderId="6" xfId="0" applyFont="1" applyFill="1" applyBorder="1" applyAlignment="1">
      <alignment horizontal="left"/>
    </xf>
    <xf numFmtId="0" fontId="15" fillId="19" borderId="51" xfId="0" applyFont="1" applyFill="1" applyBorder="1" applyAlignment="1">
      <alignment horizontal="center" vertical="center"/>
    </xf>
    <xf numFmtId="0" fontId="15" fillId="19" borderId="52" xfId="0" applyFont="1" applyFill="1" applyBorder="1" applyAlignment="1">
      <alignment horizontal="center" vertical="center"/>
    </xf>
    <xf numFmtId="0" fontId="15" fillId="12" borderId="5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/>
    </xf>
    <xf numFmtId="0" fontId="15" fillId="2" borderId="46" xfId="0" applyFont="1" applyFill="1" applyBorder="1" applyAlignment="1">
      <alignment horizontal="center"/>
    </xf>
    <xf numFmtId="176" fontId="10" fillId="5" borderId="1" xfId="0" applyNumberFormat="1" applyFont="1" applyFill="1" applyBorder="1" applyAlignment="1">
      <alignment horizontal="center"/>
    </xf>
    <xf numFmtId="9" fontId="10" fillId="2" borderId="46" xfId="0" applyNumberFormat="1" applyFont="1" applyFill="1" applyBorder="1" applyAlignment="1">
      <alignment horizontal="center"/>
    </xf>
    <xf numFmtId="10" fontId="10" fillId="0" borderId="0" xfId="0" applyNumberFormat="1" applyFont="1" applyAlignment="1">
      <alignment horizontal="left"/>
    </xf>
    <xf numFmtId="10" fontId="10" fillId="2" borderId="1" xfId="0" applyNumberFormat="1" applyFont="1" applyFill="1" applyBorder="1"/>
    <xf numFmtId="10" fontId="10" fillId="2" borderId="46" xfId="0" applyNumberFormat="1" applyFont="1" applyFill="1" applyBorder="1"/>
    <xf numFmtId="183" fontId="10" fillId="2" borderId="1" xfId="0" applyNumberFormat="1" applyFont="1" applyFill="1" applyBorder="1"/>
    <xf numFmtId="165" fontId="10" fillId="2" borderId="46" xfId="0" applyNumberFormat="1" applyFont="1" applyFill="1" applyBorder="1"/>
    <xf numFmtId="165" fontId="10" fillId="2" borderId="1" xfId="0" applyNumberFormat="1" applyFont="1" applyFill="1" applyBorder="1" applyAlignment="1">
      <alignment horizontal="center" vertical="center"/>
    </xf>
    <xf numFmtId="165" fontId="10" fillId="2" borderId="1" xfId="0" applyNumberFormat="1" applyFont="1" applyFill="1" applyBorder="1" applyAlignment="1">
      <alignment horizontal="center"/>
    </xf>
    <xf numFmtId="2" fontId="10" fillId="12" borderId="1" xfId="0" applyNumberFormat="1" applyFont="1" applyFill="1" applyBorder="1"/>
    <xf numFmtId="9" fontId="10" fillId="2" borderId="46" xfId="0" applyNumberFormat="1" applyFont="1" applyFill="1" applyBorder="1"/>
    <xf numFmtId="9" fontId="10" fillId="2" borderId="45" xfId="0" applyNumberFormat="1" applyFont="1" applyFill="1" applyBorder="1"/>
    <xf numFmtId="10" fontId="10" fillId="2" borderId="1" xfId="0" applyNumberFormat="1" applyFont="1" applyFill="1" applyBorder="1" applyAlignment="1">
      <alignment horizontal="center"/>
    </xf>
    <xf numFmtId="10" fontId="10" fillId="2" borderId="1" xfId="0" applyNumberFormat="1" applyFont="1" applyFill="1" applyBorder="1" applyAlignment="1">
      <alignment horizontal="center" vertical="center"/>
    </xf>
    <xf numFmtId="10" fontId="10" fillId="2" borderId="46" xfId="0" applyNumberFormat="1" applyFont="1" applyFill="1" applyBorder="1" applyAlignment="1">
      <alignment horizontal="center"/>
    </xf>
    <xf numFmtId="9" fontId="42" fillId="0" borderId="0" xfId="0" applyNumberFormat="1" applyFont="1"/>
    <xf numFmtId="9" fontId="33" fillId="2" borderId="45" xfId="0" applyNumberFormat="1" applyFont="1" applyFill="1" applyBorder="1"/>
    <xf numFmtId="9" fontId="33" fillId="2" borderId="1" xfId="0" applyNumberFormat="1" applyFont="1" applyFill="1" applyBorder="1"/>
    <xf numFmtId="0" fontId="11" fillId="10" borderId="52" xfId="0" applyFont="1" applyFill="1" applyBorder="1"/>
    <xf numFmtId="2" fontId="10" fillId="2" borderId="46" xfId="0" applyNumberFormat="1" applyFont="1" applyFill="1" applyBorder="1" applyAlignment="1">
      <alignment horizontal="center" vertical="center"/>
    </xf>
    <xf numFmtId="0" fontId="15" fillId="12" borderId="6" xfId="0" applyFont="1" applyFill="1" applyBorder="1" applyAlignment="1">
      <alignment horizontal="left" vertical="center"/>
    </xf>
    <xf numFmtId="2" fontId="10" fillId="2" borderId="45" xfId="0" applyNumberFormat="1" applyFont="1" applyFill="1" applyBorder="1" applyAlignment="1">
      <alignment horizontal="center" vertical="center"/>
    </xf>
    <xf numFmtId="165" fontId="10" fillId="2" borderId="1" xfId="0" applyNumberFormat="1" applyFont="1" applyFill="1" applyBorder="1" applyAlignment="1">
      <alignment horizontal="left"/>
    </xf>
    <xf numFmtId="9" fontId="17" fillId="0" borderId="0" xfId="0" applyNumberFormat="1" applyFont="1"/>
    <xf numFmtId="9" fontId="10" fillId="2" borderId="1" xfId="0" applyNumberFormat="1" applyFont="1" applyFill="1" applyBorder="1" applyAlignment="1">
      <alignment horizontal="left"/>
    </xf>
    <xf numFmtId="9" fontId="10" fillId="0" borderId="0" xfId="0" applyNumberFormat="1" applyFont="1" applyAlignment="1">
      <alignment horizontal="left"/>
    </xf>
    <xf numFmtId="184" fontId="10" fillId="0" borderId="0" xfId="0" applyNumberFormat="1" applyFont="1" applyAlignment="1">
      <alignment horizontal="center"/>
    </xf>
    <xf numFmtId="0" fontId="15" fillId="13" borderId="6" xfId="0" applyFont="1" applyFill="1" applyBorder="1" applyAlignment="1">
      <alignment horizontal="right" vertical="center"/>
    </xf>
    <xf numFmtId="0" fontId="15" fillId="13" borderId="6" xfId="0" applyFont="1" applyFill="1" applyBorder="1" applyAlignment="1">
      <alignment horizontal="left" vertical="center"/>
    </xf>
    <xf numFmtId="2" fontId="10" fillId="0" borderId="0" xfId="0" applyNumberFormat="1" applyFont="1" applyAlignment="1">
      <alignment horizontal="right" vertical="center"/>
    </xf>
    <xf numFmtId="0" fontId="10" fillId="2" borderId="65" xfId="0" applyFont="1" applyFill="1" applyBorder="1"/>
    <xf numFmtId="0" fontId="10" fillId="2" borderId="66" xfId="0" applyFont="1" applyFill="1" applyBorder="1"/>
    <xf numFmtId="0" fontId="10" fillId="2" borderId="67" xfId="0" applyFont="1" applyFill="1" applyBorder="1"/>
    <xf numFmtId="0" fontId="10" fillId="2" borderId="68" xfId="0" applyFont="1" applyFill="1" applyBorder="1"/>
    <xf numFmtId="0" fontId="10" fillId="2" borderId="69" xfId="0" applyFont="1" applyFill="1" applyBorder="1"/>
    <xf numFmtId="0" fontId="11" fillId="2" borderId="52" xfId="0" applyFont="1" applyFill="1" applyBorder="1" applyAlignment="1">
      <alignment horizont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/>
    <xf numFmtId="0" fontId="11" fillId="2" borderId="20" xfId="0" applyFont="1" applyFill="1" applyBorder="1"/>
    <xf numFmtId="0" fontId="18" fillId="2" borderId="51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horizontal="center" vertical="center" wrapText="1"/>
    </xf>
    <xf numFmtId="0" fontId="18" fillId="2" borderId="52" xfId="0" applyFont="1" applyFill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 wrapText="1"/>
    </xf>
    <xf numFmtId="0" fontId="11" fillId="2" borderId="43" xfId="0" applyFont="1" applyFill="1" applyBorder="1"/>
    <xf numFmtId="0" fontId="33" fillId="2" borderId="43" xfId="0" applyFont="1" applyFill="1" applyBorder="1"/>
    <xf numFmtId="0" fontId="10" fillId="2" borderId="44" xfId="0" applyFont="1" applyFill="1" applyBorder="1"/>
    <xf numFmtId="0" fontId="10" fillId="2" borderId="20" xfId="0" applyFont="1" applyFill="1" applyBorder="1"/>
    <xf numFmtId="0" fontId="10" fillId="2" borderId="51" xfId="0" applyFont="1" applyFill="1" applyBorder="1"/>
    <xf numFmtId="0" fontId="10" fillId="9" borderId="51" xfId="0" applyFont="1" applyFill="1" applyBorder="1" applyAlignment="1">
      <alignment horizontal="center" vertical="center"/>
    </xf>
    <xf numFmtId="0" fontId="10" fillId="9" borderId="6" xfId="0" applyFont="1" applyFill="1" applyBorder="1" applyAlignment="1">
      <alignment horizontal="center" vertical="center"/>
    </xf>
    <xf numFmtId="0" fontId="10" fillId="9" borderId="52" xfId="0" applyFont="1" applyFill="1" applyBorder="1" applyAlignment="1">
      <alignment horizontal="center" vertical="center"/>
    </xf>
    <xf numFmtId="0" fontId="10" fillId="9" borderId="10" xfId="0" applyFont="1" applyFill="1" applyBorder="1" applyAlignment="1">
      <alignment horizontal="center" vertical="center"/>
    </xf>
    <xf numFmtId="0" fontId="10" fillId="2" borderId="45" xfId="0" applyFont="1" applyFill="1" applyBorder="1" applyAlignment="1">
      <alignment horizontal="left"/>
    </xf>
    <xf numFmtId="0" fontId="10" fillId="2" borderId="59" xfId="0" applyFont="1" applyFill="1" applyBorder="1"/>
    <xf numFmtId="0" fontId="10" fillId="2" borderId="59" xfId="0" applyFont="1" applyFill="1" applyBorder="1" applyAlignment="1">
      <alignment horizontal="left"/>
    </xf>
    <xf numFmtId="0" fontId="10" fillId="2" borderId="45" xfId="0" applyFont="1" applyFill="1" applyBorder="1" applyAlignment="1">
      <alignment horizontal="center"/>
    </xf>
    <xf numFmtId="0" fontId="10" fillId="2" borderId="59" xfId="0" applyFont="1" applyFill="1" applyBorder="1" applyAlignment="1">
      <alignment horizontal="center"/>
    </xf>
    <xf numFmtId="0" fontId="10" fillId="2" borderId="22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/>
    </xf>
    <xf numFmtId="0" fontId="10" fillId="2" borderId="10" xfId="0" applyFont="1" applyFill="1" applyBorder="1"/>
    <xf numFmtId="169" fontId="10" fillId="2" borderId="50" xfId="0" applyNumberFormat="1" applyFont="1" applyFill="1" applyBorder="1"/>
    <xf numFmtId="0" fontId="10" fillId="2" borderId="22" xfId="0" applyFont="1" applyFill="1" applyBorder="1"/>
    <xf numFmtId="0" fontId="10" fillId="2" borderId="10" xfId="0" applyFont="1" applyFill="1" applyBorder="1" applyAlignment="1">
      <alignment horizontal="left"/>
    </xf>
    <xf numFmtId="0" fontId="10" fillId="9" borderId="51" xfId="0" applyFont="1" applyFill="1" applyBorder="1" applyAlignment="1">
      <alignment horizontal="center"/>
    </xf>
    <xf numFmtId="0" fontId="10" fillId="2" borderId="52" xfId="0" applyFont="1" applyFill="1" applyBorder="1" applyAlignment="1">
      <alignment horizontal="center"/>
    </xf>
    <xf numFmtId="0" fontId="10" fillId="2" borderId="22" xfId="0" applyFont="1" applyFill="1" applyBorder="1" applyAlignment="1">
      <alignment horizontal="center"/>
    </xf>
    <xf numFmtId="0" fontId="11" fillId="2" borderId="51" xfId="0" applyFont="1" applyFill="1" applyBorder="1" applyAlignment="1">
      <alignment horizontal="center"/>
    </xf>
    <xf numFmtId="0" fontId="11" fillId="2" borderId="52" xfId="0" applyFont="1" applyFill="1" applyBorder="1"/>
    <xf numFmtId="0" fontId="11" fillId="2" borderId="10" xfId="0" applyFont="1" applyFill="1" applyBorder="1"/>
    <xf numFmtId="0" fontId="11" fillId="2" borderId="45" xfId="0" applyFont="1" applyFill="1" applyBorder="1"/>
    <xf numFmtId="0" fontId="11" fillId="2" borderId="59" xfId="0" applyFont="1" applyFill="1" applyBorder="1"/>
    <xf numFmtId="0" fontId="11" fillId="2" borderId="10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 vertical="center"/>
    </xf>
    <xf numFmtId="0" fontId="10" fillId="2" borderId="52" xfId="0" applyFont="1" applyFill="1" applyBorder="1" applyAlignment="1">
      <alignment horizontal="center" vertical="center"/>
    </xf>
    <xf numFmtId="0" fontId="10" fillId="2" borderId="59" xfId="0" applyFont="1" applyFill="1" applyBorder="1" applyAlignment="1">
      <alignment horizontal="center" vertical="center"/>
    </xf>
    <xf numFmtId="0" fontId="45" fillId="2" borderId="43" xfId="0" applyFont="1" applyFill="1" applyBorder="1"/>
    <xf numFmtId="0" fontId="10" fillId="2" borderId="22" xfId="0" applyFont="1" applyFill="1" applyBorder="1" applyAlignment="1">
      <alignment horizontal="center" vertical="center"/>
    </xf>
    <xf numFmtId="2" fontId="10" fillId="2" borderId="52" xfId="0" applyNumberFormat="1" applyFont="1" applyFill="1" applyBorder="1"/>
    <xf numFmtId="0" fontId="10" fillId="2" borderId="48" xfId="0" applyFont="1" applyFill="1" applyBorder="1" applyAlignment="1">
      <alignment horizontal="center"/>
    </xf>
    <xf numFmtId="0" fontId="10" fillId="5" borderId="22" xfId="0" applyFont="1" applyFill="1" applyBorder="1" applyAlignment="1">
      <alignment horizontal="center"/>
    </xf>
    <xf numFmtId="0" fontId="10" fillId="2" borderId="70" xfId="0" applyFont="1" applyFill="1" applyBorder="1"/>
    <xf numFmtId="0" fontId="10" fillId="2" borderId="71" xfId="0" applyFont="1" applyFill="1" applyBorder="1"/>
    <xf numFmtId="0" fontId="10" fillId="2" borderId="72" xfId="0" applyFont="1" applyFill="1" applyBorder="1"/>
    <xf numFmtId="0" fontId="10" fillId="2" borderId="43" xfId="0" applyFont="1" applyFill="1" applyBorder="1"/>
    <xf numFmtId="0" fontId="10" fillId="2" borderId="44" xfId="0" applyFont="1" applyFill="1" applyBorder="1" applyAlignment="1">
      <alignment horizontal="center"/>
    </xf>
    <xf numFmtId="0" fontId="10" fillId="2" borderId="46" xfId="0" applyFont="1" applyFill="1" applyBorder="1" applyAlignment="1">
      <alignment horizontal="center"/>
    </xf>
    <xf numFmtId="0" fontId="11" fillId="0" borderId="18" xfId="0" applyFont="1" applyBorder="1"/>
    <xf numFmtId="0" fontId="11" fillId="0" borderId="13" xfId="0" applyFont="1" applyBorder="1"/>
    <xf numFmtId="0" fontId="10" fillId="2" borderId="53" xfId="0" applyFont="1" applyFill="1" applyBorder="1"/>
    <xf numFmtId="0" fontId="10" fillId="2" borderId="5" xfId="0" applyFont="1" applyFill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10" fillId="0" borderId="15" xfId="0" applyNumberFormat="1" applyFont="1" applyBorder="1" applyAlignment="1">
      <alignment horizontal="center"/>
    </xf>
    <xf numFmtId="0" fontId="10" fillId="2" borderId="53" xfId="0" applyFont="1" applyFill="1" applyBorder="1" applyAlignment="1">
      <alignment horizontal="center"/>
    </xf>
    <xf numFmtId="1" fontId="10" fillId="0" borderId="18" xfId="0" applyNumberFormat="1" applyFont="1" applyBorder="1" applyAlignment="1">
      <alignment horizontal="center"/>
    </xf>
    <xf numFmtId="0" fontId="11" fillId="2" borderId="1" xfId="0" applyFont="1" applyFill="1" applyBorder="1" applyAlignment="1">
      <alignment horizontal="left"/>
    </xf>
    <xf numFmtId="9" fontId="10" fillId="0" borderId="15" xfId="0" applyNumberFormat="1" applyFont="1" applyBorder="1"/>
    <xf numFmtId="9" fontId="10" fillId="0" borderId="18" xfId="0" applyNumberFormat="1" applyFont="1" applyBorder="1"/>
    <xf numFmtId="0" fontId="10" fillId="0" borderId="23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9" fontId="10" fillId="0" borderId="12" xfId="0" applyNumberFormat="1" applyFont="1" applyBorder="1" applyAlignment="1">
      <alignment horizontal="center"/>
    </xf>
    <xf numFmtId="9" fontId="10" fillId="0" borderId="18" xfId="0" applyNumberFormat="1" applyFont="1" applyBorder="1" applyAlignment="1">
      <alignment horizontal="center"/>
    </xf>
    <xf numFmtId="9" fontId="10" fillId="0" borderId="19" xfId="0" applyNumberFormat="1" applyFont="1" applyBorder="1" applyAlignment="1">
      <alignment horizontal="center"/>
    </xf>
    <xf numFmtId="0" fontId="10" fillId="0" borderId="13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9" fontId="10" fillId="0" borderId="21" xfId="0" applyNumberFormat="1" applyFont="1" applyBorder="1"/>
    <xf numFmtId="9" fontId="10" fillId="0" borderId="23" xfId="0" applyNumberFormat="1" applyFont="1" applyBorder="1"/>
    <xf numFmtId="9" fontId="10" fillId="0" borderId="19" xfId="0" applyNumberFormat="1" applyFont="1" applyBorder="1"/>
    <xf numFmtId="0" fontId="10" fillId="0" borderId="9" xfId="0" applyFont="1" applyBorder="1"/>
    <xf numFmtId="0" fontId="9" fillId="0" borderId="0" xfId="0" applyFont="1" applyAlignment="1">
      <alignment horizontal="center"/>
    </xf>
    <xf numFmtId="0" fontId="8" fillId="0" borderId="0" xfId="0" applyFont="1"/>
    <xf numFmtId="184" fontId="0" fillId="0" borderId="0" xfId="0" applyNumberFormat="1"/>
    <xf numFmtId="0" fontId="17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6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0" fillId="10" borderId="1" xfId="1" applyNumberFormat="1" applyFont="1" applyFill="1" applyBorder="1"/>
    <xf numFmtId="0" fontId="61" fillId="0" borderId="0" xfId="0" applyFont="1"/>
    <xf numFmtId="0" fontId="59" fillId="0" borderId="0" xfId="0" applyFont="1"/>
    <xf numFmtId="174" fontId="33" fillId="0" borderId="0" xfId="0" applyNumberFormat="1" applyFont="1"/>
    <xf numFmtId="9" fontId="33" fillId="0" borderId="0" xfId="0" applyNumberFormat="1" applyFont="1"/>
    <xf numFmtId="10" fontId="0" fillId="0" borderId="0" xfId="0" applyNumberFormat="1"/>
    <xf numFmtId="0" fontId="5" fillId="0" borderId="0" xfId="0" applyFont="1"/>
    <xf numFmtId="186" fontId="0" fillId="0" borderId="0" xfId="1" applyNumberFormat="1" applyFont="1"/>
    <xf numFmtId="186" fontId="10" fillId="0" borderId="12" xfId="1" applyNumberFormat="1" applyFont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62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0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5" fillId="0" borderId="73" xfId="0" applyFont="1" applyBorder="1" applyAlignment="1">
      <alignment horizontal="center"/>
    </xf>
    <xf numFmtId="0" fontId="5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3" fillId="0" borderId="0" xfId="0" applyFont="1"/>
    <xf numFmtId="9" fontId="0" fillId="0" borderId="0" xfId="0" applyNumberFormat="1"/>
    <xf numFmtId="0" fontId="10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4" fillId="0" borderId="0" xfId="0" applyFont="1"/>
    <xf numFmtId="0" fontId="64" fillId="0" borderId="0" xfId="0" applyFont="1" applyAlignment="1">
      <alignment horizontal="center"/>
    </xf>
    <xf numFmtId="169" fontId="64" fillId="0" borderId="0" xfId="0" applyNumberFormat="1" applyFont="1" applyAlignment="1">
      <alignment horizontal="center"/>
    </xf>
    <xf numFmtId="1" fontId="64" fillId="0" borderId="0" xfId="0" applyNumberFormat="1" applyFont="1" applyAlignment="1">
      <alignment horizontal="center"/>
    </xf>
    <xf numFmtId="9" fontId="0" fillId="0" borderId="0" xfId="2" applyFont="1"/>
    <xf numFmtId="186" fontId="64" fillId="0" borderId="0" xfId="1" applyNumberFormat="1" applyFont="1" applyAlignment="1">
      <alignment horizontal="center"/>
    </xf>
    <xf numFmtId="186" fontId="64" fillId="0" borderId="0" xfId="0" applyNumberFormat="1" applyFont="1" applyAlignment="1">
      <alignment horizontal="center"/>
    </xf>
    <xf numFmtId="0" fontId="65" fillId="0" borderId="0" xfId="0" applyFont="1" applyAlignment="1">
      <alignment horizontal="center"/>
    </xf>
    <xf numFmtId="186" fontId="65" fillId="0" borderId="0" xfId="1" applyNumberFormat="1" applyFont="1" applyAlignment="1">
      <alignment horizontal="center"/>
    </xf>
    <xf numFmtId="167" fontId="60" fillId="0" borderId="0" xfId="0" applyNumberFormat="1" applyFont="1"/>
    <xf numFmtId="2" fontId="64" fillId="0" borderId="0" xfId="0" applyNumberFormat="1" applyFont="1"/>
    <xf numFmtId="0" fontId="66" fillId="0" borderId="0" xfId="0" applyFont="1"/>
    <xf numFmtId="0" fontId="67" fillId="0" borderId="0" xfId="0" applyFont="1"/>
    <xf numFmtId="0" fontId="5" fillId="0" borderId="0" xfId="0" applyFont="1" applyAlignment="1">
      <alignment vertical="center"/>
    </xf>
    <xf numFmtId="167" fontId="18" fillId="0" borderId="17" xfId="0" applyNumberFormat="1" applyFont="1" applyBorder="1"/>
    <xf numFmtId="0" fontId="5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4" fillId="0" borderId="0" xfId="0" applyFont="1"/>
    <xf numFmtId="43" fontId="0" fillId="0" borderId="0" xfId="1" applyFont="1"/>
    <xf numFmtId="1" fontId="0" fillId="0" borderId="0" xfId="0" applyNumberFormat="1"/>
    <xf numFmtId="1" fontId="69" fillId="20" borderId="0" xfId="0" applyNumberFormat="1" applyFont="1" applyFill="1"/>
    <xf numFmtId="2" fontId="4" fillId="0" borderId="0" xfId="0" applyNumberFormat="1" applyFont="1"/>
    <xf numFmtId="0" fontId="0" fillId="0" borderId="0" xfId="0" applyAlignment="1">
      <alignment horizontal="left"/>
    </xf>
    <xf numFmtId="0" fontId="4" fillId="0" borderId="0" xfId="0" applyFont="1" applyAlignment="1">
      <alignment horizontal="center" vertical="center"/>
    </xf>
    <xf numFmtId="184" fontId="0" fillId="0" borderId="76" xfId="0" applyNumberFormat="1" applyBorder="1"/>
    <xf numFmtId="0" fontId="60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7" fillId="0" borderId="0" xfId="2" applyFont="1"/>
    <xf numFmtId="0" fontId="0" fillId="0" borderId="0" xfId="0" applyAlignment="1">
      <alignment horizontal="right"/>
    </xf>
    <xf numFmtId="2" fontId="10" fillId="0" borderId="0" xfId="0" applyNumberFormat="1" applyFont="1" applyAlignment="1">
      <alignment horizontal="left"/>
    </xf>
    <xf numFmtId="43" fontId="17" fillId="0" borderId="0" xfId="1" applyFont="1"/>
    <xf numFmtId="0" fontId="71" fillId="0" borderId="0" xfId="0" applyFont="1"/>
    <xf numFmtId="0" fontId="10" fillId="22" borderId="1" xfId="0" applyFont="1" applyFill="1" applyBorder="1"/>
    <xf numFmtId="0" fontId="0" fillId="23" borderId="0" xfId="0" applyFill="1"/>
    <xf numFmtId="0" fontId="10" fillId="24" borderId="1" xfId="0" applyFont="1" applyFill="1" applyBorder="1"/>
    <xf numFmtId="0" fontId="10" fillId="25" borderId="1" xfId="0" applyFont="1" applyFill="1" applyBorder="1"/>
    <xf numFmtId="0" fontId="10" fillId="2" borderId="64" xfId="0" applyFont="1" applyFill="1" applyBorder="1"/>
    <xf numFmtId="43" fontId="0" fillId="23" borderId="0" xfId="0" applyNumberFormat="1" applyFill="1"/>
    <xf numFmtId="165" fontId="10" fillId="0" borderId="0" xfId="2" applyNumberFormat="1" applyFont="1"/>
    <xf numFmtId="10" fontId="10" fillId="21" borderId="0" xfId="0" applyNumberFormat="1" applyFont="1" applyFill="1"/>
    <xf numFmtId="0" fontId="10" fillId="21" borderId="0" xfId="0" applyFont="1" applyFill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 applyAlignment="1">
      <alignment horizontal="center"/>
    </xf>
    <xf numFmtId="9" fontId="74" fillId="0" borderId="0" xfId="0" applyNumberFormat="1" applyFont="1"/>
    <xf numFmtId="9" fontId="74" fillId="0" borderId="0" xfId="2" applyFont="1"/>
    <xf numFmtId="169" fontId="75" fillId="0" borderId="0" xfId="0" applyNumberFormat="1" applyFont="1" applyAlignment="1">
      <alignment horizontal="center"/>
    </xf>
    <xf numFmtId="1" fontId="75" fillId="0" borderId="0" xfId="0" applyNumberFormat="1" applyFont="1" applyAlignment="1">
      <alignment horizontal="center"/>
    </xf>
    <xf numFmtId="186" fontId="75" fillId="0" borderId="0" xfId="1" applyNumberFormat="1" applyFont="1" applyAlignment="1">
      <alignment horizontal="center"/>
    </xf>
    <xf numFmtId="9" fontId="74" fillId="0" borderId="76" xfId="0" applyNumberFormat="1" applyFont="1" applyBorder="1"/>
    <xf numFmtId="186" fontId="75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86" fontId="76" fillId="0" borderId="0" xfId="1" applyNumberFormat="1" applyFont="1" applyAlignment="1">
      <alignment horizontal="center"/>
    </xf>
    <xf numFmtId="0" fontId="77" fillId="0" borderId="0" xfId="0" applyFont="1" applyAlignment="1">
      <alignment horizontal="right"/>
    </xf>
    <xf numFmtId="2" fontId="2" fillId="0" borderId="0" xfId="0" applyNumberFormat="1" applyFont="1"/>
    <xf numFmtId="169" fontId="2" fillId="0" borderId="0" xfId="0" applyNumberFormat="1" applyFont="1"/>
    <xf numFmtId="169" fontId="4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11" fillId="2" borderId="2" xfId="0" applyFont="1" applyFill="1" applyBorder="1" applyAlignment="1">
      <alignment horizontal="center"/>
    </xf>
    <xf numFmtId="0" fontId="12" fillId="0" borderId="3" xfId="0" applyFont="1" applyBorder="1"/>
    <xf numFmtId="0" fontId="12" fillId="0" borderId="4" xfId="0" applyFont="1" applyBorder="1"/>
    <xf numFmtId="0" fontId="11" fillId="0" borderId="0" xfId="0" applyFont="1" applyAlignment="1">
      <alignment horizontal="center"/>
    </xf>
    <xf numFmtId="0" fontId="0" fillId="0" borderId="0" xfId="0"/>
    <xf numFmtId="0" fontId="27" fillId="7" borderId="29" xfId="0" applyFont="1" applyFill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26" fillId="6" borderId="29" xfId="0" applyFont="1" applyFill="1" applyBorder="1" applyAlignment="1">
      <alignment horizontal="center" vertical="center"/>
    </xf>
    <xf numFmtId="0" fontId="26" fillId="6" borderId="35" xfId="0" applyFont="1" applyFill="1" applyBorder="1" applyAlignment="1">
      <alignment horizontal="center" vertical="center"/>
    </xf>
    <xf numFmtId="0" fontId="12" fillId="0" borderId="36" xfId="0" applyFont="1" applyBorder="1"/>
    <xf numFmtId="0" fontId="12" fillId="0" borderId="37" xfId="0" applyFont="1" applyBorder="1"/>
    <xf numFmtId="0" fontId="26" fillId="6" borderId="38" xfId="0" applyFont="1" applyFill="1" applyBorder="1" applyAlignment="1">
      <alignment horizontal="center" vertical="center"/>
    </xf>
    <xf numFmtId="0" fontId="12" fillId="0" borderId="39" xfId="0" applyFont="1" applyBorder="1"/>
    <xf numFmtId="0" fontId="12" fillId="0" borderId="40" xfId="0" applyFont="1" applyBorder="1"/>
    <xf numFmtId="0" fontId="11" fillId="0" borderId="8" xfId="0" applyFont="1" applyBorder="1" applyAlignment="1">
      <alignment horizontal="center"/>
    </xf>
    <xf numFmtId="0" fontId="12" fillId="0" borderId="9" xfId="0" applyFont="1" applyBorder="1"/>
    <xf numFmtId="0" fontId="18" fillId="0" borderId="16" xfId="0" applyFont="1" applyBorder="1" applyAlignment="1">
      <alignment horizontal="left" vertical="center"/>
    </xf>
    <xf numFmtId="0" fontId="12" fillId="0" borderId="12" xfId="0" applyFont="1" applyBorder="1"/>
    <xf numFmtId="0" fontId="12" fillId="0" borderId="19" xfId="0" applyFont="1" applyBorder="1"/>
    <xf numFmtId="0" fontId="11" fillId="0" borderId="23" xfId="0" applyFont="1" applyBorder="1" applyAlignment="1">
      <alignment horizontal="center"/>
    </xf>
    <xf numFmtId="0" fontId="12" fillId="0" borderId="18" xfId="0" applyFont="1" applyBorder="1"/>
    <xf numFmtId="0" fontId="19" fillId="0" borderId="0" xfId="0" applyFont="1" applyAlignment="1">
      <alignment horizontal="center"/>
    </xf>
    <xf numFmtId="2" fontId="10" fillId="0" borderId="24" xfId="0" applyNumberFormat="1" applyFont="1" applyBorder="1" applyAlignment="1">
      <alignment horizontal="center" vertical="center"/>
    </xf>
    <xf numFmtId="0" fontId="12" fillId="0" borderId="21" xfId="0" applyFont="1" applyBorder="1"/>
    <xf numFmtId="0" fontId="12" fillId="0" borderId="23" xfId="0" applyFont="1" applyBorder="1"/>
    <xf numFmtId="171" fontId="10" fillId="0" borderId="16" xfId="0" applyNumberFormat="1" applyFont="1" applyBorder="1" applyAlignment="1">
      <alignment horizontal="center" vertical="center"/>
    </xf>
    <xf numFmtId="2" fontId="18" fillId="0" borderId="2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31" fillId="0" borderId="0" xfId="0" applyFont="1" applyAlignment="1">
      <alignment horizontal="center"/>
    </xf>
    <xf numFmtId="0" fontId="38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5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2" fillId="0" borderId="13" xfId="0" applyFont="1" applyBorder="1"/>
    <xf numFmtId="0" fontId="11" fillId="2" borderId="8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9" fontId="10" fillId="2" borderId="47" xfId="0" applyNumberFormat="1" applyFont="1" applyFill="1" applyBorder="1" applyAlignment="1">
      <alignment horizontal="center" vertical="center"/>
    </xf>
    <xf numFmtId="0" fontId="12" fillId="0" borderId="49" xfId="0" applyFont="1" applyBorder="1"/>
    <xf numFmtId="9" fontId="10" fillId="0" borderId="0" xfId="0" applyNumberFormat="1" applyFont="1" applyAlignment="1">
      <alignment horizontal="center"/>
    </xf>
    <xf numFmtId="0" fontId="11" fillId="2" borderId="54" xfId="0" applyFont="1" applyFill="1" applyBorder="1" applyAlignment="1">
      <alignment horizontal="center" vertical="center"/>
    </xf>
    <xf numFmtId="0" fontId="12" fillId="0" borderId="55" xfId="0" applyFont="1" applyBorder="1"/>
    <xf numFmtId="0" fontId="12" fillId="0" borderId="56" xfId="0" applyFont="1" applyBorder="1"/>
    <xf numFmtId="0" fontId="11" fillId="2" borderId="57" xfId="0" applyFont="1" applyFill="1" applyBorder="1" applyAlignment="1">
      <alignment horizontal="center" vertical="center"/>
    </xf>
    <xf numFmtId="0" fontId="12" fillId="0" borderId="58" xfId="0" applyFont="1" applyBorder="1"/>
    <xf numFmtId="0" fontId="44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20" fillId="18" borderId="2" xfId="0" applyFont="1" applyFill="1" applyBorder="1" applyAlignment="1">
      <alignment horizontal="center"/>
    </xf>
    <xf numFmtId="0" fontId="20" fillId="5" borderId="2" xfId="0" applyFont="1" applyFill="1" applyBorder="1" applyAlignment="1">
      <alignment horizontal="center"/>
    </xf>
    <xf numFmtId="0" fontId="48" fillId="10" borderId="60" xfId="0" applyFont="1" applyFill="1" applyBorder="1" applyAlignment="1">
      <alignment horizontal="center"/>
    </xf>
    <xf numFmtId="0" fontId="12" fillId="0" borderId="61" xfId="0" applyFont="1" applyBorder="1"/>
    <xf numFmtId="0" fontId="12" fillId="0" borderId="62" xfId="0" applyFont="1" applyBorder="1"/>
    <xf numFmtId="0" fontId="48" fillId="10" borderId="60" xfId="0" applyFont="1" applyFill="1" applyBorder="1" applyAlignment="1">
      <alignment horizontal="center" wrapText="1"/>
    </xf>
    <xf numFmtId="0" fontId="11" fillId="5" borderId="2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/>
    </xf>
    <xf numFmtId="0" fontId="20" fillId="18" borderId="8" xfId="0" applyFont="1" applyFill="1" applyBorder="1" applyAlignment="1">
      <alignment horizontal="center"/>
    </xf>
    <xf numFmtId="0" fontId="11" fillId="16" borderId="2" xfId="0" applyFont="1" applyFill="1" applyBorder="1" applyAlignment="1">
      <alignment horizontal="center"/>
    </xf>
    <xf numFmtId="0" fontId="20" fillId="18" borderId="8" xfId="0" applyFont="1" applyFill="1" applyBorder="1" applyAlignment="1">
      <alignment horizontal="center" vertical="center"/>
    </xf>
    <xf numFmtId="0" fontId="36" fillId="2" borderId="2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50" fillId="0" borderId="63" xfId="0" applyFont="1" applyBorder="1" applyAlignment="1">
      <alignment horizontal="center"/>
    </xf>
    <xf numFmtId="0" fontId="12" fillId="0" borderId="63" xfId="0" applyFont="1" applyBorder="1"/>
    <xf numFmtId="0" fontId="12" fillId="0" borderId="64" xfId="0" applyFont="1" applyBorder="1"/>
    <xf numFmtId="0" fontId="37" fillId="2" borderId="2" xfId="0" applyFont="1" applyFill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0" fillId="0" borderId="18" xfId="0" applyFont="1" applyBorder="1" applyAlignment="1">
      <alignment horizontal="center"/>
    </xf>
  </cellXfs>
  <cellStyles count="3">
    <cellStyle name="Millares" xfId="1" builtinId="3"/>
    <cellStyle name="Normal" xfId="0" builtinId="0"/>
    <cellStyle name="Porcentaje" xfId="2" builtinId="5"/>
  </cellStyles>
  <dxfs count="94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EXP_IMP'!$J$133:$Q$133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EXP_IMP'!$J$134:$Q$134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EXP_IMP'!$J$135:$Q$135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EXP_IMP'!$J$136:$Q$136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EXP_IMP'!$J$137:$Q$137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EXP_IMP'!$J$138:$Q$138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EXP_IMP'!$J$139:$Q$139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EXP_IMP'!$J$141:$Q$141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EXP_IMP'!$J$142:$Q$142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EXP_IMP'!$J$132:$Q$132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146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70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85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146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146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146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opLeftCell="A7" zoomScale="70" zoomScaleNormal="70" workbookViewId="0">
      <selection activeCell="D21" sqref="D21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04" t="s">
        <v>36</v>
      </c>
      <c r="Y14" s="905"/>
      <c r="Z14" s="905"/>
      <c r="AA14" s="905"/>
      <c r="AB14" s="905"/>
      <c r="AC14" s="905"/>
      <c r="AD14" s="905"/>
      <c r="AE14" s="905"/>
      <c r="AF14" s="906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04" t="s">
        <v>37</v>
      </c>
      <c r="C15" s="905"/>
      <c r="D15" s="905"/>
      <c r="E15" s="905"/>
      <c r="F15" s="905"/>
      <c r="G15" s="905"/>
      <c r="H15" s="905"/>
      <c r="I15" s="905"/>
      <c r="J15" s="906"/>
      <c r="K15" s="1"/>
      <c r="L15" s="1"/>
      <c r="M15" s="904" t="s">
        <v>38</v>
      </c>
      <c r="N15" s="905"/>
      <c r="O15" s="905"/>
      <c r="P15" s="905"/>
      <c r="Q15" s="905"/>
      <c r="R15" s="905"/>
      <c r="S15" s="905"/>
      <c r="T15" s="905"/>
      <c r="U15" s="906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04" t="s">
        <v>39</v>
      </c>
      <c r="AJ15" s="905"/>
      <c r="AK15" s="905"/>
      <c r="AL15" s="905"/>
      <c r="AM15" s="905"/>
      <c r="AN15" s="905"/>
      <c r="AO15" s="905"/>
      <c r="AP15" s="905"/>
      <c r="AQ15" s="906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">
        <v>205</v>
      </c>
      <c r="E114" s="1" t="s">
        <v>206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">
        <v>207</v>
      </c>
      <c r="E115" s="1" t="s">
        <v>208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">
        <v>209</v>
      </c>
      <c r="E116" s="1" t="s">
        <v>210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">
        <v>211</v>
      </c>
      <c r="E117" s="1" t="s">
        <v>212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">
        <v>213</v>
      </c>
      <c r="E118" s="1" t="s">
        <v>214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">
        <v>215</v>
      </c>
      <c r="E119" s="1" t="s">
        <v>216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">
        <v>217</v>
      </c>
      <c r="E120" s="1" t="s">
        <v>218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219</v>
      </c>
      <c r="E121" s="1" t="s">
        <v>220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">
        <v>221</v>
      </c>
      <c r="E122" s="1" t="s">
        <v>222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223</v>
      </c>
      <c r="E123" s="1" t="s">
        <v>224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225</v>
      </c>
      <c r="E124" s="1" t="s">
        <v>226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227</v>
      </c>
      <c r="E125" s="1" t="s">
        <v>228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229</v>
      </c>
      <c r="E126" s="1" t="s">
        <v>230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231</v>
      </c>
      <c r="E127" s="1" t="s">
        <v>232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tr">
        <f t="array" ref="D128:D134">+"FUEL-DSL-"&amp;B3:B9</f>
        <v>FUEL-DSL-CAM1</v>
      </c>
      <c r="E128" s="1" t="s">
        <v>233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tr">
        <v>FUEL-DSL-CAM2</v>
      </c>
      <c r="E129" s="1" t="s">
        <v>234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tr">
        <v>FUEL-DSL-CAM3</v>
      </c>
      <c r="E130" s="1" t="s">
        <v>235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" t="str">
        <v>FUEL-DSL-CAM4</v>
      </c>
      <c r="E131" s="1" t="s">
        <v>236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" t="str">
        <v>FUEL-DSL-CAM5</v>
      </c>
      <c r="E132" s="1" t="s">
        <v>237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" t="str">
        <v>FUEL-DSL-CAM6</v>
      </c>
      <c r="E133" s="1" t="s">
        <v>238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" t="str">
        <v>FUEL-DSL-CAM7</v>
      </c>
      <c r="E134" s="1" t="s">
        <v>239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" t="s">
        <v>240</v>
      </c>
      <c r="E135" s="1" t="s">
        <v>241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" t="str">
        <f>+'1. EXP_IMP'!J51</f>
        <v>ELC-SIN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 t="s">
        <v>255</v>
      </c>
      <c r="E143" s="1" t="s">
        <v>256</v>
      </c>
      <c r="F143" s="1" t="s">
        <v>59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 t="s">
        <v>257</v>
      </c>
      <c r="E144" s="1" t="s">
        <v>258</v>
      </c>
      <c r="F144" s="1" t="s">
        <v>59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 t="s">
        <v>259</v>
      </c>
      <c r="E145" s="1" t="s">
        <v>260</v>
      </c>
      <c r="F145" s="1" t="s">
        <v>59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 t="s">
        <v>261</v>
      </c>
      <c r="E146" s="1" t="s">
        <v>262</v>
      </c>
      <c r="F146" s="1" t="s">
        <v>59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 t="s">
        <v>263</v>
      </c>
      <c r="E147" s="1" t="s">
        <v>264</v>
      </c>
      <c r="F147" s="1" t="s">
        <v>59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 t="s">
        <v>265</v>
      </c>
      <c r="E148" s="1" t="s">
        <v>266</v>
      </c>
      <c r="F148" s="1" t="s">
        <v>59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 t="s">
        <v>267</v>
      </c>
      <c r="E149" s="1" t="s">
        <v>268</v>
      </c>
      <c r="F149" s="1" t="s">
        <v>59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 t="s">
        <v>269</v>
      </c>
      <c r="E150" s="1" t="s">
        <v>270</v>
      </c>
      <c r="F150" s="1" t="s">
        <v>59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1" t="s">
        <v>271</v>
      </c>
      <c r="E151" s="1" t="s">
        <v>272</v>
      </c>
      <c r="F151" s="1" t="s">
        <v>59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2" t="s">
        <v>273</v>
      </c>
      <c r="E152" s="1" t="s">
        <v>274</v>
      </c>
      <c r="F152" s="1" t="s">
        <v>59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1" t="s">
        <v>275</v>
      </c>
      <c r="E153" s="1" t="s">
        <v>276</v>
      </c>
      <c r="F153" s="1" t="s">
        <v>59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1" t="s">
        <v>277</v>
      </c>
      <c r="E154" s="1" t="s">
        <v>278</v>
      </c>
      <c r="F154" s="1" t="s">
        <v>59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1" t="s">
        <v>279</v>
      </c>
      <c r="E155" s="1" t="s">
        <v>280</v>
      </c>
      <c r="F155" s="1" t="s">
        <v>59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1" t="s">
        <v>281</v>
      </c>
      <c r="E156" s="1" t="s">
        <v>282</v>
      </c>
      <c r="F156" s="1" t="s">
        <v>59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1" t="s">
        <v>283</v>
      </c>
      <c r="E157" s="1" t="s">
        <v>284</v>
      </c>
      <c r="F157" s="1" t="s">
        <v>59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2" t="s">
        <v>285</v>
      </c>
      <c r="E158" s="1" t="s">
        <v>286</v>
      </c>
      <c r="F158" s="1" t="s">
        <v>59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1" t="s">
        <v>287</v>
      </c>
      <c r="E159" s="1" t="s">
        <v>288</v>
      </c>
      <c r="F159" s="1" t="s">
        <v>59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1" t="s">
        <v>289</v>
      </c>
      <c r="E160" s="1" t="s">
        <v>290</v>
      </c>
      <c r="F160" s="1" t="s">
        <v>59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1" t="s">
        <v>291</v>
      </c>
      <c r="E161" s="1" t="s">
        <v>292</v>
      </c>
      <c r="F161" s="1" t="s">
        <v>59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1" t="s">
        <v>293</v>
      </c>
      <c r="E162" s="1" t="s">
        <v>294</v>
      </c>
      <c r="F162" s="1" t="s">
        <v>59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A53" zoomScale="55" zoomScaleNormal="55" workbookViewId="0"/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295</v>
      </c>
      <c r="E3" s="12" t="s">
        <v>296</v>
      </c>
      <c r="F3" s="13" t="s">
        <v>297</v>
      </c>
    </row>
    <row r="4" spans="2:6" x14ac:dyDescent="0.25">
      <c r="B4" s="12" t="s">
        <v>6</v>
      </c>
      <c r="D4" s="12" t="s">
        <v>298</v>
      </c>
      <c r="E4" s="1" t="s">
        <v>8</v>
      </c>
      <c r="F4" s="14" t="s">
        <v>299</v>
      </c>
    </row>
    <row r="5" spans="2:6" x14ac:dyDescent="0.25">
      <c r="B5" s="12" t="s">
        <v>12</v>
      </c>
      <c r="D5" s="12" t="s">
        <v>300</v>
      </c>
      <c r="E5" s="3" t="s">
        <v>14</v>
      </c>
      <c r="F5" s="14" t="s">
        <v>301</v>
      </c>
    </row>
    <row r="6" spans="2:6" x14ac:dyDescent="0.25">
      <c r="B6" s="12" t="s">
        <v>16</v>
      </c>
      <c r="D6" s="12" t="s">
        <v>302</v>
      </c>
      <c r="E6" s="1" t="s">
        <v>18</v>
      </c>
    </row>
    <row r="7" spans="2:6" x14ac:dyDescent="0.25">
      <c r="B7" s="12" t="s">
        <v>20</v>
      </c>
      <c r="D7" s="12" t="s">
        <v>303</v>
      </c>
      <c r="E7" s="1" t="s">
        <v>22</v>
      </c>
    </row>
    <row r="8" spans="2:6" x14ac:dyDescent="0.25">
      <c r="B8" s="12" t="s">
        <v>24</v>
      </c>
      <c r="D8" s="12" t="s">
        <v>304</v>
      </c>
      <c r="E8" s="1" t="s">
        <v>26</v>
      </c>
    </row>
    <row r="9" spans="2:6" x14ac:dyDescent="0.25">
      <c r="B9" s="12" t="s">
        <v>28</v>
      </c>
      <c r="D9" s="12" t="s">
        <v>305</v>
      </c>
      <c r="E9" s="1" t="s">
        <v>30</v>
      </c>
    </row>
    <row r="10" spans="2:6" x14ac:dyDescent="0.25">
      <c r="B10" s="12" t="s">
        <v>31</v>
      </c>
      <c r="D10" s="12" t="s">
        <v>306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07" t="s">
        <v>307</v>
      </c>
      <c r="C18" s="908"/>
      <c r="D18" s="908"/>
      <c r="E18" s="908"/>
      <c r="F18" s="908"/>
      <c r="G18" s="908"/>
      <c r="H18" s="908"/>
      <c r="I18" s="908"/>
      <c r="J18" s="908"/>
      <c r="L18" s="907" t="s">
        <v>308</v>
      </c>
      <c r="M18" s="908"/>
      <c r="N18" s="908"/>
      <c r="O18" s="908"/>
      <c r="P18" s="908"/>
      <c r="Q18" s="908"/>
      <c r="R18" s="908"/>
      <c r="S18" s="908"/>
      <c r="T18" s="908"/>
      <c r="V18" s="907" t="s">
        <v>309</v>
      </c>
      <c r="W18" s="908"/>
      <c r="X18" s="908"/>
      <c r="Y18" s="908"/>
      <c r="Z18" s="908"/>
      <c r="AA18" s="908"/>
      <c r="AB18" s="908"/>
      <c r="AC18" s="908"/>
      <c r="AD18" s="908"/>
    </row>
    <row r="20" spans="1:30" x14ac:dyDescent="0.25">
      <c r="B20" s="15" t="s">
        <v>310</v>
      </c>
      <c r="C20" s="1"/>
      <c r="D20" s="1"/>
      <c r="E20" s="1"/>
      <c r="F20" s="1"/>
      <c r="G20" s="1"/>
      <c r="H20" s="1"/>
      <c r="I20" s="1"/>
      <c r="J20" s="1"/>
      <c r="L20" s="15" t="s">
        <v>310</v>
      </c>
      <c r="M20" s="1"/>
      <c r="N20" s="1"/>
      <c r="O20" s="1"/>
      <c r="P20" s="1"/>
      <c r="Q20" s="1"/>
      <c r="R20" s="1"/>
      <c r="S20" s="1"/>
      <c r="T20" s="1"/>
      <c r="V20" s="15" t="s">
        <v>310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311</v>
      </c>
      <c r="C21" s="9" t="s">
        <v>42</v>
      </c>
      <c r="D21" s="8" t="s">
        <v>312</v>
      </c>
      <c r="E21" s="8" t="s">
        <v>313</v>
      </c>
      <c r="F21" s="8" t="s">
        <v>314</v>
      </c>
      <c r="G21" s="8" t="s">
        <v>315</v>
      </c>
      <c r="H21" s="8" t="s">
        <v>316</v>
      </c>
      <c r="I21" s="8" t="s">
        <v>317</v>
      </c>
      <c r="J21" s="8" t="s">
        <v>318</v>
      </c>
      <c r="L21" s="8" t="s">
        <v>311</v>
      </c>
      <c r="M21" s="9" t="s">
        <v>42</v>
      </c>
      <c r="N21" s="8" t="s">
        <v>312</v>
      </c>
      <c r="O21" s="8" t="s">
        <v>313</v>
      </c>
      <c r="P21" s="8" t="s">
        <v>314</v>
      </c>
      <c r="Q21" s="8" t="s">
        <v>315</v>
      </c>
      <c r="R21" s="8" t="s">
        <v>316</v>
      </c>
      <c r="S21" s="8" t="s">
        <v>317</v>
      </c>
      <c r="T21" s="8" t="s">
        <v>318</v>
      </c>
      <c r="V21" s="8" t="s">
        <v>311</v>
      </c>
      <c r="W21" s="9" t="s">
        <v>42</v>
      </c>
      <c r="X21" s="8" t="s">
        <v>312</v>
      </c>
      <c r="Y21" s="8" t="s">
        <v>313</v>
      </c>
      <c r="Z21" s="8" t="s">
        <v>314</v>
      </c>
      <c r="AA21" s="8" t="s">
        <v>315</v>
      </c>
      <c r="AB21" s="8" t="s">
        <v>316</v>
      </c>
      <c r="AC21" s="8" t="s">
        <v>317</v>
      </c>
      <c r="AD21" s="8" t="s">
        <v>318</v>
      </c>
    </row>
    <row r="22" spans="1:30" ht="15.75" customHeight="1" x14ac:dyDescent="0.25">
      <c r="A22" s="5"/>
      <c r="B22" s="10" t="s">
        <v>319</v>
      </c>
      <c r="C22" s="10" t="s">
        <v>51</v>
      </c>
      <c r="D22" s="10" t="s">
        <v>320</v>
      </c>
      <c r="E22" s="10" t="s">
        <v>321</v>
      </c>
      <c r="F22" s="10" t="s">
        <v>322</v>
      </c>
      <c r="G22" s="10" t="s">
        <v>323</v>
      </c>
      <c r="H22" s="10" t="s">
        <v>324</v>
      </c>
      <c r="I22" s="10" t="s">
        <v>325</v>
      </c>
      <c r="J22" s="10" t="s">
        <v>326</v>
      </c>
      <c r="K22" s="5"/>
      <c r="L22" s="10" t="s">
        <v>319</v>
      </c>
      <c r="M22" s="10" t="s">
        <v>51</v>
      </c>
      <c r="N22" s="10" t="s">
        <v>320</v>
      </c>
      <c r="O22" s="10" t="s">
        <v>321</v>
      </c>
      <c r="P22" s="10" t="s">
        <v>322</v>
      </c>
      <c r="Q22" s="10" t="s">
        <v>323</v>
      </c>
      <c r="R22" s="10" t="s">
        <v>324</v>
      </c>
      <c r="S22" s="10" t="s">
        <v>325</v>
      </c>
      <c r="T22" s="10" t="s">
        <v>326</v>
      </c>
      <c r="U22" s="5"/>
      <c r="V22" s="10" t="s">
        <v>319</v>
      </c>
      <c r="W22" s="10" t="s">
        <v>51</v>
      </c>
      <c r="X22" s="10" t="s">
        <v>320</v>
      </c>
      <c r="Y22" s="10" t="s">
        <v>321</v>
      </c>
      <c r="Z22" s="10" t="s">
        <v>322</v>
      </c>
      <c r="AA22" s="10" t="s">
        <v>323</v>
      </c>
      <c r="AB22" s="10" t="s">
        <v>324</v>
      </c>
      <c r="AC22" s="10" t="s">
        <v>325</v>
      </c>
      <c r="AD22" s="10" t="s">
        <v>326</v>
      </c>
    </row>
    <row r="23" spans="1:30" ht="15.75" customHeight="1" x14ac:dyDescent="0.25">
      <c r="B23" s="10" t="s">
        <v>327</v>
      </c>
      <c r="C23" s="10"/>
      <c r="D23" s="10"/>
      <c r="E23" s="10"/>
      <c r="F23" s="10"/>
      <c r="G23" s="10"/>
      <c r="H23" s="10"/>
      <c r="I23" s="10"/>
      <c r="J23" s="10"/>
      <c r="L23" s="10" t="s">
        <v>327</v>
      </c>
      <c r="M23" s="10"/>
      <c r="N23" s="10"/>
      <c r="O23" s="10"/>
      <c r="P23" s="10"/>
      <c r="Q23" s="10"/>
      <c r="R23" s="10"/>
      <c r="S23" s="10"/>
      <c r="T23" s="10"/>
      <c r="V23" s="10" t="s">
        <v>327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298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328</v>
      </c>
      <c r="L24" s="12" t="s">
        <v>329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328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328</v>
      </c>
      <c r="N25" s="12" t="str">
        <v>PROF-CAM2</v>
      </c>
      <c r="O25" s="12" t="str">
        <v>Produccion con flaring de CAM2</v>
      </c>
      <c r="P25" s="12" t="s">
        <v>59</v>
      </c>
      <c r="Q25" s="12" t="s">
        <v>328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328</v>
      </c>
      <c r="N26" s="12" t="str">
        <v>PROF-CAM3</v>
      </c>
      <c r="O26" s="12" t="str">
        <v>Produccion con flaring de CAM3</v>
      </c>
      <c r="P26" s="12" t="s">
        <v>59</v>
      </c>
      <c r="Q26" s="12" t="s">
        <v>328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328</v>
      </c>
      <c r="N27" s="12" t="str">
        <v>PROF-CAM4</v>
      </c>
      <c r="O27" s="12" t="str">
        <v>Produccion con flaring de CAM4</v>
      </c>
      <c r="P27" s="12" t="s">
        <v>59</v>
      </c>
      <c r="Q27" s="12" t="s">
        <v>328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328</v>
      </c>
      <c r="N28" s="12" t="str">
        <v>PROF-CAM5</v>
      </c>
      <c r="O28" s="12" t="str">
        <v>Produccion con flaring de CAM5</v>
      </c>
      <c r="P28" s="12" t="s">
        <v>59</v>
      </c>
      <c r="Q28" s="12" t="s">
        <v>328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328</v>
      </c>
      <c r="N29" s="12" t="str">
        <v>PROF-CAM6</v>
      </c>
      <c r="O29" s="12" t="str">
        <v>Produccion con flaring de CAM6</v>
      </c>
      <c r="P29" s="12" t="s">
        <v>59</v>
      </c>
      <c r="Q29" s="12" t="s">
        <v>328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328</v>
      </c>
      <c r="N30" s="12" t="str">
        <v>PROF-CAM7</v>
      </c>
      <c r="O30" s="12" t="str">
        <v>Produccion con flaring de CAM7</v>
      </c>
      <c r="P30" s="12" t="s">
        <v>59</v>
      </c>
      <c r="Q30" s="12" t="s">
        <v>328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328</v>
      </c>
      <c r="N31" s="12" t="str">
        <v>PROF-CAM8</v>
      </c>
      <c r="O31" s="12" t="str">
        <v>Produccion con flaring de CAM8</v>
      </c>
      <c r="P31" s="12" t="s">
        <v>59</v>
      </c>
      <c r="Q31" s="12" t="s">
        <v>328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328</v>
      </c>
      <c r="N32" s="12" t="str">
        <v>PROF-CAM9</v>
      </c>
      <c r="O32" s="12" t="str">
        <v>Produccion con flaring de CAM9</v>
      </c>
      <c r="P32" s="12" t="s">
        <v>59</v>
      </c>
      <c r="Q32" s="12" t="s">
        <v>328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328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328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328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328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328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328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328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328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328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328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328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328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328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328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328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328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328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328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328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328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328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328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328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328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328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328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328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328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328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328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328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328</v>
      </c>
    </row>
    <row r="64" spans="14:17" ht="15.75" customHeight="1" x14ac:dyDescent="0.25">
      <c r="N64" s="12" t="str">
        <f t="array" ref="N64:N73">+"SEP-"&amp;B4:B13</f>
        <v>SEP-CAM1</v>
      </c>
      <c r="O64" s="12" t="s">
        <v>330</v>
      </c>
      <c r="P64" s="12" t="s">
        <v>59</v>
      </c>
      <c r="Q64" s="12" t="s">
        <v>328</v>
      </c>
    </row>
    <row r="65" spans="14:17" ht="15.75" customHeight="1" x14ac:dyDescent="0.25">
      <c r="N65" s="12" t="str">
        <v>SEP-CAM2</v>
      </c>
      <c r="O65" s="12" t="s">
        <v>331</v>
      </c>
      <c r="P65" s="12" t="s">
        <v>59</v>
      </c>
      <c r="Q65" s="12" t="s">
        <v>328</v>
      </c>
    </row>
    <row r="66" spans="14:17" ht="15.75" customHeight="1" x14ac:dyDescent="0.25">
      <c r="N66" s="12" t="str">
        <v>SEP-CAM3</v>
      </c>
      <c r="O66" s="12" t="s">
        <v>332</v>
      </c>
      <c r="P66" s="12" t="s">
        <v>59</v>
      </c>
      <c r="Q66" s="12" t="s">
        <v>328</v>
      </c>
    </row>
    <row r="67" spans="14:17" ht="15.75" customHeight="1" x14ac:dyDescent="0.25">
      <c r="N67" s="12" t="str">
        <v>SEP-CAM4</v>
      </c>
      <c r="O67" s="12" t="s">
        <v>333</v>
      </c>
      <c r="P67" s="12" t="s">
        <v>59</v>
      </c>
      <c r="Q67" s="12" t="s">
        <v>328</v>
      </c>
    </row>
    <row r="68" spans="14:17" ht="15.75" customHeight="1" x14ac:dyDescent="0.25">
      <c r="N68" s="12" t="str">
        <v>SEP-CAM5</v>
      </c>
      <c r="O68" s="12" t="s">
        <v>334</v>
      </c>
      <c r="P68" s="12" t="s">
        <v>59</v>
      </c>
      <c r="Q68" s="12" t="s">
        <v>328</v>
      </c>
    </row>
    <row r="69" spans="14:17" ht="15.75" customHeight="1" x14ac:dyDescent="0.25">
      <c r="N69" s="12" t="str">
        <v>SEP-CAM6</v>
      </c>
      <c r="O69" s="12" t="s">
        <v>335</v>
      </c>
      <c r="P69" s="12" t="s">
        <v>59</v>
      </c>
      <c r="Q69" s="12" t="s">
        <v>328</v>
      </c>
    </row>
    <row r="70" spans="14:17" ht="15.75" customHeight="1" x14ac:dyDescent="0.25">
      <c r="N70" s="12" t="str">
        <v>SEP-CAM7</v>
      </c>
      <c r="O70" s="12" t="s">
        <v>336</v>
      </c>
      <c r="P70" s="12" t="s">
        <v>59</v>
      </c>
      <c r="Q70" s="12" t="s">
        <v>328</v>
      </c>
    </row>
    <row r="71" spans="14:17" ht="15.75" customHeight="1" x14ac:dyDescent="0.25">
      <c r="N71" s="12" t="str">
        <v>SEP-CAM8</v>
      </c>
      <c r="O71" s="12" t="s">
        <v>337</v>
      </c>
      <c r="P71" s="12" t="s">
        <v>59</v>
      </c>
      <c r="Q71" s="12" t="s">
        <v>328</v>
      </c>
    </row>
    <row r="72" spans="14:17" ht="15.75" customHeight="1" x14ac:dyDescent="0.25">
      <c r="N72" s="12" t="str">
        <v>SEP-CAM9</v>
      </c>
      <c r="O72" s="12" t="s">
        <v>338</v>
      </c>
      <c r="P72" s="12" t="s">
        <v>59</v>
      </c>
      <c r="Q72" s="12" t="s">
        <v>328</v>
      </c>
    </row>
    <row r="73" spans="14:17" ht="15.75" customHeight="1" x14ac:dyDescent="0.25">
      <c r="N73" s="12" t="str">
        <v>SEP-CAM10</v>
      </c>
      <c r="O73" s="12" t="s">
        <v>339</v>
      </c>
      <c r="P73" s="12" t="s">
        <v>59</v>
      </c>
      <c r="Q73" s="12" t="s">
        <v>328</v>
      </c>
    </row>
    <row r="74" spans="14:17" ht="15.75" customHeight="1" x14ac:dyDescent="0.25">
      <c r="N74" s="12" t="s">
        <v>340</v>
      </c>
      <c r="O74" s="12" t="s">
        <v>341</v>
      </c>
      <c r="P74" s="12" t="s">
        <v>59</v>
      </c>
      <c r="Q74" s="12" t="s">
        <v>328</v>
      </c>
    </row>
    <row r="75" spans="14:17" ht="15.75" customHeight="1" x14ac:dyDescent="0.25">
      <c r="N75" s="12" t="s">
        <v>342</v>
      </c>
      <c r="O75" s="12" t="s">
        <v>343</v>
      </c>
      <c r="P75" s="12" t="s">
        <v>59</v>
      </c>
      <c r="Q75" s="12" t="s">
        <v>328</v>
      </c>
    </row>
    <row r="76" spans="14:17" ht="15.75" customHeight="1" x14ac:dyDescent="0.25">
      <c r="N76" s="12" t="s">
        <v>344</v>
      </c>
      <c r="O76" s="12" t="s">
        <v>345</v>
      </c>
      <c r="P76" s="12" t="s">
        <v>59</v>
      </c>
      <c r="Q76" s="12" t="s">
        <v>328</v>
      </c>
    </row>
    <row r="77" spans="14:17" ht="15.75" customHeight="1" x14ac:dyDescent="0.25">
      <c r="N77" s="12" t="s">
        <v>346</v>
      </c>
      <c r="O77" s="12" t="s">
        <v>347</v>
      </c>
      <c r="P77" s="12" t="s">
        <v>59</v>
      </c>
      <c r="Q77" s="12" t="s">
        <v>328</v>
      </c>
    </row>
    <row r="78" spans="14:17" ht="15.75" customHeight="1" x14ac:dyDescent="0.25">
      <c r="N78" s="12" t="str">
        <f t="array" ref="N78:N83">+"PLT-"&amp;B4:B9</f>
        <v>PLT-CAM1</v>
      </c>
      <c r="O78" s="12" t="s">
        <v>348</v>
      </c>
      <c r="P78" s="12" t="s">
        <v>59</v>
      </c>
      <c r="Q78" s="12" t="s">
        <v>328</v>
      </c>
    </row>
    <row r="79" spans="14:17" ht="15.75" customHeight="1" x14ac:dyDescent="0.25">
      <c r="N79" s="12" t="str">
        <v>PLT-CAM2</v>
      </c>
      <c r="O79" s="12" t="s">
        <v>349</v>
      </c>
      <c r="P79" s="12" t="s">
        <v>59</v>
      </c>
      <c r="Q79" s="12" t="s">
        <v>328</v>
      </c>
    </row>
    <row r="80" spans="14:17" ht="15.75" customHeight="1" x14ac:dyDescent="0.25">
      <c r="N80" s="12" t="str">
        <v>PLT-CAM3</v>
      </c>
      <c r="O80" s="12" t="s">
        <v>350</v>
      </c>
      <c r="P80" s="12" t="s">
        <v>59</v>
      </c>
      <c r="Q80" s="12" t="s">
        <v>328</v>
      </c>
    </row>
    <row r="81" spans="14:17" ht="15.75" customHeight="1" x14ac:dyDescent="0.25">
      <c r="N81" s="12" t="str">
        <v>PLT-CAM4</v>
      </c>
      <c r="O81" s="12" t="s">
        <v>351</v>
      </c>
      <c r="P81" s="12" t="s">
        <v>59</v>
      </c>
      <c r="Q81" s="12" t="s">
        <v>328</v>
      </c>
    </row>
    <row r="82" spans="14:17" ht="15.75" customHeight="1" x14ac:dyDescent="0.25">
      <c r="N82" s="12" t="str">
        <v>PLT-CAM5</v>
      </c>
      <c r="O82" s="12" t="s">
        <v>352</v>
      </c>
      <c r="P82" s="12" t="s">
        <v>59</v>
      </c>
      <c r="Q82" s="12" t="s">
        <v>328</v>
      </c>
    </row>
    <row r="83" spans="14:17" ht="15.75" customHeight="1" x14ac:dyDescent="0.25">
      <c r="N83" s="12" t="str">
        <v>PLT-CAM6</v>
      </c>
      <c r="O83" s="12" t="s">
        <v>353</v>
      </c>
      <c r="P83" s="12" t="s">
        <v>59</v>
      </c>
      <c r="Q83" s="12" t="s">
        <v>328</v>
      </c>
    </row>
    <row r="84" spans="14:17" ht="15.75" customHeight="1" x14ac:dyDescent="0.25">
      <c r="N84" s="14" t="s">
        <v>354</v>
      </c>
      <c r="O84" s="12" t="s">
        <v>355</v>
      </c>
      <c r="P84" s="12" t="s">
        <v>59</v>
      </c>
      <c r="Q84" s="12" t="s">
        <v>328</v>
      </c>
    </row>
    <row r="85" spans="14:17" ht="15.75" customHeight="1" x14ac:dyDescent="0.25">
      <c r="N85" s="16" t="s">
        <v>356</v>
      </c>
      <c r="O85" s="1" t="s">
        <v>357</v>
      </c>
      <c r="P85" s="12" t="s">
        <v>59</v>
      </c>
      <c r="Q85" s="12" t="s">
        <v>328</v>
      </c>
    </row>
    <row r="86" spans="14:17" ht="15.75" customHeight="1" x14ac:dyDescent="0.25">
      <c r="N86" s="16" t="s">
        <v>358</v>
      </c>
      <c r="O86" s="1" t="s">
        <v>359</v>
      </c>
      <c r="P86" s="12" t="s">
        <v>59</v>
      </c>
      <c r="Q86" s="12" t="s">
        <v>328</v>
      </c>
    </row>
    <row r="87" spans="14:17" ht="15.75" customHeight="1" x14ac:dyDescent="0.25">
      <c r="N87" s="16" t="s">
        <v>360</v>
      </c>
      <c r="O87" s="1" t="s">
        <v>361</v>
      </c>
      <c r="P87" s="12" t="s">
        <v>59</v>
      </c>
      <c r="Q87" s="12" t="s">
        <v>328</v>
      </c>
    </row>
    <row r="88" spans="14:17" ht="15.75" customHeight="1" x14ac:dyDescent="0.25">
      <c r="N88" s="16" t="s">
        <v>362</v>
      </c>
      <c r="O88" s="1" t="s">
        <v>363</v>
      </c>
      <c r="P88" s="12" t="s">
        <v>59</v>
      </c>
      <c r="Q88" s="12" t="s">
        <v>328</v>
      </c>
    </row>
    <row r="89" spans="14:17" ht="15.75" customHeight="1" x14ac:dyDescent="0.25">
      <c r="N89" s="16" t="s">
        <v>364</v>
      </c>
      <c r="O89" s="1" t="s">
        <v>365</v>
      </c>
      <c r="P89" s="12" t="s">
        <v>59</v>
      </c>
      <c r="Q89" s="12" t="s">
        <v>328</v>
      </c>
    </row>
    <row r="90" spans="14:17" ht="15.75" customHeight="1" x14ac:dyDescent="0.25">
      <c r="N90" s="16" t="s">
        <v>366</v>
      </c>
      <c r="O90" s="1" t="s">
        <v>367</v>
      </c>
      <c r="P90" s="12" t="s">
        <v>59</v>
      </c>
      <c r="Q90" s="12" t="s">
        <v>328</v>
      </c>
    </row>
    <row r="91" spans="14:17" ht="15.75" customHeight="1" x14ac:dyDescent="0.25">
      <c r="N91" s="16" t="s">
        <v>368</v>
      </c>
      <c r="O91" s="1" t="s">
        <v>369</v>
      </c>
      <c r="P91" s="12" t="s">
        <v>59</v>
      </c>
      <c r="Q91" s="12" t="s">
        <v>328</v>
      </c>
    </row>
    <row r="92" spans="14:17" ht="15.75" customHeight="1" x14ac:dyDescent="0.25">
      <c r="N92" s="16" t="s">
        <v>370</v>
      </c>
      <c r="O92" s="1" t="s">
        <v>371</v>
      </c>
      <c r="P92" s="12" t="s">
        <v>59</v>
      </c>
      <c r="Q92" s="12" t="s">
        <v>328</v>
      </c>
    </row>
    <row r="93" spans="14:17" ht="15.75" customHeight="1" x14ac:dyDescent="0.25">
      <c r="N93" s="16" t="s">
        <v>372</v>
      </c>
      <c r="O93" s="1" t="s">
        <v>373</v>
      </c>
      <c r="P93" s="12" t="s">
        <v>59</v>
      </c>
      <c r="Q93" s="12" t="s">
        <v>328</v>
      </c>
    </row>
    <row r="94" spans="14:17" ht="15.75" customHeight="1" x14ac:dyDescent="0.25">
      <c r="N94" s="16" t="s">
        <v>374</v>
      </c>
      <c r="O94" s="1" t="s">
        <v>375</v>
      </c>
      <c r="P94" s="12" t="s">
        <v>59</v>
      </c>
      <c r="Q94" s="12" t="s">
        <v>328</v>
      </c>
    </row>
    <row r="95" spans="14:17" ht="15.75" customHeight="1" x14ac:dyDescent="0.25">
      <c r="N95" s="16" t="s">
        <v>376</v>
      </c>
      <c r="O95" s="1" t="s">
        <v>377</v>
      </c>
      <c r="P95" s="12" t="s">
        <v>59</v>
      </c>
      <c r="Q95" s="12" t="s">
        <v>328</v>
      </c>
    </row>
    <row r="96" spans="14:17" ht="15.75" customHeight="1" x14ac:dyDescent="0.25">
      <c r="N96" s="16" t="s">
        <v>378</v>
      </c>
      <c r="O96" s="1" t="s">
        <v>379</v>
      </c>
      <c r="P96" s="12" t="s">
        <v>59</v>
      </c>
      <c r="Q96" s="12" t="s">
        <v>328</v>
      </c>
    </row>
    <row r="97" spans="14:17" ht="15.75" customHeight="1" x14ac:dyDescent="0.25">
      <c r="N97" s="17" t="str">
        <f t="array" ref="N97:N103">+"COLFUEL-GAS-"&amp;B4:B10</f>
        <v>COLFUEL-GAS-CAM1</v>
      </c>
      <c r="O97" s="18" t="s">
        <v>380</v>
      </c>
      <c r="P97" s="18" t="s">
        <v>59</v>
      </c>
      <c r="Q97" s="18" t="s">
        <v>381</v>
      </c>
    </row>
    <row r="98" spans="14:17" ht="15.75" customHeight="1" x14ac:dyDescent="0.25">
      <c r="N98" s="18" t="str">
        <v>COLFUEL-GAS-CAM2</v>
      </c>
      <c r="O98" s="18" t="s">
        <v>382</v>
      </c>
      <c r="P98" s="18" t="s">
        <v>59</v>
      </c>
      <c r="Q98" s="18" t="s">
        <v>381</v>
      </c>
    </row>
    <row r="99" spans="14:17" ht="15.75" customHeight="1" x14ac:dyDescent="0.25">
      <c r="N99" s="18" t="str">
        <v>COLFUEL-GAS-CAM3</v>
      </c>
      <c r="O99" s="18" t="s">
        <v>383</v>
      </c>
      <c r="P99" s="18" t="s">
        <v>59</v>
      </c>
      <c r="Q99" s="18" t="s">
        <v>381</v>
      </c>
    </row>
    <row r="100" spans="14:17" ht="15.75" customHeight="1" x14ac:dyDescent="0.25">
      <c r="N100" s="18" t="str">
        <v>COLFUEL-GAS-CAM4</v>
      </c>
      <c r="O100" s="18" t="s">
        <v>384</v>
      </c>
      <c r="P100" s="18" t="s">
        <v>59</v>
      </c>
      <c r="Q100" s="18" t="s">
        <v>381</v>
      </c>
    </row>
    <row r="101" spans="14:17" ht="15.75" customHeight="1" x14ac:dyDescent="0.25">
      <c r="N101" s="18" t="str">
        <v>COLFUEL-GAS-CAM5</v>
      </c>
      <c r="O101" s="18" t="s">
        <v>385</v>
      </c>
      <c r="P101" s="18" t="s">
        <v>59</v>
      </c>
      <c r="Q101" s="18" t="s">
        <v>381</v>
      </c>
    </row>
    <row r="102" spans="14:17" ht="15.75" customHeight="1" x14ac:dyDescent="0.25">
      <c r="N102" s="18" t="str">
        <v>COLFUEL-GAS-CAM6</v>
      </c>
      <c r="O102" s="18" t="s">
        <v>386</v>
      </c>
      <c r="P102" s="18" t="s">
        <v>59</v>
      </c>
      <c r="Q102" s="18" t="s">
        <v>381</v>
      </c>
    </row>
    <row r="103" spans="14:17" ht="15.75" customHeight="1" x14ac:dyDescent="0.25">
      <c r="N103" s="18" t="str">
        <v>COLFUEL-GAS-CAM7</v>
      </c>
      <c r="O103" s="18" t="s">
        <v>387</v>
      </c>
      <c r="P103" s="18" t="s">
        <v>59</v>
      </c>
      <c r="Q103" s="18" t="s">
        <v>381</v>
      </c>
    </row>
    <row r="104" spans="14:17" ht="15.75" customHeight="1" x14ac:dyDescent="0.25">
      <c r="N104" s="17" t="str">
        <f t="array" ref="N104:N110">+"COLELC-GAS-"&amp;B4:B10</f>
        <v>COLELC-GAS-CAM1</v>
      </c>
      <c r="O104" s="18" t="s">
        <v>388</v>
      </c>
      <c r="P104" s="18" t="s">
        <v>59</v>
      </c>
      <c r="Q104" s="18" t="s">
        <v>381</v>
      </c>
    </row>
    <row r="105" spans="14:17" ht="15.75" customHeight="1" x14ac:dyDescent="0.25">
      <c r="N105" s="18" t="str">
        <v>COLELC-GAS-CAM2</v>
      </c>
      <c r="O105" s="18" t="s">
        <v>389</v>
      </c>
      <c r="P105" s="18" t="s">
        <v>59</v>
      </c>
      <c r="Q105" s="18" t="s">
        <v>381</v>
      </c>
    </row>
    <row r="106" spans="14:17" ht="15.75" customHeight="1" x14ac:dyDescent="0.25">
      <c r="N106" s="18" t="str">
        <v>COLELC-GAS-CAM3</v>
      </c>
      <c r="O106" s="18" t="s">
        <v>390</v>
      </c>
      <c r="P106" s="18" t="s">
        <v>59</v>
      </c>
      <c r="Q106" s="18" t="s">
        <v>381</v>
      </c>
    </row>
    <row r="107" spans="14:17" ht="15.75" customHeight="1" x14ac:dyDescent="0.25">
      <c r="N107" s="18" t="str">
        <v>COLELC-GAS-CAM4</v>
      </c>
      <c r="O107" s="18" t="s">
        <v>391</v>
      </c>
      <c r="P107" s="18" t="s">
        <v>59</v>
      </c>
      <c r="Q107" s="18" t="s">
        <v>381</v>
      </c>
    </row>
    <row r="108" spans="14:17" ht="15.75" customHeight="1" x14ac:dyDescent="0.25">
      <c r="N108" s="18" t="str">
        <v>COLELC-GAS-CAM5</v>
      </c>
      <c r="O108" s="18" t="s">
        <v>392</v>
      </c>
      <c r="P108" s="18" t="s">
        <v>59</v>
      </c>
      <c r="Q108" s="18" t="s">
        <v>381</v>
      </c>
    </row>
    <row r="109" spans="14:17" ht="15.75" customHeight="1" x14ac:dyDescent="0.25">
      <c r="N109" s="18" t="str">
        <v>COLELC-GAS-CAM6</v>
      </c>
      <c r="O109" s="18" t="s">
        <v>393</v>
      </c>
      <c r="P109" s="18" t="s">
        <v>59</v>
      </c>
      <c r="Q109" s="18" t="s">
        <v>381</v>
      </c>
    </row>
    <row r="110" spans="14:17" ht="15.75" customHeight="1" x14ac:dyDescent="0.25">
      <c r="N110" s="18" t="str">
        <v>COLELC-GAS-CAM7</v>
      </c>
      <c r="O110" s="18" t="s">
        <v>394</v>
      </c>
      <c r="P110" s="18" t="s">
        <v>59</v>
      </c>
      <c r="Q110" s="18" t="s">
        <v>381</v>
      </c>
    </row>
    <row r="111" spans="14:17" ht="15.75" customHeight="1" x14ac:dyDescent="0.25">
      <c r="N111" s="12" t="s">
        <v>395</v>
      </c>
      <c r="O111" s="18" t="s">
        <v>396</v>
      </c>
      <c r="P111" s="18" t="s">
        <v>59</v>
      </c>
      <c r="Q111" s="18" t="s">
        <v>328</v>
      </c>
    </row>
    <row r="112" spans="14:17" ht="15.75" customHeight="1" x14ac:dyDescent="0.25">
      <c r="N112" s="12" t="s">
        <v>397</v>
      </c>
      <c r="O112" s="18" t="s">
        <v>398</v>
      </c>
      <c r="P112" s="18" t="s">
        <v>59</v>
      </c>
      <c r="Q112" s="18" t="s">
        <v>328</v>
      </c>
    </row>
    <row r="113" spans="13:20" ht="15.75" customHeight="1" x14ac:dyDescent="0.25">
      <c r="N113" s="12" t="s">
        <v>399</v>
      </c>
      <c r="O113" s="18" t="s">
        <v>400</v>
      </c>
      <c r="P113" s="18" t="s">
        <v>59</v>
      </c>
      <c r="Q113" s="18" t="s">
        <v>328</v>
      </c>
    </row>
    <row r="114" spans="13:20" ht="15.75" customHeight="1" x14ac:dyDescent="0.25">
      <c r="N114" s="12" t="s">
        <v>401</v>
      </c>
      <c r="O114" s="18" t="s">
        <v>402</v>
      </c>
      <c r="P114" s="18" t="s">
        <v>59</v>
      </c>
      <c r="Q114" s="18" t="s">
        <v>328</v>
      </c>
    </row>
    <row r="115" spans="13:20" ht="15.75" customHeight="1" x14ac:dyDescent="0.25">
      <c r="N115" s="12" t="s">
        <v>403</v>
      </c>
      <c r="O115" s="18" t="s">
        <v>404</v>
      </c>
      <c r="P115" s="18" t="s">
        <v>59</v>
      </c>
      <c r="Q115" s="18" t="s">
        <v>328</v>
      </c>
    </row>
    <row r="116" spans="13:20" ht="15.75" customHeight="1" x14ac:dyDescent="0.25">
      <c r="N116" s="12" t="s">
        <v>405</v>
      </c>
      <c r="O116" s="18" t="s">
        <v>406</v>
      </c>
      <c r="P116" s="18" t="s">
        <v>59</v>
      </c>
      <c r="Q116" s="18" t="s">
        <v>328</v>
      </c>
    </row>
    <row r="117" spans="13:20" ht="15.75" customHeight="1" x14ac:dyDescent="0.25">
      <c r="N117" s="12" t="s">
        <v>407</v>
      </c>
      <c r="O117" s="18" t="s">
        <v>408</v>
      </c>
      <c r="P117" s="18" t="s">
        <v>59</v>
      </c>
      <c r="Q117" s="18" t="s">
        <v>328</v>
      </c>
    </row>
    <row r="118" spans="13:20" ht="15.75" customHeight="1" x14ac:dyDescent="0.25">
      <c r="N118" s="12" t="s">
        <v>409</v>
      </c>
      <c r="O118" s="18" t="s">
        <v>410</v>
      </c>
      <c r="P118" s="18" t="s">
        <v>59</v>
      </c>
      <c r="Q118" s="18" t="s">
        <v>328</v>
      </c>
    </row>
    <row r="119" spans="13:20" ht="15.75" customHeight="1" x14ac:dyDescent="0.25">
      <c r="N119" s="12" t="s">
        <v>411</v>
      </c>
      <c r="O119" s="18" t="s">
        <v>412</v>
      </c>
      <c r="P119" s="18" t="s">
        <v>59</v>
      </c>
      <c r="Q119" s="18" t="s">
        <v>328</v>
      </c>
    </row>
    <row r="120" spans="13:20" ht="15.75" customHeight="1" x14ac:dyDescent="0.25">
      <c r="N120" s="12" t="s">
        <v>413</v>
      </c>
      <c r="O120" s="18" t="s">
        <v>414</v>
      </c>
      <c r="P120" s="18" t="s">
        <v>59</v>
      </c>
      <c r="Q120" s="18" t="s">
        <v>328</v>
      </c>
    </row>
    <row r="121" spans="13:20" ht="15.75" customHeight="1" x14ac:dyDescent="0.25">
      <c r="N121" s="12" t="s">
        <v>415</v>
      </c>
      <c r="O121" s="18" t="s">
        <v>416</v>
      </c>
      <c r="P121" s="18" t="s">
        <v>59</v>
      </c>
      <c r="Q121" s="18" t="s">
        <v>328</v>
      </c>
    </row>
    <row r="122" spans="13:20" ht="15.75" customHeight="1" x14ac:dyDescent="0.25">
      <c r="N122" s="12" t="s">
        <v>417</v>
      </c>
      <c r="O122" s="18" t="s">
        <v>418</v>
      </c>
      <c r="P122" s="18" t="s">
        <v>59</v>
      </c>
      <c r="Q122" s="18" t="s">
        <v>328</v>
      </c>
    </row>
    <row r="123" spans="13:20" ht="15.75" customHeight="1" x14ac:dyDescent="0.25">
      <c r="N123" s="12" t="s">
        <v>419</v>
      </c>
      <c r="O123" s="18" t="s">
        <v>420</v>
      </c>
      <c r="P123" s="18" t="s">
        <v>59</v>
      </c>
      <c r="Q123" s="18" t="s">
        <v>328</v>
      </c>
    </row>
    <row r="124" spans="13:20" ht="15.75" customHeight="1" x14ac:dyDescent="0.25">
      <c r="N124" s="12" t="s">
        <v>421</v>
      </c>
      <c r="O124" s="18" t="s">
        <v>422</v>
      </c>
      <c r="P124" s="18" t="s">
        <v>59</v>
      </c>
      <c r="Q124" s="18" t="s">
        <v>328</v>
      </c>
      <c r="R124" s="1"/>
    </row>
    <row r="125" spans="13:20" ht="15.75" customHeight="1" x14ac:dyDescent="0.25">
      <c r="N125" s="12" t="s">
        <v>423</v>
      </c>
      <c r="O125" s="18" t="s">
        <v>424</v>
      </c>
      <c r="P125" s="18" t="s">
        <v>59</v>
      </c>
      <c r="Q125" s="18" t="s">
        <v>328</v>
      </c>
      <c r="R125" s="1"/>
    </row>
    <row r="126" spans="13:20" ht="15.75" customHeight="1" x14ac:dyDescent="0.25">
      <c r="N126" s="12" t="s">
        <v>425</v>
      </c>
      <c r="O126" s="18" t="s">
        <v>426</v>
      </c>
      <c r="P126" s="18" t="s">
        <v>59</v>
      </c>
      <c r="Q126" s="18" t="s">
        <v>328</v>
      </c>
      <c r="R126" s="1"/>
      <c r="S126" s="1"/>
    </row>
    <row r="127" spans="13:20" ht="15.75" customHeight="1" x14ac:dyDescent="0.25">
      <c r="N127" s="12" t="s">
        <v>427</v>
      </c>
      <c r="O127" s="18" t="s">
        <v>428</v>
      </c>
      <c r="P127" s="18" t="s">
        <v>59</v>
      </c>
      <c r="Q127" s="18" t="s">
        <v>328</v>
      </c>
      <c r="R127" s="1"/>
      <c r="S127" s="1"/>
    </row>
    <row r="128" spans="13:20" ht="15.75" customHeight="1" x14ac:dyDescent="0.25">
      <c r="M128" s="1"/>
      <c r="N128" s="12" t="s">
        <v>429</v>
      </c>
      <c r="O128" s="18" t="s">
        <v>430</v>
      </c>
      <c r="P128" s="18" t="s">
        <v>59</v>
      </c>
      <c r="Q128" s="18" t="s">
        <v>328</v>
      </c>
      <c r="R128" s="1"/>
      <c r="S128" s="1"/>
      <c r="T128" s="1"/>
    </row>
    <row r="129" spans="13:20" ht="15.75" customHeight="1" x14ac:dyDescent="0.25">
      <c r="M129" s="1"/>
      <c r="N129" s="12" t="s">
        <v>431</v>
      </c>
      <c r="O129" s="18" t="s">
        <v>432</v>
      </c>
      <c r="P129" s="18" t="s">
        <v>59</v>
      </c>
      <c r="Q129" s="18" t="s">
        <v>328</v>
      </c>
      <c r="R129" s="1"/>
      <c r="S129" s="1"/>
      <c r="T129" s="1"/>
    </row>
    <row r="130" spans="13:20" ht="15.75" customHeight="1" x14ac:dyDescent="0.25">
      <c r="M130" s="1"/>
      <c r="N130" s="12" t="s">
        <v>433</v>
      </c>
      <c r="O130" s="18" t="s">
        <v>434</v>
      </c>
      <c r="P130" s="18" t="s">
        <v>59</v>
      </c>
      <c r="Q130" s="18" t="s">
        <v>328</v>
      </c>
      <c r="R130" s="1"/>
      <c r="S130" s="1"/>
      <c r="T130" s="1"/>
    </row>
    <row r="131" spans="13:20" ht="15.75" customHeight="1" x14ac:dyDescent="0.25">
      <c r="M131" s="1"/>
      <c r="N131" s="12" t="s">
        <v>435</v>
      </c>
      <c r="O131" s="18" t="s">
        <v>436</v>
      </c>
      <c r="P131" s="18" t="s">
        <v>59</v>
      </c>
      <c r="Q131" s="18" t="s">
        <v>328</v>
      </c>
      <c r="R131" s="1"/>
      <c r="S131" s="1"/>
      <c r="T131" s="1"/>
    </row>
    <row r="132" spans="13:20" ht="15.75" customHeight="1" x14ac:dyDescent="0.25">
      <c r="M132" s="1"/>
      <c r="N132" s="12" t="s">
        <v>437</v>
      </c>
      <c r="O132" s="18" t="s">
        <v>438</v>
      </c>
      <c r="P132" s="18" t="s">
        <v>59</v>
      </c>
      <c r="Q132" s="18" t="s">
        <v>328</v>
      </c>
      <c r="R132" s="1"/>
      <c r="S132" s="1"/>
      <c r="T132" s="1"/>
    </row>
    <row r="133" spans="13:20" ht="15.75" customHeight="1" x14ac:dyDescent="0.25">
      <c r="M133" s="1"/>
      <c r="N133" s="12" t="s">
        <v>439</v>
      </c>
      <c r="O133" s="18" t="s">
        <v>440</v>
      </c>
      <c r="P133" s="18" t="s">
        <v>59</v>
      </c>
      <c r="Q133" s="18" t="s">
        <v>328</v>
      </c>
      <c r="R133" s="1"/>
      <c r="S133" s="1"/>
      <c r="T133" s="1"/>
    </row>
    <row r="134" spans="13:20" ht="15.75" customHeight="1" x14ac:dyDescent="0.25">
      <c r="M134" s="1"/>
      <c r="N134" s="12" t="s">
        <v>441</v>
      </c>
      <c r="O134" s="18" t="s">
        <v>442</v>
      </c>
      <c r="P134" s="18" t="s">
        <v>59</v>
      </c>
      <c r="Q134" s="18" t="s">
        <v>328</v>
      </c>
      <c r="R134" s="1"/>
      <c r="S134" s="1"/>
      <c r="T134" s="1"/>
    </row>
    <row r="135" spans="13:20" ht="15.75" customHeight="1" x14ac:dyDescent="0.25">
      <c r="M135" s="1"/>
      <c r="N135" s="12" t="str">
        <f t="array" ref="N135:N141">+"FTE-FUEL-GAS-"&amp;B4:B10</f>
        <v>FTE-FUEL-GAS-CAM1</v>
      </c>
      <c r="O135" s="18" t="s">
        <v>443</v>
      </c>
      <c r="P135" s="18" t="s">
        <v>59</v>
      </c>
      <c r="Q135" s="18" t="s">
        <v>328</v>
      </c>
      <c r="R135" s="1"/>
      <c r="S135" s="1"/>
      <c r="T135" s="1"/>
    </row>
    <row r="136" spans="13:20" ht="15.75" customHeight="1" x14ac:dyDescent="0.25">
      <c r="M136" s="1"/>
      <c r="N136" s="12" t="str">
        <v>FTE-FUEL-GAS-CAM2</v>
      </c>
      <c r="O136" s="18" t="s">
        <v>444</v>
      </c>
      <c r="P136" s="18" t="s">
        <v>59</v>
      </c>
      <c r="Q136" s="18" t="s">
        <v>328</v>
      </c>
      <c r="R136" s="1"/>
      <c r="S136" s="1"/>
      <c r="T136" s="1"/>
    </row>
    <row r="137" spans="13:20" ht="15.75" customHeight="1" x14ac:dyDescent="0.25">
      <c r="M137" s="1"/>
      <c r="N137" s="12" t="str">
        <v>FTE-FUEL-GAS-CAM3</v>
      </c>
      <c r="O137" s="18" t="s">
        <v>445</v>
      </c>
      <c r="P137" s="18" t="s">
        <v>59</v>
      </c>
      <c r="Q137" s="18" t="s">
        <v>328</v>
      </c>
      <c r="S137" s="1"/>
      <c r="T137" s="1"/>
    </row>
    <row r="138" spans="13:20" ht="15.75" customHeight="1" x14ac:dyDescent="0.25">
      <c r="M138" s="1"/>
      <c r="N138" s="12" t="str">
        <v>FTE-FUEL-GAS-CAM4</v>
      </c>
      <c r="O138" s="18" t="s">
        <v>446</v>
      </c>
      <c r="P138" s="18" t="s">
        <v>59</v>
      </c>
      <c r="Q138" s="18" t="s">
        <v>328</v>
      </c>
      <c r="S138" s="1"/>
      <c r="T138" s="1"/>
    </row>
    <row r="139" spans="13:20" ht="15.75" customHeight="1" x14ac:dyDescent="0.25">
      <c r="M139" s="1"/>
      <c r="N139" s="12" t="str">
        <v>FTE-FUEL-GAS-CAM5</v>
      </c>
      <c r="O139" s="18" t="s">
        <v>447</v>
      </c>
      <c r="P139" s="18" t="s">
        <v>59</v>
      </c>
      <c r="Q139" s="18" t="s">
        <v>328</v>
      </c>
      <c r="T139" s="1"/>
    </row>
    <row r="140" spans="13:20" ht="15.75" customHeight="1" x14ac:dyDescent="0.25">
      <c r="M140" s="1"/>
      <c r="N140" s="12" t="str">
        <v>FTE-FUEL-GAS-CAM6</v>
      </c>
      <c r="O140" s="18" t="s">
        <v>448</v>
      </c>
      <c r="P140" s="18" t="s">
        <v>59</v>
      </c>
      <c r="Q140" s="18" t="s">
        <v>328</v>
      </c>
      <c r="T140" s="1"/>
    </row>
    <row r="141" spans="13:20" ht="15.75" customHeight="1" x14ac:dyDescent="0.25">
      <c r="N141" s="12" t="str">
        <v>FTE-FUEL-GAS-CAM7</v>
      </c>
      <c r="O141" s="18" t="s">
        <v>449</v>
      </c>
      <c r="P141" s="18" t="s">
        <v>59</v>
      </c>
      <c r="Q141" s="18" t="s">
        <v>328</v>
      </c>
    </row>
    <row r="142" spans="13:20" ht="15.75" customHeight="1" x14ac:dyDescent="0.25">
      <c r="N142" s="12" t="str">
        <f t="array" ref="N142:N148">+"FTE-FUEL-DSL-"&amp;$B$4:$B$10</f>
        <v>FTE-FUEL-DSL-CAM1</v>
      </c>
      <c r="O142" s="18" t="s">
        <v>450</v>
      </c>
      <c r="P142" s="18" t="s">
        <v>59</v>
      </c>
      <c r="Q142" s="18" t="s">
        <v>328</v>
      </c>
    </row>
    <row r="143" spans="13:20" ht="15.75" customHeight="1" x14ac:dyDescent="0.25">
      <c r="N143" s="12" t="str">
        <v>FTE-FUEL-DSL-CAM2</v>
      </c>
      <c r="O143" s="18" t="s">
        <v>451</v>
      </c>
      <c r="P143" s="18" t="s">
        <v>59</v>
      </c>
      <c r="Q143" s="18" t="s">
        <v>328</v>
      </c>
    </row>
    <row r="144" spans="13:20" ht="15.75" customHeight="1" x14ac:dyDescent="0.25">
      <c r="N144" s="12" t="str">
        <v>FTE-FUEL-DSL-CAM3</v>
      </c>
      <c r="O144" s="18" t="s">
        <v>452</v>
      </c>
      <c r="P144" s="18" t="s">
        <v>59</v>
      </c>
      <c r="Q144" s="18" t="s">
        <v>328</v>
      </c>
    </row>
    <row r="145" spans="14:17" ht="15.75" customHeight="1" x14ac:dyDescent="0.25">
      <c r="N145" s="12" t="str">
        <v>FTE-FUEL-DSL-CAM4</v>
      </c>
      <c r="O145" s="18" t="s">
        <v>453</v>
      </c>
      <c r="P145" s="18" t="s">
        <v>59</v>
      </c>
      <c r="Q145" s="18" t="s">
        <v>328</v>
      </c>
    </row>
    <row r="146" spans="14:17" ht="15.75" customHeight="1" x14ac:dyDescent="0.25">
      <c r="N146" s="12" t="str">
        <v>FTE-FUEL-DSL-CAM5</v>
      </c>
      <c r="O146" s="18" t="s">
        <v>454</v>
      </c>
      <c r="P146" s="18" t="s">
        <v>59</v>
      </c>
      <c r="Q146" s="18" t="s">
        <v>328</v>
      </c>
    </row>
    <row r="147" spans="14:17" ht="15.75" customHeight="1" x14ac:dyDescent="0.25">
      <c r="N147" s="12" t="str">
        <v>FTE-FUEL-DSL-CAM6</v>
      </c>
      <c r="O147" s="18" t="s">
        <v>455</v>
      </c>
      <c r="P147" s="18" t="s">
        <v>59</v>
      </c>
      <c r="Q147" s="18" t="s">
        <v>328</v>
      </c>
    </row>
    <row r="148" spans="14:17" ht="15.75" customHeight="1" x14ac:dyDescent="0.25">
      <c r="N148" s="12" t="str">
        <v>FTE-FUEL-DSL-CAM7</v>
      </c>
      <c r="O148" s="18" t="s">
        <v>456</v>
      </c>
      <c r="P148" s="18" t="s">
        <v>59</v>
      </c>
      <c r="Q148" s="18" t="s">
        <v>328</v>
      </c>
    </row>
    <row r="149" spans="14:17" ht="15.75" customHeight="1" x14ac:dyDescent="0.25">
      <c r="N149" s="12" t="str">
        <f t="array" ref="N149:N155">+"FTE-FUEL-OIL-"&amp;$B$4:$B$10</f>
        <v>FTE-FUEL-OIL-CAM1</v>
      </c>
      <c r="O149" s="18" t="s">
        <v>457</v>
      </c>
      <c r="P149" s="18" t="s">
        <v>59</v>
      </c>
      <c r="Q149" s="18" t="s">
        <v>328</v>
      </c>
    </row>
    <row r="150" spans="14:17" ht="15.75" customHeight="1" x14ac:dyDescent="0.25">
      <c r="N150" s="12" t="str">
        <v>FTE-FUEL-OIL-CAM2</v>
      </c>
      <c r="O150" s="18" t="s">
        <v>458</v>
      </c>
      <c r="P150" s="18" t="s">
        <v>59</v>
      </c>
      <c r="Q150" s="18" t="s">
        <v>328</v>
      </c>
    </row>
    <row r="151" spans="14:17" ht="15.75" customHeight="1" x14ac:dyDescent="0.25">
      <c r="N151" s="12" t="str">
        <v>FTE-FUEL-OIL-CAM3</v>
      </c>
      <c r="O151" s="18" t="s">
        <v>459</v>
      </c>
      <c r="P151" s="18" t="s">
        <v>59</v>
      </c>
      <c r="Q151" s="18" t="s">
        <v>328</v>
      </c>
    </row>
    <row r="152" spans="14:17" ht="15.75" customHeight="1" x14ac:dyDescent="0.25">
      <c r="N152" s="1" t="str">
        <v>FTE-FUEL-OIL-CAM4</v>
      </c>
      <c r="O152" s="18" t="s">
        <v>460</v>
      </c>
      <c r="P152" s="18" t="s">
        <v>59</v>
      </c>
      <c r="Q152" s="18" t="s">
        <v>328</v>
      </c>
    </row>
    <row r="153" spans="14:17" ht="15.75" customHeight="1" x14ac:dyDescent="0.25">
      <c r="N153" s="1" t="str">
        <v>FTE-FUEL-OIL-CAM5</v>
      </c>
      <c r="O153" s="18" t="s">
        <v>461</v>
      </c>
      <c r="P153" s="18" t="s">
        <v>59</v>
      </c>
      <c r="Q153" s="18" t="s">
        <v>328</v>
      </c>
    </row>
    <row r="154" spans="14:17" ht="15.75" customHeight="1" x14ac:dyDescent="0.25">
      <c r="N154" s="1" t="str">
        <v>FTE-FUEL-OIL-CAM6</v>
      </c>
      <c r="O154" s="18" t="s">
        <v>462</v>
      </c>
      <c r="P154" s="18" t="s">
        <v>59</v>
      </c>
      <c r="Q154" s="18" t="s">
        <v>328</v>
      </c>
    </row>
    <row r="155" spans="14:17" ht="15.75" customHeight="1" x14ac:dyDescent="0.25">
      <c r="N155" s="1" t="str">
        <v>FTE-FUEL-OIL-CAM7</v>
      </c>
      <c r="O155" s="18" t="s">
        <v>463</v>
      </c>
      <c r="P155" s="18" t="s">
        <v>59</v>
      </c>
      <c r="Q155" s="18" t="s">
        <v>328</v>
      </c>
    </row>
    <row r="156" spans="14:17" ht="15.75" customHeight="1" x14ac:dyDescent="0.25">
      <c r="N156" s="12" t="s">
        <v>464</v>
      </c>
      <c r="O156" s="18" t="s">
        <v>465</v>
      </c>
      <c r="P156" s="18" t="s">
        <v>59</v>
      </c>
      <c r="Q156" s="18" t="s">
        <v>328</v>
      </c>
    </row>
    <row r="157" spans="14:17" ht="15.75" customHeight="1" x14ac:dyDescent="0.25">
      <c r="N157" s="19" t="s">
        <v>466</v>
      </c>
      <c r="O157" s="18" t="s">
        <v>467</v>
      </c>
      <c r="P157" s="18" t="s">
        <v>59</v>
      </c>
      <c r="Q157" s="18" t="s">
        <v>328</v>
      </c>
    </row>
    <row r="158" spans="14:17" ht="15.75" customHeight="1" x14ac:dyDescent="0.25">
      <c r="N158" s="19" t="s">
        <v>468</v>
      </c>
      <c r="O158" s="18" t="s">
        <v>469</v>
      </c>
      <c r="P158" s="18" t="s">
        <v>59</v>
      </c>
      <c r="Q158" s="18" t="s">
        <v>328</v>
      </c>
    </row>
    <row r="159" spans="14:17" ht="15.75" customHeight="1" x14ac:dyDescent="0.25">
      <c r="N159" s="19" t="s">
        <v>470</v>
      </c>
      <c r="O159" s="18" t="s">
        <v>471</v>
      </c>
      <c r="P159" s="18" t="s">
        <v>59</v>
      </c>
      <c r="Q159" s="18" t="s">
        <v>328</v>
      </c>
    </row>
    <row r="160" spans="14:17" ht="15.75" customHeight="1" x14ac:dyDescent="0.25">
      <c r="N160" s="19" t="s">
        <v>472</v>
      </c>
      <c r="O160" s="18" t="s">
        <v>473</v>
      </c>
      <c r="P160" s="18" t="s">
        <v>59</v>
      </c>
      <c r="Q160" s="18" t="s">
        <v>328</v>
      </c>
    </row>
    <row r="161" spans="14:17" ht="15.75" customHeight="1" x14ac:dyDescent="0.25">
      <c r="N161" s="19" t="s">
        <v>474</v>
      </c>
      <c r="O161" s="18" t="s">
        <v>475</v>
      </c>
      <c r="P161" s="18" t="s">
        <v>59</v>
      </c>
      <c r="Q161" s="18" t="s">
        <v>328</v>
      </c>
    </row>
    <row r="162" spans="14:17" ht="15.75" customHeight="1" x14ac:dyDescent="0.25">
      <c r="N162" s="19" t="s">
        <v>476</v>
      </c>
      <c r="O162" s="18" t="s">
        <v>477</v>
      </c>
      <c r="P162" s="18" t="s">
        <v>59</v>
      </c>
      <c r="Q162" s="18" t="s">
        <v>328</v>
      </c>
    </row>
    <row r="163" spans="14:17" ht="15.75" customHeight="1" x14ac:dyDescent="0.25">
      <c r="N163" s="19" t="s">
        <v>478</v>
      </c>
      <c r="O163" s="18" t="s">
        <v>479</v>
      </c>
      <c r="P163" s="18" t="s">
        <v>59</v>
      </c>
      <c r="Q163" s="18" t="s">
        <v>328</v>
      </c>
    </row>
    <row r="164" spans="14:17" ht="15.75" customHeight="1" x14ac:dyDescent="0.25">
      <c r="N164" s="19" t="s">
        <v>480</v>
      </c>
      <c r="O164" s="18" t="s">
        <v>481</v>
      </c>
      <c r="P164" s="18" t="s">
        <v>59</v>
      </c>
      <c r="Q164" s="18" t="s">
        <v>328</v>
      </c>
    </row>
    <row r="165" spans="14:17" ht="15.75" customHeight="1" x14ac:dyDescent="0.25">
      <c r="N165" s="19" t="s">
        <v>482</v>
      </c>
      <c r="O165" s="18" t="s">
        <v>483</v>
      </c>
      <c r="P165" s="18" t="s">
        <v>59</v>
      </c>
      <c r="Q165" s="18" t="s">
        <v>328</v>
      </c>
    </row>
    <row r="166" spans="14:17" ht="15.75" customHeight="1" x14ac:dyDescent="0.25">
      <c r="N166" s="19" t="s">
        <v>484</v>
      </c>
      <c r="O166" s="18" t="s">
        <v>485</v>
      </c>
      <c r="P166" s="18" t="s">
        <v>59</v>
      </c>
      <c r="Q166" s="18" t="s">
        <v>328</v>
      </c>
    </row>
    <row r="167" spans="14:17" ht="15.75" customHeight="1" x14ac:dyDescent="0.25">
      <c r="N167" s="19" t="s">
        <v>486</v>
      </c>
      <c r="O167" s="18" t="s">
        <v>487</v>
      </c>
      <c r="P167" s="18" t="s">
        <v>59</v>
      </c>
      <c r="Q167" s="18" t="s">
        <v>328</v>
      </c>
    </row>
    <row r="168" spans="14:17" ht="15.75" customHeight="1" x14ac:dyDescent="0.25">
      <c r="N168" s="19" t="s">
        <v>488</v>
      </c>
      <c r="O168" s="18" t="s">
        <v>489</v>
      </c>
      <c r="P168" s="18" t="s">
        <v>59</v>
      </c>
      <c r="Q168" s="18" t="s">
        <v>328</v>
      </c>
    </row>
    <row r="169" spans="14:17" ht="15.75" customHeight="1" x14ac:dyDescent="0.25">
      <c r="N169" s="19" t="s">
        <v>490</v>
      </c>
      <c r="O169" s="18" t="s">
        <v>491</v>
      </c>
      <c r="P169" s="18" t="s">
        <v>59</v>
      </c>
      <c r="Q169" s="18" t="s">
        <v>328</v>
      </c>
    </row>
    <row r="170" spans="14:17" ht="15.75" customHeight="1" x14ac:dyDescent="0.25">
      <c r="N170" s="19" t="s">
        <v>492</v>
      </c>
      <c r="O170" s="18" t="s">
        <v>493</v>
      </c>
      <c r="P170" s="18" t="s">
        <v>59</v>
      </c>
      <c r="Q170" s="18" t="s">
        <v>328</v>
      </c>
    </row>
    <row r="171" spans="14:17" ht="15.75" customHeight="1" x14ac:dyDescent="0.25">
      <c r="N171" s="19" t="s">
        <v>494</v>
      </c>
      <c r="O171" s="18" t="s">
        <v>495</v>
      </c>
      <c r="P171" s="18" t="s">
        <v>59</v>
      </c>
      <c r="Q171" s="18" t="s">
        <v>328</v>
      </c>
    </row>
    <row r="172" spans="14:17" ht="15.75" customHeight="1" x14ac:dyDescent="0.25">
      <c r="N172" s="19" t="s">
        <v>496</v>
      </c>
      <c r="O172" s="18" t="s">
        <v>497</v>
      </c>
      <c r="P172" s="18" t="s">
        <v>59</v>
      </c>
      <c r="Q172" s="18" t="s">
        <v>328</v>
      </c>
    </row>
    <row r="173" spans="14:17" ht="15.75" customHeight="1" x14ac:dyDescent="0.25">
      <c r="N173" s="19" t="s">
        <v>498</v>
      </c>
      <c r="O173" s="18" t="s">
        <v>499</v>
      </c>
      <c r="P173" s="18" t="s">
        <v>59</v>
      </c>
      <c r="Q173" s="18" t="s">
        <v>328</v>
      </c>
    </row>
    <row r="174" spans="14:17" ht="15.75" customHeight="1" x14ac:dyDescent="0.25">
      <c r="N174" s="19" t="s">
        <v>500</v>
      </c>
      <c r="O174" s="18" t="s">
        <v>501</v>
      </c>
      <c r="P174" s="18" t="s">
        <v>59</v>
      </c>
      <c r="Q174" s="18" t="s">
        <v>328</v>
      </c>
    </row>
    <row r="175" spans="14:17" ht="15.75" customHeight="1" x14ac:dyDescent="0.25">
      <c r="N175" s="19" t="s">
        <v>502</v>
      </c>
      <c r="O175" s="18" t="s">
        <v>503</v>
      </c>
      <c r="P175" s="18" t="s">
        <v>59</v>
      </c>
      <c r="Q175" s="18" t="s">
        <v>328</v>
      </c>
    </row>
    <row r="176" spans="14:17" ht="15.75" customHeight="1" x14ac:dyDescent="0.25">
      <c r="N176" s="12" t="s">
        <v>504</v>
      </c>
      <c r="O176" s="18" t="s">
        <v>505</v>
      </c>
      <c r="P176" s="18" t="s">
        <v>59</v>
      </c>
      <c r="Q176" s="18" t="s">
        <v>328</v>
      </c>
    </row>
    <row r="177" spans="14:17" ht="15.75" customHeight="1" x14ac:dyDescent="0.25">
      <c r="N177" s="12" t="s">
        <v>506</v>
      </c>
      <c r="O177" s="18" t="s">
        <v>507</v>
      </c>
      <c r="P177" s="18" t="s">
        <v>59</v>
      </c>
      <c r="Q177" s="18" t="s">
        <v>328</v>
      </c>
    </row>
    <row r="178" spans="14:17" ht="15.75" customHeight="1" x14ac:dyDescent="0.25">
      <c r="N178" s="12" t="s">
        <v>508</v>
      </c>
      <c r="O178" s="18" t="s">
        <v>509</v>
      </c>
      <c r="P178" s="18" t="s">
        <v>59</v>
      </c>
      <c r="Q178" s="18" t="s">
        <v>328</v>
      </c>
    </row>
    <row r="179" spans="14:17" ht="15.75" customHeight="1" x14ac:dyDescent="0.25">
      <c r="N179" s="12" t="s">
        <v>510</v>
      </c>
      <c r="O179" s="18" t="s">
        <v>511</v>
      </c>
      <c r="P179" s="18" t="s">
        <v>59</v>
      </c>
      <c r="Q179" s="18" t="s">
        <v>328</v>
      </c>
    </row>
    <row r="180" spans="14:17" ht="15.75" customHeight="1" x14ac:dyDescent="0.25">
      <c r="N180" s="12" t="s">
        <v>512</v>
      </c>
      <c r="O180" s="18" t="s">
        <v>513</v>
      </c>
      <c r="P180" s="18" t="s">
        <v>59</v>
      </c>
      <c r="Q180" s="18" t="s">
        <v>328</v>
      </c>
    </row>
    <row r="181" spans="14:17" ht="15.75" customHeight="1" x14ac:dyDescent="0.25">
      <c r="N181" s="12" t="s">
        <v>514</v>
      </c>
      <c r="O181" s="18" t="s">
        <v>515</v>
      </c>
      <c r="P181" s="18" t="s">
        <v>59</v>
      </c>
      <c r="Q181" s="18" t="s">
        <v>328</v>
      </c>
    </row>
    <row r="182" spans="14:17" ht="15.75" customHeight="1" x14ac:dyDescent="0.25">
      <c r="N182" s="12" t="s">
        <v>516</v>
      </c>
      <c r="O182" s="18" t="s">
        <v>517</v>
      </c>
      <c r="P182" s="18" t="s">
        <v>59</v>
      </c>
      <c r="Q182" s="18" t="s">
        <v>328</v>
      </c>
    </row>
    <row r="183" spans="14:17" ht="15.75" customHeight="1" x14ac:dyDescent="0.25">
      <c r="N183" s="12" t="s">
        <v>518</v>
      </c>
      <c r="O183" s="18" t="s">
        <v>519</v>
      </c>
      <c r="P183" s="18" t="s">
        <v>59</v>
      </c>
      <c r="Q183" s="18" t="s">
        <v>328</v>
      </c>
    </row>
    <row r="184" spans="14:17" ht="15.75" customHeight="1" x14ac:dyDescent="0.25">
      <c r="N184" s="12" t="s">
        <v>520</v>
      </c>
      <c r="O184" s="18" t="s">
        <v>521</v>
      </c>
      <c r="P184" s="18" t="s">
        <v>59</v>
      </c>
      <c r="Q184" s="18" t="s">
        <v>328</v>
      </c>
    </row>
    <row r="185" spans="14:17" ht="15.75" customHeight="1" x14ac:dyDescent="0.25">
      <c r="N185" s="12" t="s">
        <v>522</v>
      </c>
      <c r="O185" s="18" t="s">
        <v>523</v>
      </c>
      <c r="P185" s="18" t="s">
        <v>59</v>
      </c>
      <c r="Q185" s="18" t="s">
        <v>328</v>
      </c>
    </row>
    <row r="186" spans="14:17" ht="15.75" customHeight="1" x14ac:dyDescent="0.25">
      <c r="N186" s="12" t="s">
        <v>524</v>
      </c>
      <c r="O186" s="18" t="s">
        <v>525</v>
      </c>
      <c r="P186" s="18" t="s">
        <v>59</v>
      </c>
      <c r="Q186" s="18" t="s">
        <v>328</v>
      </c>
    </row>
    <row r="187" spans="14:17" ht="15.75" customHeight="1" x14ac:dyDescent="0.25">
      <c r="N187" s="12" t="s">
        <v>526</v>
      </c>
      <c r="O187" s="18" t="s">
        <v>527</v>
      </c>
      <c r="P187" s="18" t="s">
        <v>59</v>
      </c>
      <c r="Q187" s="18" t="s">
        <v>328</v>
      </c>
    </row>
    <row r="188" spans="14:17" ht="15.75" customHeight="1" x14ac:dyDescent="0.25">
      <c r="N188" s="12" t="s">
        <v>528</v>
      </c>
      <c r="O188" s="18" t="s">
        <v>529</v>
      </c>
      <c r="P188" s="18" t="s">
        <v>59</v>
      </c>
      <c r="Q188" s="18" t="s">
        <v>328</v>
      </c>
    </row>
    <row r="189" spans="14:17" ht="15.75" customHeight="1" x14ac:dyDescent="0.25">
      <c r="N189" s="12" t="s">
        <v>530</v>
      </c>
      <c r="O189" s="18" t="s">
        <v>531</v>
      </c>
      <c r="P189" s="18" t="s">
        <v>59</v>
      </c>
      <c r="Q189" s="18" t="s">
        <v>328</v>
      </c>
    </row>
    <row r="190" spans="14:17" ht="15.75" customHeight="1" x14ac:dyDescent="0.25">
      <c r="N190" s="12" t="s">
        <v>532</v>
      </c>
      <c r="O190" s="18" t="s">
        <v>533</v>
      </c>
      <c r="P190" s="18" t="s">
        <v>59</v>
      </c>
      <c r="Q190" s="18" t="s">
        <v>328</v>
      </c>
    </row>
    <row r="191" spans="14:17" ht="15.75" customHeight="1" x14ac:dyDescent="0.25">
      <c r="N191" s="12" t="s">
        <v>534</v>
      </c>
      <c r="O191" s="18" t="s">
        <v>535</v>
      </c>
      <c r="P191" s="18" t="s">
        <v>59</v>
      </c>
      <c r="Q191" s="18" t="s">
        <v>328</v>
      </c>
    </row>
    <row r="192" spans="14:17" ht="15.75" customHeight="1" x14ac:dyDescent="0.25">
      <c r="N192" s="12" t="s">
        <v>536</v>
      </c>
      <c r="O192" s="18" t="s">
        <v>537</v>
      </c>
      <c r="P192" s="18" t="s">
        <v>59</v>
      </c>
      <c r="Q192" s="18" t="s">
        <v>328</v>
      </c>
    </row>
    <row r="193" spans="14:17" ht="15.75" customHeight="1" x14ac:dyDescent="0.25">
      <c r="N193" s="12" t="s">
        <v>538</v>
      </c>
      <c r="O193" s="18" t="s">
        <v>539</v>
      </c>
      <c r="P193" s="18" t="s">
        <v>59</v>
      </c>
      <c r="Q193" s="18" t="s">
        <v>328</v>
      </c>
    </row>
    <row r="194" spans="14:17" ht="15.75" customHeight="1" x14ac:dyDescent="0.25">
      <c r="N194" s="12" t="s">
        <v>540</v>
      </c>
      <c r="O194" s="18" t="s">
        <v>541</v>
      </c>
      <c r="P194" s="18" t="s">
        <v>59</v>
      </c>
      <c r="Q194" s="18" t="s">
        <v>328</v>
      </c>
    </row>
    <row r="195" spans="14:17" ht="15.75" customHeight="1" x14ac:dyDescent="0.25">
      <c r="N195" s="12" t="s">
        <v>542</v>
      </c>
      <c r="O195" s="18" t="s">
        <v>543</v>
      </c>
      <c r="P195" s="18" t="s">
        <v>59</v>
      </c>
      <c r="Q195" s="18" t="s">
        <v>328</v>
      </c>
    </row>
    <row r="196" spans="14:17" ht="15.75" customHeight="1" x14ac:dyDescent="0.25">
      <c r="N196" s="12" t="s">
        <v>544</v>
      </c>
      <c r="O196" s="18" t="s">
        <v>545</v>
      </c>
      <c r="P196" s="18" t="s">
        <v>59</v>
      </c>
      <c r="Q196" s="18" t="s">
        <v>328</v>
      </c>
    </row>
    <row r="197" spans="14:17" ht="15.75" customHeight="1" x14ac:dyDescent="0.25">
      <c r="N197" s="12" t="s">
        <v>546</v>
      </c>
      <c r="O197" s="18" t="s">
        <v>547</v>
      </c>
      <c r="P197" s="18" t="s">
        <v>59</v>
      </c>
      <c r="Q197" s="18" t="s">
        <v>328</v>
      </c>
    </row>
    <row r="198" spans="14:17" ht="15.75" customHeight="1" x14ac:dyDescent="0.25">
      <c r="N198" s="12" t="s">
        <v>548</v>
      </c>
      <c r="O198" s="18" t="s">
        <v>549</v>
      </c>
      <c r="P198" s="18" t="s">
        <v>59</v>
      </c>
      <c r="Q198" s="18" t="s">
        <v>328</v>
      </c>
    </row>
    <row r="199" spans="14:17" ht="15.75" customHeight="1" x14ac:dyDescent="0.25">
      <c r="N199" s="12" t="s">
        <v>550</v>
      </c>
      <c r="O199" s="18" t="s">
        <v>551</v>
      </c>
      <c r="P199" s="18" t="s">
        <v>59</v>
      </c>
      <c r="Q199" s="18" t="s">
        <v>328</v>
      </c>
    </row>
    <row r="200" spans="14:17" ht="15.75" customHeight="1" x14ac:dyDescent="0.25"/>
    <row r="201" spans="14:17" ht="15.75" customHeight="1" x14ac:dyDescent="0.25"/>
    <row r="202" spans="14:17" ht="15.75" customHeight="1" x14ac:dyDescent="0.25"/>
    <row r="203" spans="14:17" ht="15.75" customHeight="1" x14ac:dyDescent="0.25"/>
    <row r="204" spans="14:17" ht="15.75" customHeight="1" x14ac:dyDescent="0.25"/>
    <row r="205" spans="14:17" ht="15.75" customHeight="1" x14ac:dyDescent="0.25"/>
    <row r="206" spans="14:17" ht="15.75" customHeight="1" x14ac:dyDescent="0.25"/>
    <row r="207" spans="14:17" ht="15.75" customHeight="1" x14ac:dyDescent="0.25"/>
    <row r="208" spans="14:1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zoomScale="115" zoomScaleNormal="115" workbookViewId="0">
      <selection activeCell="F25" sqref="F25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0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19" t="s">
        <v>552</v>
      </c>
      <c r="G2" s="920"/>
      <c r="H2" s="20"/>
      <c r="I2" s="20"/>
      <c r="J2" s="21"/>
      <c r="K2" s="21"/>
      <c r="L2" s="21"/>
      <c r="M2" s="21"/>
      <c r="N2" s="22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553</v>
      </c>
      <c r="G3" s="25" t="s">
        <v>554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555</v>
      </c>
      <c r="G4" s="27" t="s">
        <v>556</v>
      </c>
      <c r="H4" s="20"/>
      <c r="I4" s="20"/>
      <c r="J4" s="21"/>
      <c r="K4" s="21"/>
      <c r="L4" s="21"/>
      <c r="M4" s="21"/>
      <c r="N4" s="2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557</v>
      </c>
      <c r="C5" s="29" t="s">
        <v>558</v>
      </c>
      <c r="D5" s="29" t="s">
        <v>559</v>
      </c>
      <c r="E5" s="30" t="s">
        <v>560</v>
      </c>
      <c r="F5" s="26" t="s">
        <v>561</v>
      </c>
      <c r="G5" s="27" t="s">
        <v>562</v>
      </c>
      <c r="H5" s="20"/>
      <c r="I5" s="20"/>
      <c r="J5" s="21"/>
      <c r="K5" s="21"/>
      <c r="L5" s="21"/>
      <c r="M5" s="21"/>
      <c r="N5" s="22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563</v>
      </c>
      <c r="C6" s="32" t="s">
        <v>564</v>
      </c>
      <c r="D6" s="33" t="s">
        <v>565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566</v>
      </c>
      <c r="C7" s="38" t="s">
        <v>567</v>
      </c>
      <c r="D7" s="921" t="s">
        <v>568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569</v>
      </c>
      <c r="C8" s="44" t="s">
        <v>570</v>
      </c>
      <c r="D8" s="922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571</v>
      </c>
      <c r="C9" s="48" t="s">
        <v>570</v>
      </c>
      <c r="D9" s="923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572</v>
      </c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573</v>
      </c>
      <c r="C10" s="38" t="s">
        <v>574</v>
      </c>
      <c r="D10" s="39" t="s">
        <v>575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572</v>
      </c>
      <c r="L10" s="21"/>
      <c r="M10" s="21"/>
      <c r="N10" s="22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x14ac:dyDescent="0.25">
      <c r="A11" s="20"/>
      <c r="B11" s="43" t="s">
        <v>576</v>
      </c>
      <c r="C11" s="44" t="s">
        <v>577</v>
      </c>
      <c r="D11" s="52" t="s">
        <v>578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579</v>
      </c>
      <c r="D12" s="52" t="s">
        <v>580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581</v>
      </c>
      <c r="C13" s="44" t="s">
        <v>582</v>
      </c>
      <c r="D13" s="55" t="s">
        <v>583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584</v>
      </c>
      <c r="AL13" s="21">
        <v>450000</v>
      </c>
      <c r="AM13" s="21" t="s">
        <v>585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586</v>
      </c>
      <c r="C14" s="48" t="s">
        <v>587</v>
      </c>
      <c r="D14" s="56" t="s">
        <v>588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589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590</v>
      </c>
      <c r="D15" s="39" t="s">
        <v>591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592</v>
      </c>
      <c r="D16" s="56" t="s">
        <v>593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594</v>
      </c>
      <c r="C17" s="60" t="s">
        <v>595</v>
      </c>
      <c r="D17" s="61" t="s">
        <v>596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597</v>
      </c>
      <c r="C18" s="65" t="s">
        <v>595</v>
      </c>
      <c r="D18" s="65" t="s">
        <v>596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598</v>
      </c>
      <c r="AL18" s="21">
        <v>5119</v>
      </c>
      <c r="AM18" s="21" t="s">
        <v>599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600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599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0.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599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601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602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603</v>
      </c>
      <c r="AL22" s="21">
        <v>3031</v>
      </c>
      <c r="AM22" s="21" t="s">
        <v>599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599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604</v>
      </c>
      <c r="C24" s="76" t="s">
        <v>605</v>
      </c>
      <c r="D24" s="76" t="s">
        <v>605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606</v>
      </c>
      <c r="D25" s="80" t="s">
        <v>607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608</v>
      </c>
      <c r="AL27" s="82">
        <f>+AN24/AL15</f>
        <v>1.6840258914647084E-2</v>
      </c>
      <c r="AM27" s="21" t="s">
        <v>609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610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611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612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613</v>
      </c>
      <c r="AL30" s="84">
        <f>3400/31</f>
        <v>109.6774193548387</v>
      </c>
      <c r="AM30" s="21" t="s">
        <v>614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601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615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599</v>
      </c>
    </row>
    <row r="32" spans="1:45" ht="12.75" customHeight="1" x14ac:dyDescent="0.25">
      <c r="A32" s="20"/>
      <c r="B32" s="73" t="s">
        <v>602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616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617</v>
      </c>
      <c r="AL34" s="88">
        <f>825/31</f>
        <v>26.612903225806452</v>
      </c>
      <c r="AM34" s="21" t="s">
        <v>614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615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24" t="s">
        <v>552</v>
      </c>
      <c r="F41" s="923"/>
      <c r="G41" s="924" t="s">
        <v>618</v>
      </c>
      <c r="H41" s="925"/>
      <c r="I41" s="925"/>
      <c r="J41" s="925"/>
      <c r="K41" s="925"/>
      <c r="L41" s="925"/>
      <c r="M41" s="925"/>
      <c r="N41" s="923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553</v>
      </c>
      <c r="F42" s="95" t="s">
        <v>554</v>
      </c>
      <c r="G42" s="96"/>
      <c r="H42" s="20"/>
      <c r="I42" s="20"/>
      <c r="J42" s="21"/>
      <c r="K42" s="926" t="s">
        <v>619</v>
      </c>
      <c r="L42" s="908"/>
      <c r="M42" s="908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555</v>
      </c>
      <c r="F43" s="27" t="s">
        <v>556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557</v>
      </c>
      <c r="C44" s="99" t="s">
        <v>620</v>
      </c>
      <c r="D44" s="13"/>
      <c r="E44" s="94" t="s">
        <v>561</v>
      </c>
      <c r="F44" s="27" t="s">
        <v>562</v>
      </c>
      <c r="G44" s="94" t="s">
        <v>561</v>
      </c>
      <c r="H44" s="20"/>
      <c r="I44" s="20" t="s">
        <v>621</v>
      </c>
      <c r="J44" s="100" t="s">
        <v>622</v>
      </c>
      <c r="K44" s="97" t="s">
        <v>623</v>
      </c>
      <c r="L44" s="97" t="s">
        <v>624</v>
      </c>
      <c r="M44" s="97" t="s">
        <v>625</v>
      </c>
      <c r="N44" s="101" t="s">
        <v>626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563</v>
      </c>
      <c r="C45" s="103" t="s">
        <v>627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628</v>
      </c>
      <c r="I45" s="108">
        <f>47.6420911660953*1000</f>
        <v>47642.091166095299</v>
      </c>
      <c r="J45" s="109" t="s">
        <v>629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566</v>
      </c>
      <c r="C46" s="112" t="s">
        <v>630</v>
      </c>
      <c r="D46" s="40" t="s">
        <v>13</v>
      </c>
      <c r="E46" s="927">
        <f>+G114</f>
        <v>6.0871741676095334</v>
      </c>
      <c r="F46" s="930">
        <f>+L114*1000</f>
        <v>77.841777688967127</v>
      </c>
      <c r="G46" s="931">
        <v>6.0871741676095334</v>
      </c>
      <c r="H46" s="932" t="s">
        <v>628</v>
      </c>
      <c r="I46" s="932">
        <v>40670.462586675276</v>
      </c>
      <c r="J46" s="933" t="s">
        <v>631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569</v>
      </c>
      <c r="C47" s="12" t="s">
        <v>630</v>
      </c>
      <c r="D47" s="14" t="s">
        <v>17</v>
      </c>
      <c r="E47" s="928"/>
      <c r="F47" s="922"/>
      <c r="G47" s="928"/>
      <c r="H47" s="908"/>
      <c r="I47" s="908"/>
      <c r="J47" s="922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571</v>
      </c>
      <c r="C48" s="118" t="s">
        <v>630</v>
      </c>
      <c r="D48" s="49" t="s">
        <v>21</v>
      </c>
      <c r="E48" s="929"/>
      <c r="F48" s="923"/>
      <c r="G48" s="929"/>
      <c r="H48" s="925"/>
      <c r="I48" s="925"/>
      <c r="J48" s="923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573</v>
      </c>
      <c r="C49" s="112" t="s">
        <v>632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628</v>
      </c>
      <c r="I49" s="76">
        <v>45329.53267685703</v>
      </c>
      <c r="J49" s="115" t="s">
        <v>633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576</v>
      </c>
      <c r="C50" s="12" t="s">
        <v>634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635</v>
      </c>
      <c r="I50" s="20">
        <v>42418.466233751533</v>
      </c>
      <c r="J50" s="124" t="s">
        <v>636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637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635</v>
      </c>
      <c r="I51" s="20">
        <v>35576.910585045494</v>
      </c>
      <c r="J51" s="124" t="s">
        <v>638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581</v>
      </c>
      <c r="C52" s="12" t="s">
        <v>639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628</v>
      </c>
      <c r="I52" s="20">
        <v>45989.410956446904</v>
      </c>
      <c r="J52" s="124" t="s">
        <v>640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586</v>
      </c>
      <c r="C53" s="12" t="s">
        <v>641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628</v>
      </c>
      <c r="I53" s="20">
        <v>40442.162000000004</v>
      </c>
      <c r="J53" s="124" t="s">
        <v>642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643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628</v>
      </c>
      <c r="I54" s="76">
        <v>22480.19962297516</v>
      </c>
      <c r="J54" s="115" t="s">
        <v>644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645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628</v>
      </c>
      <c r="I55" s="80">
        <v>37907.854789510107</v>
      </c>
      <c r="J55" s="129" t="s">
        <v>646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594</v>
      </c>
      <c r="C56" s="12" t="s">
        <v>647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635</v>
      </c>
      <c r="I56" s="114">
        <v>40659.333347540545</v>
      </c>
      <c r="J56" s="115" t="s">
        <v>648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597</v>
      </c>
      <c r="C57" s="12" t="s">
        <v>647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600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601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602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649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650</v>
      </c>
      <c r="L99" s="21"/>
      <c r="M99" s="21"/>
      <c r="N99" s="22">
        <f>+N98*12000</f>
        <v>298116000</v>
      </c>
      <c r="O99" s="20" t="s">
        <v>651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652</v>
      </c>
      <c r="I100" s="20">
        <f>27934768*1000</f>
        <v>27934768000</v>
      </c>
      <c r="J100" s="21" t="s">
        <v>653</v>
      </c>
      <c r="K100" s="21"/>
      <c r="L100" s="21"/>
      <c r="M100" s="21"/>
      <c r="N100" s="22">
        <f>+N99/(1000000000)</f>
        <v>0.29811599999999999</v>
      </c>
      <c r="O100" s="20" t="s">
        <v>654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651</v>
      </c>
      <c r="K101" s="21"/>
      <c r="L101" s="21"/>
      <c r="M101" s="21"/>
      <c r="N101" s="22">
        <f>+N100*G109/J109</f>
        <v>0.31452907449600004</v>
      </c>
      <c r="O101" s="20" t="s">
        <v>655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656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654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655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657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12" t="s">
        <v>658</v>
      </c>
      <c r="C106" s="910"/>
      <c r="D106" s="910"/>
      <c r="E106" s="910"/>
      <c r="F106" s="910"/>
      <c r="G106" s="910"/>
      <c r="H106" s="910"/>
      <c r="I106" s="910"/>
      <c r="J106" s="910"/>
      <c r="K106" s="910"/>
      <c r="L106" s="911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659</v>
      </c>
      <c r="C107" s="151" t="s">
        <v>557</v>
      </c>
      <c r="D107" s="909" t="s">
        <v>660</v>
      </c>
      <c r="E107" s="910"/>
      <c r="F107" s="910"/>
      <c r="G107" s="910"/>
      <c r="H107" s="910"/>
      <c r="I107" s="910"/>
      <c r="J107" s="911"/>
      <c r="K107" s="152" t="s">
        <v>661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662</v>
      </c>
      <c r="E108" s="155" t="s">
        <v>662</v>
      </c>
      <c r="F108" s="155" t="s">
        <v>663</v>
      </c>
      <c r="G108" s="155" t="s">
        <v>655</v>
      </c>
      <c r="H108" s="155" t="s">
        <v>664</v>
      </c>
      <c r="I108" s="155" t="s">
        <v>665</v>
      </c>
      <c r="J108" s="155" t="s">
        <v>654</v>
      </c>
      <c r="K108" s="155" t="s">
        <v>666</v>
      </c>
      <c r="L108" s="155" t="s">
        <v>667</v>
      </c>
      <c r="M108" s="154"/>
      <c r="N108" s="154"/>
      <c r="O108" s="20"/>
      <c r="P108" s="20"/>
      <c r="Q108" s="20"/>
      <c r="R108" s="20"/>
      <c r="S108" s="20" t="s">
        <v>668</v>
      </c>
      <c r="T108" s="20" t="s">
        <v>669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670</v>
      </c>
      <c r="C109" s="157" t="s">
        <v>671</v>
      </c>
      <c r="D109" s="158" t="s">
        <v>672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673</v>
      </c>
      <c r="N109" s="159" t="s">
        <v>674</v>
      </c>
      <c r="O109" s="140">
        <f>+G109/J109</f>
        <v>1.0550560000000002</v>
      </c>
      <c r="P109" s="20"/>
      <c r="Q109" s="20"/>
      <c r="R109" s="156" t="s">
        <v>670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675</v>
      </c>
      <c r="C110" s="162" t="s">
        <v>676</v>
      </c>
      <c r="D110" s="163" t="s">
        <v>672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673</v>
      </c>
      <c r="N110" s="164" t="s">
        <v>677</v>
      </c>
      <c r="O110" s="20"/>
      <c r="P110" s="20"/>
      <c r="Q110" s="20"/>
      <c r="R110" s="161" t="s">
        <v>675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678</v>
      </c>
      <c r="C111" s="157" t="s">
        <v>679</v>
      </c>
      <c r="D111" s="158" t="s">
        <v>615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673</v>
      </c>
      <c r="N111" s="159" t="s">
        <v>677</v>
      </c>
      <c r="O111" s="20" t="s">
        <v>680</v>
      </c>
      <c r="P111" s="145">
        <f>H111*1000000/H143</f>
        <v>9.9033845712759661</v>
      </c>
      <c r="Q111" s="145"/>
      <c r="R111" s="156" t="s">
        <v>678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681</v>
      </c>
      <c r="C112" s="162" t="s">
        <v>682</v>
      </c>
      <c r="D112" s="163" t="s">
        <v>664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673</v>
      </c>
      <c r="N112" s="164" t="s">
        <v>674</v>
      </c>
      <c r="O112" s="20"/>
      <c r="P112" s="20"/>
      <c r="Q112" s="20"/>
      <c r="R112" s="161" t="s">
        <v>681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683</v>
      </c>
      <c r="C113" s="157" t="s">
        <v>684</v>
      </c>
      <c r="D113" s="158" t="s">
        <v>672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673</v>
      </c>
      <c r="N113" s="159" t="s">
        <v>674</v>
      </c>
      <c r="O113" s="20"/>
      <c r="P113" s="20"/>
      <c r="Q113" s="20"/>
      <c r="R113" s="156" t="s">
        <v>683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685</v>
      </c>
      <c r="C114" s="162" t="s">
        <v>686</v>
      </c>
      <c r="D114" s="163" t="s">
        <v>687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673</v>
      </c>
      <c r="N114" s="164" t="s">
        <v>677</v>
      </c>
      <c r="O114" s="20"/>
      <c r="P114" s="20"/>
      <c r="Q114" s="20"/>
      <c r="R114" s="161" t="s">
        <v>685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688</v>
      </c>
      <c r="C115" s="157" t="s">
        <v>689</v>
      </c>
      <c r="D115" s="158" t="s">
        <v>655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673</v>
      </c>
      <c r="N115" s="159" t="s">
        <v>674</v>
      </c>
      <c r="O115" s="20"/>
      <c r="P115" s="20"/>
      <c r="Q115" s="20"/>
      <c r="R115" s="156" t="s">
        <v>688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690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690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691</v>
      </c>
      <c r="D117" s="163" t="s">
        <v>672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673</v>
      </c>
      <c r="N117" s="164" t="s">
        <v>674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692</v>
      </c>
      <c r="D118" s="158" t="s">
        <v>672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673</v>
      </c>
      <c r="N118" s="159" t="s">
        <v>674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693</v>
      </c>
      <c r="D119" s="163" t="s">
        <v>672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673</v>
      </c>
      <c r="N119" s="164" t="s">
        <v>674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694</v>
      </c>
      <c r="C120" s="157" t="s">
        <v>695</v>
      </c>
      <c r="D120" s="158" t="s">
        <v>664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673</v>
      </c>
      <c r="N120" s="159" t="s">
        <v>674</v>
      </c>
      <c r="O120" s="20"/>
      <c r="P120" s="20"/>
      <c r="Q120" s="20"/>
      <c r="R120" s="156" t="s">
        <v>694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696</v>
      </c>
      <c r="C121" s="162" t="s">
        <v>697</v>
      </c>
      <c r="D121" s="163" t="s">
        <v>698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673</v>
      </c>
      <c r="N121" s="164" t="s">
        <v>674</v>
      </c>
      <c r="O121" s="20"/>
      <c r="P121" s="20"/>
      <c r="Q121" s="20"/>
      <c r="R121" s="161" t="s">
        <v>696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699</v>
      </c>
      <c r="C122" s="157" t="s">
        <v>700</v>
      </c>
      <c r="D122" s="158" t="s">
        <v>698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673</v>
      </c>
      <c r="N122" s="159" t="s">
        <v>674</v>
      </c>
      <c r="O122" s="20"/>
      <c r="P122" s="20"/>
      <c r="Q122" s="20"/>
      <c r="R122" s="156" t="s">
        <v>699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12" t="s">
        <v>701</v>
      </c>
      <c r="C123" s="910"/>
      <c r="D123" s="910"/>
      <c r="E123" s="910"/>
      <c r="F123" s="910"/>
      <c r="G123" s="910"/>
      <c r="H123" s="910"/>
      <c r="I123" s="910"/>
      <c r="J123" s="910"/>
      <c r="K123" s="910"/>
      <c r="L123" s="911"/>
      <c r="M123" s="176"/>
      <c r="N123" s="176"/>
      <c r="O123" s="20"/>
      <c r="P123" s="20" t="s">
        <v>702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703</v>
      </c>
      <c r="C124" s="157" t="s">
        <v>704</v>
      </c>
      <c r="D124" s="158" t="s">
        <v>687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705</v>
      </c>
      <c r="N124" s="159" t="s">
        <v>674</v>
      </c>
      <c r="O124" s="20"/>
      <c r="P124" s="20"/>
      <c r="Q124" s="20"/>
      <c r="R124" s="156" t="s">
        <v>703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706</v>
      </c>
      <c r="C125" s="162" t="s">
        <v>707</v>
      </c>
      <c r="D125" s="163" t="s">
        <v>687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705</v>
      </c>
      <c r="N125" s="164" t="s">
        <v>674</v>
      </c>
      <c r="O125" s="20"/>
      <c r="P125" s="20"/>
      <c r="Q125" s="20"/>
      <c r="R125" s="161" t="s">
        <v>706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708</v>
      </c>
      <c r="C126" s="157" t="s">
        <v>709</v>
      </c>
      <c r="D126" s="158" t="s">
        <v>672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705</v>
      </c>
      <c r="N126" s="159" t="s">
        <v>674</v>
      </c>
      <c r="O126" s="20"/>
      <c r="P126" s="20"/>
      <c r="Q126" s="20"/>
      <c r="R126" s="156" t="s">
        <v>708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710</v>
      </c>
      <c r="C127" s="162" t="s">
        <v>711</v>
      </c>
      <c r="D127" s="163" t="s">
        <v>672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705</v>
      </c>
      <c r="N127" s="164" t="s">
        <v>677</v>
      </c>
      <c r="O127" s="20"/>
      <c r="P127" s="20"/>
      <c r="Q127" s="20"/>
      <c r="R127" s="161" t="s">
        <v>710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712</v>
      </c>
      <c r="C128" s="157" t="s">
        <v>713</v>
      </c>
      <c r="D128" s="158" t="s">
        <v>687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705</v>
      </c>
      <c r="N128" s="159" t="s">
        <v>677</v>
      </c>
      <c r="O128" s="20" t="s">
        <v>714</v>
      </c>
      <c r="P128" s="145">
        <f>H128/42000*1000000</f>
        <v>37.50562063532594</v>
      </c>
      <c r="Q128" s="145">
        <f>P128*0.3</f>
        <v>11.251686190597782</v>
      </c>
      <c r="R128" s="156" t="s">
        <v>712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715</v>
      </c>
      <c r="C129" s="162" t="s">
        <v>716</v>
      </c>
      <c r="D129" s="163" t="s">
        <v>664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705</v>
      </c>
      <c r="N129" s="164"/>
      <c r="O129" s="20"/>
      <c r="P129" s="20"/>
      <c r="Q129" s="20"/>
      <c r="R129" s="161" t="s">
        <v>715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717</v>
      </c>
      <c r="C130" s="157" t="s">
        <v>718</v>
      </c>
      <c r="D130" s="158" t="s">
        <v>664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705</v>
      </c>
      <c r="N130" s="159"/>
      <c r="O130" s="20"/>
      <c r="P130" s="20"/>
      <c r="Q130" s="20"/>
      <c r="R130" s="156" t="s">
        <v>717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719</v>
      </c>
      <c r="C131" s="162" t="s">
        <v>720</v>
      </c>
      <c r="D131" s="163" t="s">
        <v>687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705</v>
      </c>
      <c r="N131" s="164" t="s">
        <v>677</v>
      </c>
      <c r="O131" s="20"/>
      <c r="P131" s="20"/>
      <c r="Q131" s="20"/>
      <c r="R131" s="161" t="s">
        <v>719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721</v>
      </c>
      <c r="C132" s="157" t="s">
        <v>722</v>
      </c>
      <c r="D132" s="158" t="s">
        <v>698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705</v>
      </c>
      <c r="N132" s="159" t="s">
        <v>677</v>
      </c>
      <c r="O132" s="20"/>
      <c r="P132" s="20"/>
      <c r="Q132" s="20"/>
      <c r="R132" s="156" t="s">
        <v>721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723</v>
      </c>
      <c r="C133" s="162" t="s">
        <v>724</v>
      </c>
      <c r="D133" s="163" t="s">
        <v>687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705</v>
      </c>
      <c r="N133" s="164" t="s">
        <v>677</v>
      </c>
      <c r="O133" s="20"/>
      <c r="P133" s="20"/>
      <c r="Q133" s="20"/>
      <c r="R133" s="161" t="s">
        <v>723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725</v>
      </c>
      <c r="C134" s="157" t="s">
        <v>726</v>
      </c>
      <c r="D134" s="158" t="s">
        <v>687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705</v>
      </c>
      <c r="N134" s="159" t="s">
        <v>677</v>
      </c>
      <c r="O134" s="20" t="s">
        <v>714</v>
      </c>
      <c r="P134" s="145">
        <f>H134/42000*1000000</f>
        <v>35.257266762367934</v>
      </c>
      <c r="Q134" s="20"/>
      <c r="R134" s="156" t="s">
        <v>725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727</v>
      </c>
      <c r="C135" s="162" t="s">
        <v>728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705</v>
      </c>
      <c r="N135" s="164" t="s">
        <v>677</v>
      </c>
      <c r="O135" s="20"/>
      <c r="P135" s="20"/>
      <c r="Q135" s="20"/>
      <c r="R135" s="161" t="s">
        <v>727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729</v>
      </c>
      <c r="C136" s="157" t="s">
        <v>730</v>
      </c>
      <c r="D136" s="158" t="s">
        <v>687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705</v>
      </c>
      <c r="N136" s="159" t="s">
        <v>677</v>
      </c>
      <c r="O136" s="20"/>
      <c r="P136" s="20"/>
      <c r="Q136" s="20"/>
      <c r="R136" s="156" t="s">
        <v>729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731</v>
      </c>
      <c r="C137" s="162" t="s">
        <v>732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731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733</v>
      </c>
      <c r="C138" s="157" t="s">
        <v>734</v>
      </c>
      <c r="D138" s="158" t="s">
        <v>735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705</v>
      </c>
      <c r="N138" s="159"/>
      <c r="O138" s="20"/>
      <c r="P138" s="20"/>
      <c r="Q138" s="20"/>
      <c r="R138" s="156" t="s">
        <v>733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13"/>
      <c r="C140" s="914"/>
      <c r="D140" s="914"/>
      <c r="E140" s="915"/>
      <c r="F140" s="20"/>
      <c r="G140" s="916" t="s">
        <v>736</v>
      </c>
      <c r="H140" s="917"/>
      <c r="I140" s="918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737</v>
      </c>
      <c r="D141" s="158"/>
      <c r="E141" s="156">
        <v>2006</v>
      </c>
      <c r="F141" s="20"/>
      <c r="G141" s="155" t="s">
        <v>738</v>
      </c>
      <c r="H141" s="155" t="s">
        <v>739</v>
      </c>
      <c r="I141" s="155" t="s">
        <v>740</v>
      </c>
      <c r="J141" s="21"/>
      <c r="K141" s="21"/>
      <c r="L141" s="155" t="s">
        <v>738</v>
      </c>
      <c r="M141" s="155" t="s">
        <v>740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741</v>
      </c>
      <c r="D142" s="163"/>
      <c r="E142" s="161">
        <v>2007</v>
      </c>
      <c r="F142" s="20"/>
      <c r="G142" s="177" t="s">
        <v>742</v>
      </c>
      <c r="H142" s="178">
        <v>35.31467</v>
      </c>
      <c r="I142" s="177" t="s">
        <v>743</v>
      </c>
      <c r="J142" s="21"/>
      <c r="K142" s="21"/>
      <c r="L142" s="177" t="s">
        <v>680</v>
      </c>
      <c r="M142" s="177" t="s">
        <v>743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744</v>
      </c>
      <c r="D143" s="158"/>
      <c r="E143" s="156">
        <v>2008</v>
      </c>
      <c r="F143" s="20"/>
      <c r="G143" s="179" t="s">
        <v>745</v>
      </c>
      <c r="H143" s="180">
        <f>1000000/H142</f>
        <v>28316.843963146195</v>
      </c>
      <c r="I143" s="179" t="s">
        <v>680</v>
      </c>
      <c r="J143" s="21"/>
      <c r="K143" s="21"/>
      <c r="L143" s="179" t="s">
        <v>746</v>
      </c>
      <c r="M143" s="179" t="s">
        <v>680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747</v>
      </c>
      <c r="D144" s="163"/>
      <c r="E144" s="161">
        <v>2009</v>
      </c>
      <c r="F144" s="20"/>
      <c r="G144" s="177" t="s">
        <v>748</v>
      </c>
      <c r="H144" s="178">
        <v>3.7854117999999999</v>
      </c>
      <c r="I144" s="177" t="s">
        <v>749</v>
      </c>
      <c r="J144" s="21"/>
      <c r="K144" s="21"/>
      <c r="L144" s="177" t="s">
        <v>714</v>
      </c>
      <c r="M144" s="177" t="s">
        <v>749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750</v>
      </c>
      <c r="D145" s="158"/>
      <c r="E145" s="156">
        <v>2010</v>
      </c>
      <c r="F145" s="20"/>
      <c r="G145" s="179" t="s">
        <v>751</v>
      </c>
      <c r="H145" s="180">
        <v>42</v>
      </c>
      <c r="I145" s="179" t="s">
        <v>714</v>
      </c>
      <c r="J145" s="21"/>
      <c r="K145" s="21"/>
      <c r="L145" s="179" t="s">
        <v>752</v>
      </c>
      <c r="M145" s="179" t="s">
        <v>714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753</v>
      </c>
      <c r="D146" s="163"/>
      <c r="E146" s="161">
        <v>2011</v>
      </c>
      <c r="F146" s="20"/>
      <c r="G146" s="177" t="s">
        <v>742</v>
      </c>
      <c r="H146" s="178">
        <f>1000/H144/H145</f>
        <v>6.2898107438466297</v>
      </c>
      <c r="I146" s="177" t="s">
        <v>752</v>
      </c>
      <c r="J146" s="21"/>
      <c r="K146" s="21"/>
      <c r="L146" s="177" t="s">
        <v>680</v>
      </c>
      <c r="M146" s="177" t="s">
        <v>752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754</v>
      </c>
      <c r="C147" s="157" t="s">
        <v>755</v>
      </c>
      <c r="D147" s="158"/>
      <c r="E147" s="156">
        <v>2012</v>
      </c>
      <c r="F147" s="20"/>
      <c r="G147" s="179" t="s">
        <v>742</v>
      </c>
      <c r="H147" s="180">
        <v>1000</v>
      </c>
      <c r="I147" s="179" t="s">
        <v>749</v>
      </c>
      <c r="J147" s="21"/>
      <c r="K147" s="21"/>
      <c r="L147" s="179" t="s">
        <v>680</v>
      </c>
      <c r="M147" s="179" t="s">
        <v>749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672</v>
      </c>
      <c r="C148" s="162" t="s">
        <v>756</v>
      </c>
      <c r="D148" s="163"/>
      <c r="E148" s="161">
        <v>2013</v>
      </c>
      <c r="F148" s="20"/>
      <c r="G148" s="177" t="s">
        <v>757</v>
      </c>
      <c r="H148" s="178">
        <v>1000</v>
      </c>
      <c r="I148" s="177" t="s">
        <v>752</v>
      </c>
      <c r="J148" s="21"/>
      <c r="K148" s="21"/>
      <c r="L148" s="177" t="s">
        <v>735</v>
      </c>
      <c r="M148" s="177" t="s">
        <v>752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615</v>
      </c>
      <c r="C149" s="157" t="s">
        <v>758</v>
      </c>
      <c r="D149" s="158"/>
      <c r="E149" s="156">
        <v>2014</v>
      </c>
      <c r="F149" s="20"/>
      <c r="G149" s="179" t="s">
        <v>759</v>
      </c>
      <c r="H149" s="181">
        <f>1/H144/H145/H148</f>
        <v>6.2898107438466298E-6</v>
      </c>
      <c r="I149" s="179" t="s">
        <v>735</v>
      </c>
      <c r="J149" s="21"/>
      <c r="K149" s="21"/>
      <c r="L149" s="179" t="s">
        <v>749</v>
      </c>
      <c r="M149" s="179" t="s">
        <v>735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735</v>
      </c>
      <c r="C150" s="162" t="s">
        <v>760</v>
      </c>
      <c r="D150" s="163"/>
      <c r="E150" s="161">
        <v>2015</v>
      </c>
      <c r="F150" s="20"/>
      <c r="G150" s="177" t="s">
        <v>761</v>
      </c>
      <c r="H150" s="178">
        <v>1055.056</v>
      </c>
      <c r="I150" s="177" t="s">
        <v>762</v>
      </c>
      <c r="J150" s="21"/>
      <c r="K150" s="21"/>
      <c r="L150" s="177" t="s">
        <v>651</v>
      </c>
      <c r="M150" s="177" t="s">
        <v>762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763</v>
      </c>
      <c r="H151" s="180">
        <v>3600</v>
      </c>
      <c r="I151" s="179" t="s">
        <v>762</v>
      </c>
      <c r="J151" s="21"/>
      <c r="K151" s="21"/>
      <c r="L151" s="179" t="s">
        <v>764</v>
      </c>
      <c r="M151" s="179" t="s">
        <v>762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742</v>
      </c>
      <c r="H152" s="178">
        <f>H147/H144</f>
        <v>264.17205124155845</v>
      </c>
      <c r="I152" s="177" t="s">
        <v>714</v>
      </c>
      <c r="J152" s="21"/>
      <c r="K152" s="21"/>
      <c r="L152" s="177" t="s">
        <v>680</v>
      </c>
      <c r="M152" s="177" t="s">
        <v>714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765</v>
      </c>
      <c r="F155" s="184" t="s">
        <v>766</v>
      </c>
      <c r="G155" s="184"/>
      <c r="H155" s="184" t="s">
        <v>767</v>
      </c>
      <c r="I155" s="184"/>
      <c r="J155" s="184"/>
      <c r="K155" s="184"/>
      <c r="L155" s="184" t="s">
        <v>768</v>
      </c>
      <c r="M155" s="21" t="s">
        <v>769</v>
      </c>
      <c r="N155" s="22" t="s">
        <v>770</v>
      </c>
      <c r="O155" s="20" t="s">
        <v>771</v>
      </c>
      <c r="P155" s="20" t="s">
        <v>772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773</v>
      </c>
      <c r="D156" s="186"/>
      <c r="E156" s="155"/>
      <c r="F156" s="155" t="s">
        <v>774</v>
      </c>
      <c r="G156" s="155" t="s">
        <v>775</v>
      </c>
      <c r="H156" s="155" t="s">
        <v>776</v>
      </c>
      <c r="I156" s="155" t="s">
        <v>777</v>
      </c>
      <c r="J156" s="155" t="s">
        <v>778</v>
      </c>
      <c r="K156" s="155" t="s">
        <v>779</v>
      </c>
      <c r="L156" s="155" t="s">
        <v>619</v>
      </c>
      <c r="M156" s="21" t="s">
        <v>619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780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781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782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783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784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785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786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787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788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327</v>
      </c>
      <c r="C166" s="191" t="s">
        <v>789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790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791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792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793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794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795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796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797</v>
      </c>
      <c r="D174" s="186"/>
      <c r="E174" s="155" t="s">
        <v>798</v>
      </c>
      <c r="F174" s="155" t="s">
        <v>621</v>
      </c>
      <c r="G174" s="155" t="s">
        <v>799</v>
      </c>
      <c r="H174" s="155" t="s">
        <v>800</v>
      </c>
      <c r="I174" s="155" t="s">
        <v>777</v>
      </c>
      <c r="J174" s="155" t="s">
        <v>801</v>
      </c>
      <c r="K174" s="155" t="s">
        <v>802</v>
      </c>
      <c r="L174" s="197" t="s">
        <v>619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803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804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805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638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806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807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808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809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810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811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812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648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813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814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815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816</v>
      </c>
      <c r="D191" s="186"/>
      <c r="E191" s="155"/>
      <c r="F191" s="155" t="s">
        <v>621</v>
      </c>
      <c r="G191" s="155" t="s">
        <v>817</v>
      </c>
      <c r="H191" s="155"/>
      <c r="I191" s="155"/>
      <c r="J191" s="155" t="s">
        <v>801</v>
      </c>
      <c r="K191" s="155" t="s">
        <v>818</v>
      </c>
      <c r="L191" s="197" t="s">
        <v>619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819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820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821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822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823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824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825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826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827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828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829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830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831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832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833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834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835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836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837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838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839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840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841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842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843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670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675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678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681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683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685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688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694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703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706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708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710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712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715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717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719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721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723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725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729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6">
    <mergeCell ref="D107:J107"/>
    <mergeCell ref="B123:L123"/>
    <mergeCell ref="B140:E140"/>
    <mergeCell ref="G140:I140"/>
    <mergeCell ref="F2:G2"/>
    <mergeCell ref="D7:D9"/>
    <mergeCell ref="E41:F41"/>
    <mergeCell ref="G41:N41"/>
    <mergeCell ref="K42:M42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/>
  <headerFooter>
    <oddHeader>&amp;C002060Balance Energético Colombia &amp;A</oddHeader>
    <oddFooter>&amp;C&amp;F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00"/>
  <sheetViews>
    <sheetView showGridLines="0" topLeftCell="A34" workbookViewId="0">
      <selection activeCell="L38" sqref="L38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844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845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846</v>
      </c>
      <c r="T3" s="202">
        <f>1/R3</f>
        <v>1.0550559865459262E-6</v>
      </c>
      <c r="U3" s="202" t="s">
        <v>847</v>
      </c>
      <c r="V3" s="202"/>
      <c r="W3" s="202"/>
    </row>
    <row r="4" spans="1:41" x14ac:dyDescent="0.25">
      <c r="I4" s="15" t="s">
        <v>310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311</v>
      </c>
      <c r="J5" s="8" t="s">
        <v>312</v>
      </c>
      <c r="K5" s="8" t="s">
        <v>313</v>
      </c>
      <c r="L5" s="8" t="s">
        <v>314</v>
      </c>
      <c r="M5" s="8" t="s">
        <v>315</v>
      </c>
      <c r="Q5" s="202"/>
      <c r="R5" s="202">
        <v>1.0550559999999999E-6</v>
      </c>
      <c r="S5" s="202" t="s">
        <v>848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319</v>
      </c>
      <c r="J6" s="10" t="s">
        <v>320</v>
      </c>
      <c r="K6" s="10" t="s">
        <v>321</v>
      </c>
      <c r="L6" s="10" t="s">
        <v>322</v>
      </c>
      <c r="M6" s="10" t="s">
        <v>323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327</v>
      </c>
      <c r="J7" s="10"/>
      <c r="K7" s="10"/>
      <c r="L7" s="10"/>
      <c r="M7" s="10"/>
      <c r="Q7" s="202"/>
      <c r="R7" s="202" t="s">
        <v>849</v>
      </c>
      <c r="S7" s="202" t="s">
        <v>850</v>
      </c>
      <c r="T7" s="202" t="s">
        <v>851</v>
      </c>
      <c r="U7" s="202"/>
      <c r="V7" s="202" t="s">
        <v>851</v>
      </c>
      <c r="W7" s="202" t="s">
        <v>849</v>
      </c>
    </row>
    <row r="8" spans="1:41" x14ac:dyDescent="0.25">
      <c r="I8" s="12" t="s">
        <v>301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328</v>
      </c>
      <c r="Q8" s="202" t="s">
        <v>852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328</v>
      </c>
      <c r="Q9" s="202" t="s">
        <v>853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328</v>
      </c>
      <c r="Q10" s="202" t="s">
        <v>854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855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328</v>
      </c>
      <c r="Q11" s="202" t="s">
        <v>856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328</v>
      </c>
      <c r="Q12" s="202" t="s">
        <v>857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858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328</v>
      </c>
      <c r="Q13" s="202" t="s">
        <v>859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860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328</v>
      </c>
      <c r="Q14" s="202" t="s">
        <v>861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328</v>
      </c>
      <c r="Q15" s="202" t="s">
        <v>862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863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328</v>
      </c>
      <c r="Q16" s="202" t="s">
        <v>864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865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328</v>
      </c>
      <c r="Q17" s="202" t="s">
        <v>866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328</v>
      </c>
      <c r="Q18" s="202" t="s">
        <v>867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868</v>
      </c>
      <c r="K19" s="12" t="s">
        <v>869</v>
      </c>
      <c r="L19" s="12" t="s">
        <v>59</v>
      </c>
      <c r="M19" s="12" t="s">
        <v>328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870</v>
      </c>
      <c r="K20" s="12" t="s">
        <v>871</v>
      </c>
      <c r="L20" s="12" t="s">
        <v>59</v>
      </c>
      <c r="M20" s="12" t="s">
        <v>328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299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328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328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328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328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328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328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328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328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328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328</v>
      </c>
    </row>
    <row r="31" spans="2:23" ht="15.75" customHeight="1" x14ac:dyDescent="0.25">
      <c r="J31" s="12" t="str">
        <v>IMP-HOIL</v>
      </c>
      <c r="K31" s="12" t="str">
        <v>Importacion de Petroleo pesado</v>
      </c>
      <c r="L31" s="12" t="s">
        <v>59</v>
      </c>
      <c r="M31" s="12" t="s">
        <v>328</v>
      </c>
    </row>
    <row r="32" spans="2:23" ht="15.75" customHeight="1" x14ac:dyDescent="0.25">
      <c r="B32" s="12" t="s">
        <v>872</v>
      </c>
      <c r="D32" s="12">
        <v>3299</v>
      </c>
      <c r="E32" s="12" t="s">
        <v>873</v>
      </c>
      <c r="J32" s="12" t="s">
        <v>874</v>
      </c>
      <c r="K32" s="12" t="s">
        <v>875</v>
      </c>
      <c r="L32" s="12" t="s">
        <v>59</v>
      </c>
      <c r="M32" s="12" t="s">
        <v>328</v>
      </c>
    </row>
    <row r="33" spans="2:23" ht="15.75" customHeight="1" x14ac:dyDescent="0.25">
      <c r="J33" s="12" t="s">
        <v>876</v>
      </c>
      <c r="K33" s="12" t="s">
        <v>877</v>
      </c>
      <c r="L33" s="12" t="s">
        <v>59</v>
      </c>
      <c r="M33" s="12" t="s">
        <v>328</v>
      </c>
    </row>
    <row r="34" spans="2:23" ht="15.75" customHeight="1" x14ac:dyDescent="0.25"/>
    <row r="35" spans="2:23" ht="15.75" customHeight="1" x14ac:dyDescent="0.25">
      <c r="D35" s="12">
        <v>287</v>
      </c>
      <c r="E35" s="12" t="s">
        <v>878</v>
      </c>
    </row>
    <row r="36" spans="2:23" ht="15.75" customHeight="1" x14ac:dyDescent="0.25">
      <c r="D36" s="205">
        <f>+D35/D32</f>
        <v>8.6996059411943008E-2</v>
      </c>
      <c r="E36" s="12" t="s">
        <v>879</v>
      </c>
      <c r="I36" s="206" t="s">
        <v>880</v>
      </c>
      <c r="J36" s="207"/>
      <c r="K36" s="207"/>
      <c r="L36" s="207"/>
      <c r="M36" s="206"/>
    </row>
    <row r="37" spans="2:23" ht="15.75" customHeight="1" x14ac:dyDescent="0.25">
      <c r="I37" s="208" t="s">
        <v>312</v>
      </c>
      <c r="J37" s="209" t="s">
        <v>881</v>
      </c>
      <c r="K37" s="208" t="s">
        <v>882</v>
      </c>
      <c r="L37" s="210" t="s">
        <v>883</v>
      </c>
      <c r="M37" s="210" t="s">
        <v>884</v>
      </c>
      <c r="N37" s="210" t="s">
        <v>885</v>
      </c>
      <c r="O37" s="210" t="s">
        <v>886</v>
      </c>
      <c r="P37" s="210" t="s">
        <v>887</v>
      </c>
      <c r="Q37" s="210" t="s">
        <v>888</v>
      </c>
      <c r="R37" s="210" t="s">
        <v>889</v>
      </c>
      <c r="S37" s="210" t="s">
        <v>890</v>
      </c>
    </row>
    <row r="38" spans="2:23" ht="15.75" customHeight="1" x14ac:dyDescent="0.25">
      <c r="I38" s="211" t="s">
        <v>891</v>
      </c>
      <c r="J38" s="211" t="s">
        <v>892</v>
      </c>
      <c r="K38" s="211" t="s">
        <v>893</v>
      </c>
      <c r="L38" s="212" t="s">
        <v>894</v>
      </c>
      <c r="M38" s="212" t="s">
        <v>894</v>
      </c>
      <c r="N38" s="212" t="s">
        <v>894</v>
      </c>
      <c r="O38" s="212" t="s">
        <v>894</v>
      </c>
      <c r="P38" s="212" t="s">
        <v>894</v>
      </c>
      <c r="Q38" s="212" t="s">
        <v>894</v>
      </c>
      <c r="R38" s="212" t="s">
        <v>894</v>
      </c>
      <c r="S38" s="212" t="s">
        <v>894</v>
      </c>
    </row>
    <row r="39" spans="2:23" ht="15.75" customHeight="1" x14ac:dyDescent="0.25">
      <c r="I39" s="211"/>
      <c r="J39" s="213"/>
      <c r="K39" s="213"/>
      <c r="L39" s="213" t="s">
        <v>895</v>
      </c>
      <c r="M39" s="213" t="s">
        <v>895</v>
      </c>
      <c r="N39" s="213" t="s">
        <v>895</v>
      </c>
      <c r="O39" s="213" t="s">
        <v>895</v>
      </c>
      <c r="P39" s="213" t="s">
        <v>895</v>
      </c>
      <c r="Q39" s="213" t="s">
        <v>895</v>
      </c>
      <c r="R39" s="213" t="s">
        <v>895</v>
      </c>
      <c r="S39" s="213" t="s">
        <v>895</v>
      </c>
    </row>
    <row r="40" spans="2:23" ht="15.75" customHeight="1" x14ac:dyDescent="0.25">
      <c r="I40" s="12" t="str">
        <f t="shared" ref="I40:I51" si="2">+J8</f>
        <v>EXP-GSL</v>
      </c>
      <c r="J40" s="214" t="str">
        <f t="shared" ref="J40:J45" si="3">+RIGHT(I40,3)</f>
        <v>GSL</v>
      </c>
      <c r="K40" s="214"/>
      <c r="L40" s="215">
        <f t="shared" ref="L40:S40" si="4">+J115</f>
        <v>20.996445954041999</v>
      </c>
      <c r="M40" s="215">
        <f t="shared" si="4"/>
        <v>20.795929580790002</v>
      </c>
      <c r="N40" s="215">
        <f t="shared" si="4"/>
        <v>20.716882590807003</v>
      </c>
      <c r="O40" s="215">
        <f t="shared" si="4"/>
        <v>22.202066334591002</v>
      </c>
      <c r="P40" s="215">
        <f t="shared" si="4"/>
        <v>23.568165402677998</v>
      </c>
      <c r="Q40" s="215">
        <f t="shared" si="4"/>
        <v>24.597135442035</v>
      </c>
      <c r="R40" s="215">
        <f t="shared" si="4"/>
        <v>25.886116327734001</v>
      </c>
      <c r="S40" s="215">
        <f t="shared" si="4"/>
        <v>27.153960894333</v>
      </c>
      <c r="T40" s="215"/>
      <c r="U40" s="215">
        <v>14.26</v>
      </c>
      <c r="V40" s="215"/>
      <c r="W40" s="215"/>
    </row>
    <row r="41" spans="2:23" ht="15.75" customHeight="1" x14ac:dyDescent="0.25">
      <c r="B41" s="216" t="s">
        <v>896</v>
      </c>
      <c r="C41" s="216"/>
      <c r="D41" s="216"/>
      <c r="E41" s="216">
        <v>0.125</v>
      </c>
      <c r="F41" s="216" t="s">
        <v>897</v>
      </c>
      <c r="I41" s="12" t="str">
        <f t="shared" si="2"/>
        <v>EXP-DSL</v>
      </c>
      <c r="J41" s="214" t="str">
        <f t="shared" si="3"/>
        <v>DSL</v>
      </c>
      <c r="K41" s="214"/>
      <c r="L41" s="215">
        <f t="shared" ref="L41:S41" si="5">+J116</f>
        <v>20.905026160941002</v>
      </c>
      <c r="M41" s="215">
        <f t="shared" si="5"/>
        <v>20.219447377232999</v>
      </c>
      <c r="N41" s="215">
        <f t="shared" si="5"/>
        <v>20.630671999937999</v>
      </c>
      <c r="O41" s="215">
        <f t="shared" si="5"/>
        <v>21.930071290101001</v>
      </c>
      <c r="P41" s="215">
        <f t="shared" si="5"/>
        <v>23.082531458571001</v>
      </c>
      <c r="Q41" s="215">
        <f t="shared" si="5"/>
        <v>23.875429665555</v>
      </c>
      <c r="R41" s="215">
        <f t="shared" si="5"/>
        <v>25.090517790116998</v>
      </c>
      <c r="S41" s="215">
        <f t="shared" si="5"/>
        <v>25.880965890156002</v>
      </c>
      <c r="T41" s="215"/>
      <c r="U41" s="215">
        <v>16.96</v>
      </c>
      <c r="V41" s="215"/>
      <c r="W41" s="215"/>
    </row>
    <row r="42" spans="2:23" ht="15.75" customHeight="1" x14ac:dyDescent="0.25">
      <c r="E42" s="12">
        <f>+E41*1000000</f>
        <v>125000</v>
      </c>
      <c r="F42" s="12" t="s">
        <v>898</v>
      </c>
      <c r="I42" s="12" t="str">
        <f t="shared" si="2"/>
        <v>EXP-KER</v>
      </c>
      <c r="J42" s="214" t="str">
        <f t="shared" si="3"/>
        <v>KER</v>
      </c>
      <c r="K42" s="214"/>
      <c r="L42" s="215">
        <f t="shared" ref="L42:S42" si="6">+J117</f>
        <v>13.877034192216</v>
      </c>
      <c r="M42" s="215">
        <f t="shared" si="6"/>
        <v>13.695434350650002</v>
      </c>
      <c r="N42" s="215">
        <f t="shared" si="6"/>
        <v>14.458260219857999</v>
      </c>
      <c r="O42" s="215">
        <f t="shared" si="6"/>
        <v>15.795199697939999</v>
      </c>
      <c r="P42" s="215">
        <f t="shared" si="6"/>
        <v>17.191836481949998</v>
      </c>
      <c r="Q42" s="215">
        <f t="shared" si="6"/>
        <v>18.196136740431001</v>
      </c>
      <c r="R42" s="215">
        <f t="shared" si="6"/>
        <v>19.62033319935</v>
      </c>
      <c r="S42" s="215">
        <f t="shared" si="6"/>
        <v>20.718097692200999</v>
      </c>
      <c r="T42" s="215"/>
      <c r="U42" s="215">
        <v>11.91</v>
      </c>
      <c r="V42" s="215"/>
      <c r="W42" s="215"/>
    </row>
    <row r="43" spans="2:23" ht="15.75" customHeight="1" x14ac:dyDescent="0.25">
      <c r="E43" s="12">
        <f>+E42/(1000000)</f>
        <v>0.125</v>
      </c>
      <c r="F43" s="12" t="s">
        <v>899</v>
      </c>
      <c r="I43" s="12" t="str">
        <f t="shared" si="2"/>
        <v>EXP-LPG</v>
      </c>
      <c r="J43" s="214" t="str">
        <f t="shared" si="3"/>
        <v>LPG</v>
      </c>
      <c r="K43" s="214"/>
      <c r="L43" s="215">
        <f t="shared" ref="L43:S43" si="7">+J118</f>
        <v>17.551047751146001</v>
      </c>
      <c r="M43" s="215">
        <f t="shared" si="7"/>
        <v>16.867144707893999</v>
      </c>
      <c r="N43" s="215">
        <f t="shared" si="7"/>
        <v>19.872932116751997</v>
      </c>
      <c r="O43" s="215">
        <f t="shared" si="7"/>
        <v>22.022557377326997</v>
      </c>
      <c r="P43" s="215">
        <f t="shared" si="7"/>
        <v>22.891725470484001</v>
      </c>
      <c r="Q43" s="215">
        <f t="shared" si="7"/>
        <v>24.412499742618003</v>
      </c>
      <c r="R43" s="215">
        <f t="shared" si="7"/>
        <v>25.877700660591003</v>
      </c>
      <c r="S43" s="215">
        <f t="shared" si="7"/>
        <v>27.425805235919999</v>
      </c>
      <c r="T43" s="215"/>
      <c r="U43" s="215">
        <v>6.34</v>
      </c>
      <c r="V43" s="215"/>
      <c r="W43" s="215"/>
    </row>
    <row r="44" spans="2:23" ht="15.75" customHeight="1" x14ac:dyDescent="0.25">
      <c r="E44" s="12">
        <f>+E43/0.0036</f>
        <v>34.722222222222221</v>
      </c>
      <c r="F44" s="12" t="s">
        <v>849</v>
      </c>
      <c r="I44" s="12" t="str">
        <f t="shared" si="2"/>
        <v>EXP-HFO</v>
      </c>
      <c r="J44" s="214" t="str">
        <f t="shared" si="3"/>
        <v>HFO</v>
      </c>
      <c r="K44" s="214"/>
      <c r="L44" s="215">
        <f t="shared" ref="L44:S44" si="8">+J119</f>
        <v>9.2415067298189992</v>
      </c>
      <c r="M44" s="215">
        <f t="shared" si="8"/>
        <v>9.6605963379900004</v>
      </c>
      <c r="N44" s="215">
        <f t="shared" si="8"/>
        <v>9.3615136314569991</v>
      </c>
      <c r="O44" s="215">
        <f t="shared" si="8"/>
        <v>10.777456499940001</v>
      </c>
      <c r="P44" s="215">
        <f t="shared" si="8"/>
        <v>12.03505800822</v>
      </c>
      <c r="Q44" s="215">
        <f t="shared" si="8"/>
        <v>13.376972577735</v>
      </c>
      <c r="R44" s="215">
        <f t="shared" si="8"/>
        <v>14.299692331392</v>
      </c>
      <c r="S44" s="215">
        <f t="shared" si="8"/>
        <v>15.089726235401999</v>
      </c>
      <c r="T44" s="215"/>
      <c r="U44" s="215">
        <v>8.2100000000000009</v>
      </c>
      <c r="V44" s="215"/>
      <c r="W44" s="215"/>
    </row>
    <row r="45" spans="2:23" ht="15.75" customHeight="1" x14ac:dyDescent="0.25">
      <c r="I45" s="12" t="str">
        <f t="shared" si="2"/>
        <v>EXP-ETH</v>
      </c>
      <c r="J45" s="214" t="str">
        <f t="shared" si="3"/>
        <v>ETH</v>
      </c>
      <c r="K45" s="214"/>
      <c r="L45" s="215">
        <f t="shared" ref="L45:S45" si="9">+J120</f>
        <v>15.484369752577541</v>
      </c>
      <c r="M45" s="215">
        <f t="shared" si="9"/>
        <v>15.076841521470868</v>
      </c>
      <c r="N45" s="215">
        <f t="shared" si="9"/>
        <v>16.842423718223472</v>
      </c>
      <c r="O45" s="215">
        <f t="shared" si="9"/>
        <v>19.600166238545455</v>
      </c>
      <c r="P45" s="215">
        <f t="shared" si="9"/>
        <v>19.747825616593868</v>
      </c>
      <c r="Q45" s="215">
        <f t="shared" si="9"/>
        <v>20.304548193105546</v>
      </c>
      <c r="R45" s="215">
        <f t="shared" si="9"/>
        <v>21.409220503499576</v>
      </c>
      <c r="S45" s="215">
        <f t="shared" si="9"/>
        <v>24.151142776321418</v>
      </c>
      <c r="T45" s="215"/>
      <c r="U45" s="215">
        <v>26</v>
      </c>
      <c r="V45" s="215"/>
      <c r="W45" s="215"/>
    </row>
    <row r="46" spans="2:23" ht="15.75" customHeight="1" x14ac:dyDescent="0.25">
      <c r="I46" s="12" t="str">
        <f t="shared" si="2"/>
        <v>EXP-BDSL</v>
      </c>
      <c r="J46" s="214" t="str">
        <f>+RIGHT(I46,4)</f>
        <v>BDSL</v>
      </c>
      <c r="K46" s="214"/>
      <c r="L46" s="215">
        <f t="shared" ref="L46:S46" si="10">+J121</f>
        <v>27.015813128159731</v>
      </c>
      <c r="M46" s="215">
        <f t="shared" si="10"/>
        <v>26.129831538723028</v>
      </c>
      <c r="N46" s="215">
        <f t="shared" si="10"/>
        <v>26.661261993541277</v>
      </c>
      <c r="O46" s="215">
        <f t="shared" si="10"/>
        <v>28.340491100056148</v>
      </c>
      <c r="P46" s="215">
        <f t="shared" si="10"/>
        <v>29.829829037705093</v>
      </c>
      <c r="Q46" s="215">
        <f t="shared" si="10"/>
        <v>30.854500790068418</v>
      </c>
      <c r="R46" s="215">
        <f t="shared" si="10"/>
        <v>32.424773577803386</v>
      </c>
      <c r="S46" s="215">
        <f t="shared" si="10"/>
        <v>33.446279027916688</v>
      </c>
      <c r="T46" s="215"/>
      <c r="U46" s="215">
        <v>29</v>
      </c>
      <c r="V46" s="215"/>
      <c r="W46" s="215"/>
    </row>
    <row r="47" spans="2:23" ht="15.75" customHeight="1" x14ac:dyDescent="0.25">
      <c r="B47" s="217" t="s">
        <v>900</v>
      </c>
      <c r="C47" s="217"/>
      <c r="D47" s="217"/>
      <c r="E47" s="218">
        <v>0.25</v>
      </c>
      <c r="I47" s="12" t="str">
        <f t="shared" si="2"/>
        <v>EXP-GAS</v>
      </c>
      <c r="J47" s="214" t="str">
        <f>+RIGHT(I47,3)</f>
        <v>GAS</v>
      </c>
      <c r="K47" s="214"/>
      <c r="L47" s="215">
        <f t="shared" ref="L47:S47" si="11">+J122</f>
        <v>4.769127007632</v>
      </c>
      <c r="M47" s="215">
        <f t="shared" si="11"/>
        <v>4.5122894526059998</v>
      </c>
      <c r="N47" s="215">
        <f t="shared" si="11"/>
        <v>4.9274484636779992</v>
      </c>
      <c r="O47" s="215">
        <f t="shared" si="11"/>
        <v>5.3827086642029993</v>
      </c>
      <c r="P47" s="215">
        <f t="shared" si="11"/>
        <v>5.4401245746119997</v>
      </c>
      <c r="Q47" s="215">
        <f t="shared" si="11"/>
        <v>5.4800854871490001</v>
      </c>
      <c r="R47" s="215">
        <f t="shared" si="11"/>
        <v>5.5431115263809998</v>
      </c>
      <c r="S47" s="215">
        <f t="shared" si="11"/>
        <v>5.7037579775280003</v>
      </c>
      <c r="T47" s="215"/>
      <c r="U47" s="215">
        <v>5.6</v>
      </c>
      <c r="V47" s="215"/>
      <c r="W47" s="215"/>
    </row>
    <row r="48" spans="2:23" ht="15.75" customHeight="1" x14ac:dyDescent="0.25">
      <c r="I48" s="12" t="str">
        <f t="shared" si="2"/>
        <v>EXP-LOIL</v>
      </c>
      <c r="J48" s="214" t="str">
        <f t="shared" ref="J48:J50" si="12">+RIGHT(I48,4)</f>
        <v>LOIL</v>
      </c>
      <c r="K48" s="214"/>
      <c r="L48" s="215">
        <f t="shared" ref="L48:S48" si="13">+J126</f>
        <v>9.4202649837693002</v>
      </c>
      <c r="M48" s="215">
        <f t="shared" si="13"/>
        <v>8.8971488688237894</v>
      </c>
      <c r="N48" s="215">
        <f t="shared" si="13"/>
        <v>10.809495075642701</v>
      </c>
      <c r="O48" s="215">
        <f t="shared" si="13"/>
        <v>11.944874310089356</v>
      </c>
      <c r="P48" s="215">
        <f t="shared" si="13"/>
        <v>13.287214218828185</v>
      </c>
      <c r="Q48" s="215">
        <f t="shared" si="13"/>
        <v>14.355702223711937</v>
      </c>
      <c r="R48" s="215">
        <f t="shared" si="13"/>
        <v>15.630732976072419</v>
      </c>
      <c r="S48" s="215">
        <f t="shared" si="13"/>
        <v>16.864994934098721</v>
      </c>
      <c r="T48" s="215"/>
      <c r="U48" s="215">
        <v>7.26</v>
      </c>
      <c r="V48" s="215"/>
      <c r="W48" s="215"/>
    </row>
    <row r="49" spans="5:23" ht="15.75" customHeight="1" x14ac:dyDescent="0.25">
      <c r="I49" s="12" t="str">
        <f t="shared" si="2"/>
        <v>EXP-MOIL</v>
      </c>
      <c r="J49" s="214" t="str">
        <f t="shared" si="12"/>
        <v>MOIL</v>
      </c>
      <c r="K49" s="214"/>
      <c r="L49" s="215">
        <f t="shared" ref="L49:S49" si="14">+J124</f>
        <v>8.6667911578505592</v>
      </c>
      <c r="M49" s="215">
        <f t="shared" si="14"/>
        <v>8.1855161483523844</v>
      </c>
      <c r="N49" s="215">
        <f t="shared" si="14"/>
        <v>9.9449045758078007</v>
      </c>
      <c r="O49" s="215">
        <f t="shared" si="14"/>
        <v>10.989471233631489</v>
      </c>
      <c r="P49" s="215">
        <f t="shared" si="14"/>
        <v>12.224444949544161</v>
      </c>
      <c r="Q49" s="215">
        <f t="shared" si="14"/>
        <v>13.207470629708267</v>
      </c>
      <c r="R49" s="215">
        <f t="shared" si="14"/>
        <v>14.380518868753001</v>
      </c>
      <c r="S49" s="215">
        <f t="shared" si="14"/>
        <v>15.516059179213938</v>
      </c>
      <c r="T49" s="215"/>
      <c r="U49" s="215">
        <v>7.01</v>
      </c>
      <c r="V49" s="215"/>
      <c r="W49" s="215"/>
    </row>
    <row r="50" spans="5:23" ht="15.75" customHeight="1" x14ac:dyDescent="0.25">
      <c r="I50" s="12" t="str">
        <f t="shared" si="2"/>
        <v>EXP-HOIL</v>
      </c>
      <c r="J50" s="214" t="str">
        <f t="shared" si="12"/>
        <v>HOIL</v>
      </c>
      <c r="K50" s="214"/>
      <c r="L50" s="215">
        <f t="shared" ref="L50:S50" si="15">+J125</f>
        <v>7.1598435060130816</v>
      </c>
      <c r="M50" s="215">
        <f t="shared" si="15"/>
        <v>6.7622507074095797</v>
      </c>
      <c r="N50" s="215">
        <f t="shared" si="15"/>
        <v>8.215723576138009</v>
      </c>
      <c r="O50" s="215">
        <f t="shared" si="15"/>
        <v>9.0786650807157603</v>
      </c>
      <c r="P50" s="215">
        <f t="shared" si="15"/>
        <v>10.098906410976124</v>
      </c>
      <c r="Q50" s="215">
        <f t="shared" si="15"/>
        <v>10.911007441700926</v>
      </c>
      <c r="R50" s="215">
        <f t="shared" si="15"/>
        <v>11.88009065411417</v>
      </c>
      <c r="S50" s="215">
        <f t="shared" si="15"/>
        <v>12.818187669444375</v>
      </c>
      <c r="T50" s="215"/>
      <c r="U50" s="215">
        <v>6.76</v>
      </c>
      <c r="V50" s="215"/>
      <c r="W50" s="215"/>
    </row>
    <row r="51" spans="5:23" ht="15.75" customHeight="1" x14ac:dyDescent="0.25">
      <c r="I51" s="12" t="str">
        <f t="shared" si="2"/>
        <v>EXP-SIN</v>
      </c>
      <c r="J51" s="219" t="s">
        <v>901</v>
      </c>
      <c r="K51" s="214"/>
      <c r="L51" s="220">
        <f>+E44</f>
        <v>34.722222222222221</v>
      </c>
      <c r="M51" s="220">
        <f t="shared" ref="M51:S51" si="16">+L51</f>
        <v>34.722222222222221</v>
      </c>
      <c r="N51" s="220">
        <f t="shared" si="16"/>
        <v>34.722222222222221</v>
      </c>
      <c r="O51" s="220">
        <f t="shared" si="16"/>
        <v>34.722222222222221</v>
      </c>
      <c r="P51" s="220">
        <f t="shared" si="16"/>
        <v>34.722222222222221</v>
      </c>
      <c r="Q51" s="220">
        <f t="shared" si="16"/>
        <v>34.722222222222221</v>
      </c>
      <c r="R51" s="220">
        <f t="shared" si="16"/>
        <v>34.722222222222221</v>
      </c>
      <c r="S51" s="220">
        <f t="shared" si="16"/>
        <v>34.722222222222221</v>
      </c>
    </row>
    <row r="52" spans="5:23" ht="15.75" customHeight="1" x14ac:dyDescent="0.25">
      <c r="I52" s="12" t="s">
        <v>870</v>
      </c>
      <c r="J52" s="221" t="str">
        <f>+RIGHT(I52,3)</f>
        <v>AVG</v>
      </c>
      <c r="L52" s="222">
        <v>21.450884058013838</v>
      </c>
      <c r="M52" s="222">
        <v>21.173796174722664</v>
      </c>
      <c r="N52" s="222">
        <v>22.060639953463127</v>
      </c>
      <c r="O52" s="222">
        <v>24.100563154252466</v>
      </c>
      <c r="P52" s="222">
        <v>26.231573439673227</v>
      </c>
      <c r="Q52" s="222">
        <v>27.763950507910614</v>
      </c>
      <c r="R52" s="222">
        <v>29.937011777070548</v>
      </c>
      <c r="S52" s="222">
        <v>31.611998038364984</v>
      </c>
    </row>
    <row r="53" spans="5:23" ht="15.75" customHeight="1" x14ac:dyDescent="0.25">
      <c r="I53" s="12" t="str">
        <f t="shared" ref="I53:I64" si="17">+J21</f>
        <v>IMP-GSL</v>
      </c>
      <c r="J53" s="214"/>
      <c r="K53" s="214" t="str">
        <f t="shared" ref="K53:K58" si="18">+RIGHT(I53,3)</f>
        <v>GSL</v>
      </c>
      <c r="L53" s="223">
        <f t="shared" ref="L53:S53" si="19">+L40+($E$47*L40)</f>
        <v>26.245557442552499</v>
      </c>
      <c r="M53" s="224">
        <f t="shared" si="19"/>
        <v>25.994911975987502</v>
      </c>
      <c r="N53" s="224">
        <f t="shared" si="19"/>
        <v>25.896103238508754</v>
      </c>
      <c r="O53" s="224">
        <f t="shared" si="19"/>
        <v>27.752582918238751</v>
      </c>
      <c r="P53" s="224">
        <f t="shared" si="19"/>
        <v>29.460206753347499</v>
      </c>
      <c r="Q53" s="224">
        <f t="shared" si="19"/>
        <v>30.74641930254375</v>
      </c>
      <c r="R53" s="224">
        <f t="shared" si="19"/>
        <v>32.357645409667498</v>
      </c>
      <c r="S53" s="224">
        <f t="shared" si="19"/>
        <v>33.942451117916249</v>
      </c>
    </row>
    <row r="54" spans="5:23" ht="15.75" customHeight="1" x14ac:dyDescent="0.25">
      <c r="I54" s="12" t="str">
        <f t="shared" si="17"/>
        <v>IMP-DSL</v>
      </c>
      <c r="J54" s="214"/>
      <c r="K54" s="214" t="str">
        <f t="shared" si="18"/>
        <v>DSL</v>
      </c>
      <c r="L54" s="225">
        <f t="shared" ref="L54:S54" si="20">+L41+($E$47*L41)</f>
        <v>26.131282701176254</v>
      </c>
      <c r="M54" s="224">
        <f t="shared" si="20"/>
        <v>25.274309221541248</v>
      </c>
      <c r="N54" s="224">
        <f t="shared" si="20"/>
        <v>25.788339999922499</v>
      </c>
      <c r="O54" s="224">
        <f t="shared" si="20"/>
        <v>27.41258911262625</v>
      </c>
      <c r="P54" s="224">
        <f t="shared" si="20"/>
        <v>28.85316432321375</v>
      </c>
      <c r="Q54" s="224">
        <f t="shared" si="20"/>
        <v>29.844287081943751</v>
      </c>
      <c r="R54" s="224">
        <f t="shared" si="20"/>
        <v>31.363147237646245</v>
      </c>
      <c r="S54" s="224">
        <f t="shared" si="20"/>
        <v>32.351207362695</v>
      </c>
    </row>
    <row r="55" spans="5:23" ht="15.75" customHeight="1" x14ac:dyDescent="0.25">
      <c r="E55">
        <f>64.7*L47</f>
        <v>308.56251739379042</v>
      </c>
      <c r="F55" s="806" t="s">
        <v>59</v>
      </c>
      <c r="I55" s="12" t="str">
        <f t="shared" si="17"/>
        <v>IMP-KER</v>
      </c>
      <c r="J55" s="214"/>
      <c r="K55" s="214" t="str">
        <f t="shared" si="18"/>
        <v>KER</v>
      </c>
      <c r="L55" s="224">
        <f t="shared" ref="L55:S55" si="21">+L42+($E$47*L42)</f>
        <v>17.346292740269998</v>
      </c>
      <c r="M55" s="224">
        <f t="shared" si="21"/>
        <v>17.119292938312501</v>
      </c>
      <c r="N55" s="224">
        <f t="shared" si="21"/>
        <v>18.072825274822499</v>
      </c>
      <c r="O55" s="224">
        <f t="shared" si="21"/>
        <v>19.743999622425001</v>
      </c>
      <c r="P55" s="224">
        <f t="shared" si="21"/>
        <v>21.489795602437496</v>
      </c>
      <c r="Q55" s="224">
        <f t="shared" si="21"/>
        <v>22.745170925538751</v>
      </c>
      <c r="R55" s="224">
        <f t="shared" si="21"/>
        <v>24.5254164991875</v>
      </c>
      <c r="S55" s="224">
        <f t="shared" si="21"/>
        <v>25.897622115251249</v>
      </c>
    </row>
    <row r="56" spans="5:23" ht="15.75" customHeight="1" x14ac:dyDescent="0.25">
      <c r="E56">
        <f>+E55*2.7</f>
        <v>833.11879696323422</v>
      </c>
      <c r="F56" s="806" t="s">
        <v>746</v>
      </c>
      <c r="I56" s="12" t="str">
        <f t="shared" si="17"/>
        <v>IMP-LPG</v>
      </c>
      <c r="J56" s="214"/>
      <c r="K56" s="214" t="str">
        <f t="shared" si="18"/>
        <v>LPG</v>
      </c>
      <c r="L56" s="224">
        <f t="shared" ref="L56:S56" si="22">+L43+($E$47*L43)</f>
        <v>21.938809688932501</v>
      </c>
      <c r="M56" s="224">
        <f t="shared" si="22"/>
        <v>21.083930884867499</v>
      </c>
      <c r="N56" s="224">
        <f t="shared" si="22"/>
        <v>24.841165145939996</v>
      </c>
      <c r="O56" s="224">
        <f t="shared" si="22"/>
        <v>27.528196721658745</v>
      </c>
      <c r="P56" s="224">
        <f t="shared" si="22"/>
        <v>28.614656838105002</v>
      </c>
      <c r="Q56" s="224">
        <f t="shared" si="22"/>
        <v>30.515624678272502</v>
      </c>
      <c r="R56" s="224">
        <f t="shared" si="22"/>
        <v>32.347125825738757</v>
      </c>
      <c r="S56" s="224">
        <f t="shared" si="22"/>
        <v>34.282256544900001</v>
      </c>
    </row>
    <row r="57" spans="5:23" ht="15.75" customHeight="1" x14ac:dyDescent="0.25">
      <c r="E57">
        <f>+E56/365</f>
        <v>2.2825172519540664</v>
      </c>
      <c r="F57" s="806" t="s">
        <v>1641</v>
      </c>
      <c r="I57" s="12" t="str">
        <f t="shared" si="17"/>
        <v>IMP-HFO</v>
      </c>
      <c r="J57" s="214"/>
      <c r="K57" s="214" t="str">
        <f t="shared" si="18"/>
        <v>HFO</v>
      </c>
      <c r="L57" s="224">
        <f t="shared" ref="L57:S57" si="23">+L44+($E$47*L44)</f>
        <v>11.551883412273749</v>
      </c>
      <c r="M57" s="224">
        <f t="shared" si="23"/>
        <v>12.0757454224875</v>
      </c>
      <c r="N57" s="224">
        <f t="shared" si="23"/>
        <v>11.701892039321249</v>
      </c>
      <c r="O57" s="224">
        <f t="shared" si="23"/>
        <v>13.471820624925002</v>
      </c>
      <c r="P57" s="224">
        <f t="shared" si="23"/>
        <v>15.043822510275</v>
      </c>
      <c r="Q57" s="224">
        <f t="shared" si="23"/>
        <v>16.721215722168751</v>
      </c>
      <c r="R57" s="224">
        <f t="shared" si="23"/>
        <v>17.874615414240001</v>
      </c>
      <c r="S57" s="224">
        <f t="shared" si="23"/>
        <v>18.8621577942525</v>
      </c>
    </row>
    <row r="58" spans="5:23" ht="15.75" customHeight="1" x14ac:dyDescent="0.25">
      <c r="I58" s="12" t="str">
        <f t="shared" si="17"/>
        <v>IMP-ETH</v>
      </c>
      <c r="J58" s="214"/>
      <c r="K58" s="214" t="str">
        <f t="shared" si="18"/>
        <v>ETH</v>
      </c>
      <c r="L58" s="224">
        <f t="shared" ref="L58:S58" si="24">+L45+($E$47*L45)</f>
        <v>19.355462190721926</v>
      </c>
      <c r="M58" s="224">
        <f t="shared" si="24"/>
        <v>18.846051901838585</v>
      </c>
      <c r="N58" s="224">
        <f t="shared" si="24"/>
        <v>21.05302964777934</v>
      </c>
      <c r="O58" s="224">
        <f t="shared" si="24"/>
        <v>24.500207798181819</v>
      </c>
      <c r="P58" s="224">
        <f t="shared" si="24"/>
        <v>24.684782020742336</v>
      </c>
      <c r="Q58" s="224">
        <f t="shared" si="24"/>
        <v>25.380685241381933</v>
      </c>
      <c r="R58" s="224">
        <f t="shared" si="24"/>
        <v>26.761525629374468</v>
      </c>
      <c r="S58" s="224">
        <f t="shared" si="24"/>
        <v>30.188928470401773</v>
      </c>
    </row>
    <row r="59" spans="5:23" ht="15.75" customHeight="1" x14ac:dyDescent="0.25">
      <c r="I59" s="12" t="str">
        <f t="shared" si="17"/>
        <v>IMP-BDSL</v>
      </c>
      <c r="J59" s="214"/>
      <c r="K59" s="214" t="str">
        <f>+RIGHT(I59,4)</f>
        <v>BDSL</v>
      </c>
      <c r="L59" s="224">
        <f t="shared" ref="L59:S59" si="25">+L46+($E$47*L46)</f>
        <v>33.769766410199665</v>
      </c>
      <c r="M59" s="224">
        <f t="shared" si="25"/>
        <v>32.662289423403784</v>
      </c>
      <c r="N59" s="224">
        <f t="shared" si="25"/>
        <v>33.326577491926599</v>
      </c>
      <c r="O59" s="224">
        <f t="shared" si="25"/>
        <v>35.425613875070184</v>
      </c>
      <c r="P59" s="224">
        <f t="shared" si="25"/>
        <v>37.287286297131367</v>
      </c>
      <c r="Q59" s="224">
        <f t="shared" si="25"/>
        <v>38.568125987585525</v>
      </c>
      <c r="R59" s="224">
        <f t="shared" si="25"/>
        <v>40.530966972254234</v>
      </c>
      <c r="S59" s="224">
        <f t="shared" si="25"/>
        <v>41.80784878489586</v>
      </c>
    </row>
    <row r="60" spans="5:23" ht="15.75" customHeight="1" x14ac:dyDescent="0.25">
      <c r="I60" s="12" t="str">
        <f t="shared" si="17"/>
        <v>IMP-GAS</v>
      </c>
      <c r="J60" s="214"/>
      <c r="K60" s="214" t="str">
        <f>+RIGHT(I60,3)</f>
        <v>GAS</v>
      </c>
      <c r="L60" s="224">
        <f t="shared" ref="L60:S60" si="26">+L47+($E$47*L47)</f>
        <v>5.9614087595400003</v>
      </c>
      <c r="M60" s="224">
        <f t="shared" si="26"/>
        <v>5.6403618157574993</v>
      </c>
      <c r="N60" s="224">
        <f t="shared" si="26"/>
        <v>6.1593105795974985</v>
      </c>
      <c r="O60" s="224">
        <f t="shared" si="26"/>
        <v>6.7283858302537496</v>
      </c>
      <c r="P60" s="224">
        <f t="shared" si="26"/>
        <v>6.8001557182649996</v>
      </c>
      <c r="Q60" s="224">
        <f t="shared" si="26"/>
        <v>6.8501068589362504</v>
      </c>
      <c r="R60" s="224">
        <f t="shared" si="26"/>
        <v>6.92888940797625</v>
      </c>
      <c r="S60" s="224">
        <f t="shared" si="26"/>
        <v>7.1296974719100001</v>
      </c>
    </row>
    <row r="61" spans="5:23" ht="15.75" customHeight="1" x14ac:dyDescent="0.25">
      <c r="I61" s="12" t="str">
        <f t="shared" si="17"/>
        <v>IMP-LOIL</v>
      </c>
      <c r="J61" s="214"/>
      <c r="K61" s="214" t="str">
        <f t="shared" ref="K61:K63" si="27">+RIGHT(I61,4)</f>
        <v>LOIL</v>
      </c>
      <c r="L61" s="224">
        <f t="shared" ref="L61:S61" si="28">+L48+($E$47*L48)</f>
        <v>11.775331229711625</v>
      </c>
      <c r="M61" s="224">
        <f t="shared" si="28"/>
        <v>11.121436086029737</v>
      </c>
      <c r="N61" s="224">
        <f t="shared" si="28"/>
        <v>13.511868844553376</v>
      </c>
      <c r="O61" s="224">
        <f t="shared" si="28"/>
        <v>14.931092887611694</v>
      </c>
      <c r="P61" s="224">
        <f t="shared" si="28"/>
        <v>16.609017773535232</v>
      </c>
      <c r="Q61" s="224">
        <f t="shared" si="28"/>
        <v>17.944627779639923</v>
      </c>
      <c r="R61" s="224">
        <f t="shared" si="28"/>
        <v>19.538416220090525</v>
      </c>
      <c r="S61" s="224">
        <f t="shared" si="28"/>
        <v>21.081243667623401</v>
      </c>
    </row>
    <row r="62" spans="5:23" ht="15.75" customHeight="1" x14ac:dyDescent="0.25">
      <c r="I62" s="12" t="str">
        <f t="shared" si="17"/>
        <v>IMP-MOIL</v>
      </c>
      <c r="J62" s="214"/>
      <c r="K62" s="214" t="str">
        <f t="shared" si="27"/>
        <v>MOIL</v>
      </c>
      <c r="L62" s="224">
        <f t="shared" ref="L62:S62" si="29">+L49+($E$47*L49)</f>
        <v>10.833488947313199</v>
      </c>
      <c r="M62" s="224">
        <f t="shared" si="29"/>
        <v>10.23189518544048</v>
      </c>
      <c r="N62" s="224">
        <f t="shared" si="29"/>
        <v>12.43113071975975</v>
      </c>
      <c r="O62" s="224">
        <f t="shared" si="29"/>
        <v>13.736839042039362</v>
      </c>
      <c r="P62" s="224">
        <f t="shared" si="29"/>
        <v>15.280556186930202</v>
      </c>
      <c r="Q62" s="224">
        <f t="shared" si="29"/>
        <v>16.509338287135332</v>
      </c>
      <c r="R62" s="224">
        <f t="shared" si="29"/>
        <v>17.975648585941251</v>
      </c>
      <c r="S62" s="224">
        <f t="shared" si="29"/>
        <v>19.395073974017421</v>
      </c>
    </row>
    <row r="63" spans="5:23" ht="15.75" customHeight="1" x14ac:dyDescent="0.25">
      <c r="I63" s="12" t="str">
        <f t="shared" si="17"/>
        <v>IMP-HOIL</v>
      </c>
      <c r="J63" s="214"/>
      <c r="K63" s="214" t="str">
        <f t="shared" si="27"/>
        <v>HOIL</v>
      </c>
      <c r="L63" s="224">
        <f t="shared" ref="L63:S63" si="30">+L50+($E$47*L50)</f>
        <v>8.9498043825163514</v>
      </c>
      <c r="M63" s="224">
        <f t="shared" si="30"/>
        <v>8.4528133842619742</v>
      </c>
      <c r="N63" s="224">
        <f t="shared" si="30"/>
        <v>10.269654470172512</v>
      </c>
      <c r="O63" s="224">
        <f t="shared" si="30"/>
        <v>11.3483313508947</v>
      </c>
      <c r="P63" s="224">
        <f t="shared" si="30"/>
        <v>12.623633013720156</v>
      </c>
      <c r="Q63" s="224">
        <f t="shared" si="30"/>
        <v>13.638759302126157</v>
      </c>
      <c r="R63" s="224">
        <f t="shared" si="30"/>
        <v>14.850113317642712</v>
      </c>
      <c r="S63" s="224">
        <f t="shared" si="30"/>
        <v>16.02273458680547</v>
      </c>
    </row>
    <row r="64" spans="5:23" ht="15.75" customHeight="1" x14ac:dyDescent="0.25">
      <c r="I64" s="12" t="str">
        <f t="shared" si="17"/>
        <v>IMP-SIN</v>
      </c>
      <c r="J64" s="214"/>
      <c r="K64" s="219" t="s">
        <v>901</v>
      </c>
      <c r="L64" s="226">
        <f>+L51+($E$47*L51)</f>
        <v>43.402777777777779</v>
      </c>
      <c r="M64" s="226">
        <f t="shared" ref="M64:S64" si="31">+L64</f>
        <v>43.402777777777779</v>
      </c>
      <c r="N64" s="226">
        <f t="shared" si="31"/>
        <v>43.402777777777779</v>
      </c>
      <c r="O64" s="226">
        <f t="shared" si="31"/>
        <v>43.402777777777779</v>
      </c>
      <c r="P64" s="226">
        <f t="shared" si="31"/>
        <v>43.402777777777779</v>
      </c>
      <c r="Q64" s="226">
        <f t="shared" si="31"/>
        <v>43.402777777777779</v>
      </c>
      <c r="R64" s="226">
        <f t="shared" si="31"/>
        <v>43.402777777777779</v>
      </c>
      <c r="S64" s="226">
        <f t="shared" si="31"/>
        <v>43.402777777777779</v>
      </c>
    </row>
    <row r="65" spans="9:19" ht="15.75" customHeight="1" x14ac:dyDescent="0.25">
      <c r="I65" s="12" t="s">
        <v>876</v>
      </c>
      <c r="K65" s="227" t="str">
        <f>+J52</f>
        <v>AVG</v>
      </c>
      <c r="L65" s="224">
        <f t="shared" ref="L65:S65" si="32">+L52*(100%+$E$47)</f>
        <v>26.813605072517298</v>
      </c>
      <c r="M65" s="224">
        <f t="shared" si="32"/>
        <v>26.467245218403331</v>
      </c>
      <c r="N65" s="224">
        <f t="shared" si="32"/>
        <v>27.575799941828908</v>
      </c>
      <c r="O65" s="224">
        <f t="shared" si="32"/>
        <v>30.125703942815584</v>
      </c>
      <c r="P65" s="224">
        <f t="shared" si="32"/>
        <v>32.789466799591537</v>
      </c>
      <c r="Q65" s="224">
        <f t="shared" si="32"/>
        <v>34.704938134888266</v>
      </c>
      <c r="R65" s="224">
        <f t="shared" si="32"/>
        <v>37.421264721338183</v>
      </c>
      <c r="S65" s="224">
        <f t="shared" si="32"/>
        <v>39.514997547956227</v>
      </c>
    </row>
    <row r="66" spans="9:19" ht="15.75" customHeight="1" x14ac:dyDescent="0.25"/>
    <row r="67" spans="9:19" ht="15.75" customHeight="1" x14ac:dyDescent="0.25"/>
    <row r="68" spans="9:19" ht="15.75" customHeight="1" x14ac:dyDescent="0.25"/>
    <row r="69" spans="9:19" ht="15.75" customHeight="1" x14ac:dyDescent="0.25"/>
    <row r="70" spans="9:19" ht="15.75" customHeight="1" x14ac:dyDescent="0.25"/>
    <row r="71" spans="9:19" ht="15.75" customHeight="1" x14ac:dyDescent="0.25"/>
    <row r="72" spans="9:19" ht="15.75" customHeight="1" x14ac:dyDescent="0.25">
      <c r="I72" s="12" t="s">
        <v>902</v>
      </c>
    </row>
    <row r="73" spans="9:19" ht="15.75" customHeight="1" x14ac:dyDescent="0.25">
      <c r="J73" s="12" t="s">
        <v>903</v>
      </c>
      <c r="K73" s="18" t="s">
        <v>904</v>
      </c>
      <c r="L73" s="18" t="s">
        <v>905</v>
      </c>
      <c r="M73" s="12" t="s">
        <v>906</v>
      </c>
    </row>
    <row r="74" spans="9:19" ht="15.75" customHeight="1" x14ac:dyDescent="0.25">
      <c r="I74" s="12" t="s">
        <v>907</v>
      </c>
      <c r="J74" s="12" t="s">
        <v>908</v>
      </c>
      <c r="K74" s="18">
        <v>56.261001999999998</v>
      </c>
      <c r="L74" s="18">
        <f t="shared" ref="L74:L76" si="33">+K74/$J$80</f>
        <v>9.9388771706679382</v>
      </c>
    </row>
    <row r="75" spans="9:19" ht="15.75" customHeight="1" x14ac:dyDescent="0.25">
      <c r="I75" s="12" t="s">
        <v>909</v>
      </c>
      <c r="J75" s="12" t="s">
        <v>910</v>
      </c>
      <c r="K75" s="18">
        <f>+K74-4.5</f>
        <v>51.761001999999998</v>
      </c>
      <c r="L75" s="18">
        <f t="shared" si="33"/>
        <v>9.1439224830851291</v>
      </c>
      <c r="M75" s="228">
        <f>+(L75-L74)/L74</f>
        <v>-7.9984355770983381E-2</v>
      </c>
    </row>
    <row r="76" spans="9:19" ht="15.75" customHeight="1" x14ac:dyDescent="0.25">
      <c r="I76" s="12" t="s">
        <v>911</v>
      </c>
      <c r="J76" s="12" t="s">
        <v>912</v>
      </c>
      <c r="K76" s="18">
        <f>+K75-9</f>
        <v>42.761001999999998</v>
      </c>
      <c r="L76" s="18">
        <f t="shared" si="33"/>
        <v>7.5540131079195145</v>
      </c>
      <c r="M76" s="228">
        <f>+(L76-L74)/L74</f>
        <v>-0.2399530673129498</v>
      </c>
    </row>
    <row r="77" spans="9:19" ht="15.75" customHeight="1" x14ac:dyDescent="0.25"/>
    <row r="78" spans="9:19" ht="15.75" customHeight="1" x14ac:dyDescent="0.25"/>
    <row r="79" spans="9:19" ht="15.75" customHeight="1" x14ac:dyDescent="0.25"/>
    <row r="80" spans="9:19" ht="15.75" customHeight="1" x14ac:dyDescent="0.25">
      <c r="I80" s="12" t="s">
        <v>913</v>
      </c>
      <c r="J80" s="12">
        <v>5.6607000000000003</v>
      </c>
      <c r="K80" s="12" t="s">
        <v>905</v>
      </c>
    </row>
    <row r="81" spans="9:41" ht="15.75" customHeight="1" x14ac:dyDescent="0.25">
      <c r="J81" s="12" t="s">
        <v>908</v>
      </c>
      <c r="K81" s="12" t="s">
        <v>908</v>
      </c>
    </row>
    <row r="82" spans="9:41" ht="15.75" customHeight="1" x14ac:dyDescent="0.25">
      <c r="J82" s="12">
        <f>4.5/J80</f>
        <v>0.79495468758280774</v>
      </c>
      <c r="K82" s="12" t="s">
        <v>914</v>
      </c>
    </row>
    <row r="83" spans="9:41" ht="15.75" customHeight="1" x14ac:dyDescent="0.25">
      <c r="J83" s="12">
        <f>9/J80</f>
        <v>1.5899093751656155</v>
      </c>
      <c r="K83" s="12" t="s">
        <v>915</v>
      </c>
    </row>
    <row r="84" spans="9:41" ht="15.75" customHeight="1" x14ac:dyDescent="0.25"/>
    <row r="85" spans="9:41" ht="15.75" customHeight="1" x14ac:dyDescent="0.25"/>
    <row r="86" spans="9:41" ht="15.75" customHeight="1" x14ac:dyDescent="0.25"/>
    <row r="87" spans="9:41" ht="15.75" customHeight="1" x14ac:dyDescent="0.25"/>
    <row r="88" spans="9:41" ht="15.75" customHeight="1" x14ac:dyDescent="0.25"/>
    <row r="89" spans="9:41" ht="15.75" customHeight="1" x14ac:dyDescent="0.25"/>
    <row r="90" spans="9:41" ht="15.75" customHeight="1" x14ac:dyDescent="0.25"/>
    <row r="91" spans="9:41" ht="15.75" customHeight="1" x14ac:dyDescent="0.25"/>
    <row r="92" spans="9:41" ht="15.75" customHeight="1" x14ac:dyDescent="0.25"/>
    <row r="93" spans="9:41" ht="15.75" customHeight="1" x14ac:dyDescent="0.25"/>
    <row r="94" spans="9:41" ht="15.75" customHeight="1" x14ac:dyDescent="0.25"/>
    <row r="95" spans="9:41" ht="15.75" customHeight="1" x14ac:dyDescent="0.25">
      <c r="I95" s="12" t="s">
        <v>916</v>
      </c>
    </row>
    <row r="96" spans="9:41" ht="15.75" customHeight="1" x14ac:dyDescent="0.25">
      <c r="J96" s="12">
        <v>2019</v>
      </c>
      <c r="K96" s="12">
        <v>2020</v>
      </c>
      <c r="L96" s="12">
        <v>2021</v>
      </c>
      <c r="M96" s="12">
        <v>2022</v>
      </c>
      <c r="N96" s="12">
        <v>2023</v>
      </c>
      <c r="O96" s="12">
        <v>2024</v>
      </c>
      <c r="P96" s="12">
        <v>2025</v>
      </c>
      <c r="Q96" s="12">
        <v>2026</v>
      </c>
      <c r="R96" s="12">
        <v>2027</v>
      </c>
      <c r="S96" s="12">
        <v>2028</v>
      </c>
      <c r="T96" s="12">
        <v>2029</v>
      </c>
      <c r="U96" s="12">
        <v>2030</v>
      </c>
      <c r="V96" s="12">
        <v>2031</v>
      </c>
      <c r="W96" s="12">
        <v>2032</v>
      </c>
      <c r="X96" s="12">
        <v>2033</v>
      </c>
      <c r="Y96" s="12">
        <v>2034</v>
      </c>
      <c r="Z96" s="12">
        <v>2035</v>
      </c>
      <c r="AA96" s="12">
        <v>2036</v>
      </c>
      <c r="AB96" s="12">
        <v>2037</v>
      </c>
      <c r="AC96" s="12">
        <v>2038</v>
      </c>
      <c r="AD96" s="12">
        <v>2039</v>
      </c>
      <c r="AE96" s="12">
        <v>2040</v>
      </c>
      <c r="AF96" s="12">
        <v>2041</v>
      </c>
      <c r="AG96" s="12">
        <v>2042</v>
      </c>
      <c r="AH96" s="12">
        <v>2043</v>
      </c>
      <c r="AI96" s="12">
        <v>2044</v>
      </c>
      <c r="AJ96" s="12">
        <v>2045</v>
      </c>
      <c r="AK96" s="12">
        <v>2046</v>
      </c>
      <c r="AL96" s="12">
        <v>2047</v>
      </c>
      <c r="AM96" s="12">
        <v>2048</v>
      </c>
      <c r="AN96" s="12">
        <v>2049</v>
      </c>
      <c r="AO96" s="12">
        <v>2050</v>
      </c>
    </row>
    <row r="97" spans="9:41" ht="15.75" customHeight="1" x14ac:dyDescent="0.25">
      <c r="I97" s="12" t="s">
        <v>8</v>
      </c>
      <c r="J97" s="229">
        <v>22.152425999999998</v>
      </c>
      <c r="K97" s="230">
        <v>21.94087</v>
      </c>
      <c r="L97" s="229">
        <v>21.968945999999999</v>
      </c>
      <c r="M97" s="230">
        <v>21.978165000000001</v>
      </c>
      <c r="N97" s="229">
        <v>21.894269999999999</v>
      </c>
      <c r="O97" s="230">
        <v>21.607965</v>
      </c>
      <c r="P97" s="229">
        <v>21.857471</v>
      </c>
      <c r="Q97" s="230">
        <v>22.043116000000001</v>
      </c>
      <c r="R97" s="229">
        <v>22.312280999999999</v>
      </c>
      <c r="S97" s="230">
        <v>22.424955000000001</v>
      </c>
      <c r="T97" s="229">
        <v>22.720831</v>
      </c>
      <c r="U97" s="230">
        <v>23.424423000000001</v>
      </c>
      <c r="V97" s="229">
        <v>23.588041</v>
      </c>
      <c r="W97" s="230">
        <v>23.796983999999998</v>
      </c>
      <c r="X97" s="229">
        <v>24.220589</v>
      </c>
      <c r="Y97" s="230">
        <v>24.608730000000001</v>
      </c>
      <c r="Z97" s="229">
        <v>24.865734</v>
      </c>
      <c r="AA97" s="230">
        <v>25.162941</v>
      </c>
      <c r="AB97" s="229">
        <v>25.240604000000001</v>
      </c>
      <c r="AC97" s="230">
        <v>25.517137999999999</v>
      </c>
      <c r="AD97" s="229">
        <v>25.858951999999999</v>
      </c>
      <c r="AE97" s="230">
        <v>25.951355</v>
      </c>
      <c r="AF97" s="229">
        <v>26.136623</v>
      </c>
      <c r="AG97" s="230">
        <v>26.539719000000002</v>
      </c>
      <c r="AH97" s="229">
        <v>26.75515</v>
      </c>
      <c r="AI97" s="230">
        <v>26.964805999999999</v>
      </c>
      <c r="AJ97" s="229">
        <v>27.311302000000001</v>
      </c>
      <c r="AK97" s="230">
        <v>27.396849</v>
      </c>
      <c r="AL97" s="229">
        <v>27.872745999999999</v>
      </c>
      <c r="AM97" s="230">
        <v>28.194441000000001</v>
      </c>
      <c r="AN97" s="229">
        <v>28.439672000000002</v>
      </c>
      <c r="AO97" s="230">
        <v>28.648949000000002</v>
      </c>
    </row>
    <row r="98" spans="9:41" ht="15.75" customHeight="1" x14ac:dyDescent="0.25">
      <c r="I98" s="12" t="s">
        <v>14</v>
      </c>
      <c r="J98" s="229">
        <v>22.055973000000002</v>
      </c>
      <c r="K98" s="230">
        <v>21.332649</v>
      </c>
      <c r="L98" s="229">
        <v>21.307634</v>
      </c>
      <c r="M98" s="230">
        <v>21.509706000000001</v>
      </c>
      <c r="N98" s="229">
        <v>21.507311000000001</v>
      </c>
      <c r="O98" s="230">
        <v>21.769124999999999</v>
      </c>
      <c r="P98" s="229">
        <v>21.766514000000001</v>
      </c>
      <c r="Q98" s="230">
        <v>22.167186999999998</v>
      </c>
      <c r="R98" s="229">
        <v>22.215661999999998</v>
      </c>
      <c r="S98" s="230">
        <v>22.559709999999999</v>
      </c>
      <c r="T98" s="229">
        <v>22.7668</v>
      </c>
      <c r="U98" s="230">
        <v>23.137453000000001</v>
      </c>
      <c r="V98" s="229">
        <v>23.400127000000001</v>
      </c>
      <c r="W98" s="230">
        <v>23.565245000000001</v>
      </c>
      <c r="X98" s="229">
        <v>23.939878</v>
      </c>
      <c r="Y98" s="230">
        <v>24.132757000000002</v>
      </c>
      <c r="Z98" s="229">
        <v>24.353363000000002</v>
      </c>
      <c r="AA98" s="230">
        <v>24.599989000000001</v>
      </c>
      <c r="AB98" s="229">
        <v>24.760366000000001</v>
      </c>
      <c r="AC98" s="230">
        <v>24.966681000000001</v>
      </c>
      <c r="AD98" s="229">
        <v>25.188585</v>
      </c>
      <c r="AE98" s="230">
        <v>25.189914999999999</v>
      </c>
      <c r="AF98" s="229">
        <v>25.361546000000001</v>
      </c>
      <c r="AG98" s="230">
        <v>25.739941000000002</v>
      </c>
      <c r="AH98" s="229">
        <v>25.903061000000001</v>
      </c>
      <c r="AI98" s="230">
        <v>26.101400000000002</v>
      </c>
      <c r="AJ98" s="229">
        <v>26.471900999999999</v>
      </c>
      <c r="AK98" s="230">
        <v>26.487107999999999</v>
      </c>
      <c r="AL98" s="229">
        <v>26.746400999999999</v>
      </c>
      <c r="AM98" s="230">
        <v>26.985009999999999</v>
      </c>
      <c r="AN98" s="229">
        <v>27.152633999999999</v>
      </c>
      <c r="AO98" s="230">
        <v>27.305868</v>
      </c>
    </row>
    <row r="99" spans="9:41" ht="15.75" customHeight="1" x14ac:dyDescent="0.25">
      <c r="I99" s="12" t="s">
        <v>18</v>
      </c>
      <c r="J99" s="229">
        <v>14.641048</v>
      </c>
      <c r="K99" s="230">
        <v>14.449450000000001</v>
      </c>
      <c r="L99" s="229">
        <v>14.469915</v>
      </c>
      <c r="M99" s="230">
        <v>14.677915</v>
      </c>
      <c r="N99" s="229">
        <v>14.784328</v>
      </c>
      <c r="O99" s="230">
        <v>15.181978000000001</v>
      </c>
      <c r="P99" s="229">
        <v>15.254274000000001</v>
      </c>
      <c r="Q99" s="230">
        <v>15.71048</v>
      </c>
      <c r="R99" s="229">
        <v>15.739540999999999</v>
      </c>
      <c r="S99" s="230">
        <v>16.214652999999998</v>
      </c>
      <c r="T99" s="229">
        <v>16.425370999999998</v>
      </c>
      <c r="U99" s="230">
        <v>16.664819999999999</v>
      </c>
      <c r="V99" s="229">
        <v>17.012841999999999</v>
      </c>
      <c r="W99" s="230">
        <v>17.187419999999999</v>
      </c>
      <c r="X99" s="229">
        <v>17.583839000000001</v>
      </c>
      <c r="Y99" s="230">
        <v>17.868292</v>
      </c>
      <c r="Z99" s="229">
        <v>18.138349999999999</v>
      </c>
      <c r="AA99" s="230">
        <v>18.383088999999998</v>
      </c>
      <c r="AB99" s="229">
        <v>18.624289999999998</v>
      </c>
      <c r="AC99" s="230">
        <v>18.83005</v>
      </c>
      <c r="AD99" s="229">
        <v>19.106794000000001</v>
      </c>
      <c r="AE99" s="230">
        <v>19.197942999999999</v>
      </c>
      <c r="AF99" s="229">
        <v>19.450199000000001</v>
      </c>
      <c r="AG99" s="230">
        <v>19.834574</v>
      </c>
      <c r="AH99" s="229">
        <v>20.040814999999998</v>
      </c>
      <c r="AI99" s="230">
        <v>20.276285000000001</v>
      </c>
      <c r="AJ99" s="229">
        <v>20.70055</v>
      </c>
      <c r="AK99" s="230">
        <v>20.752966000000001</v>
      </c>
      <c r="AL99" s="229">
        <v>21.175343999999999</v>
      </c>
      <c r="AM99" s="230">
        <v>21.518598999999998</v>
      </c>
      <c r="AN99" s="229">
        <v>21.766680000000001</v>
      </c>
      <c r="AO99" s="230">
        <v>21.858753</v>
      </c>
    </row>
    <row r="100" spans="9:41" ht="15.75" customHeight="1" x14ac:dyDescent="0.25">
      <c r="I100" s="12" t="s">
        <v>22</v>
      </c>
      <c r="J100" s="229">
        <v>18.517337999999999</v>
      </c>
      <c r="K100" s="230">
        <v>17.795781999999999</v>
      </c>
      <c r="L100" s="229">
        <v>18.164116</v>
      </c>
      <c r="M100" s="230">
        <v>18.891821</v>
      </c>
      <c r="N100" s="229">
        <v>19.477640000000001</v>
      </c>
      <c r="O100" s="230">
        <v>20.115549000000001</v>
      </c>
      <c r="P100" s="229">
        <v>20.967055999999999</v>
      </c>
      <c r="Q100" s="230">
        <v>21.841379</v>
      </c>
      <c r="R100" s="229">
        <v>22.424021</v>
      </c>
      <c r="S100" s="230">
        <v>22.825673999999999</v>
      </c>
      <c r="T100" s="229">
        <v>23.067326999999999</v>
      </c>
      <c r="U100" s="230">
        <v>23.235030999999999</v>
      </c>
      <c r="V100" s="229">
        <v>23.271035999999999</v>
      </c>
      <c r="W100" s="230">
        <v>23.351419</v>
      </c>
      <c r="X100" s="229">
        <v>23.62575</v>
      </c>
      <c r="Y100" s="230">
        <v>23.87743</v>
      </c>
      <c r="Z100" s="229">
        <v>24.152052000000001</v>
      </c>
      <c r="AA100" s="230">
        <v>24.470886</v>
      </c>
      <c r="AB100" s="229">
        <v>24.818118999999999</v>
      </c>
      <c r="AC100" s="230">
        <v>25.156732999999999</v>
      </c>
      <c r="AD100" s="229">
        <v>25.476082000000002</v>
      </c>
      <c r="AE100" s="230">
        <v>25.756554000000001</v>
      </c>
      <c r="AF100" s="229">
        <v>26.017603000000001</v>
      </c>
      <c r="AG100" s="230">
        <v>26.396612000000001</v>
      </c>
      <c r="AH100" s="229">
        <v>26.704369</v>
      </c>
      <c r="AI100" s="230">
        <v>27.004362</v>
      </c>
      <c r="AJ100" s="229">
        <v>27.302423000000001</v>
      </c>
      <c r="AK100" s="230">
        <v>27.590530000000001</v>
      </c>
      <c r="AL100" s="229">
        <v>27.952341000000001</v>
      </c>
      <c r="AM100" s="230">
        <v>28.331855999999998</v>
      </c>
      <c r="AN100" s="229">
        <v>28.642916</v>
      </c>
      <c r="AO100" s="230">
        <v>28.935759999999998</v>
      </c>
    </row>
    <row r="101" spans="9:41" ht="15.75" customHeight="1" x14ac:dyDescent="0.25">
      <c r="I101" s="12" t="s">
        <v>26</v>
      </c>
      <c r="J101" s="229">
        <v>9.7503069999999994</v>
      </c>
      <c r="K101" s="230">
        <v>10.19247</v>
      </c>
      <c r="L101" s="229">
        <v>10.271381</v>
      </c>
      <c r="M101" s="230">
        <v>10.173702</v>
      </c>
      <c r="N101" s="229">
        <v>9.1834290000000003</v>
      </c>
      <c r="O101" s="230">
        <v>9.5545159999999996</v>
      </c>
      <c r="P101" s="229">
        <v>9.8769209999999994</v>
      </c>
      <c r="Q101" s="230">
        <v>10.457724000000001</v>
      </c>
      <c r="R101" s="229">
        <v>11.210336</v>
      </c>
      <c r="S101" s="230">
        <v>11.536975999999999</v>
      </c>
      <c r="T101" s="229">
        <v>11.842731000000001</v>
      </c>
      <c r="U101" s="230">
        <v>11.37082</v>
      </c>
      <c r="V101" s="229">
        <v>11.605115</v>
      </c>
      <c r="W101" s="230">
        <v>11.676685000000001</v>
      </c>
      <c r="X101" s="229">
        <v>11.933399</v>
      </c>
      <c r="Y101" s="230">
        <v>12.064242</v>
      </c>
      <c r="Z101" s="229">
        <v>12.697660000000001</v>
      </c>
      <c r="AA101" s="230">
        <v>13.116432</v>
      </c>
      <c r="AB101" s="229">
        <v>13.224297</v>
      </c>
      <c r="AC101" s="230">
        <v>13.736769000000001</v>
      </c>
      <c r="AD101" s="229">
        <v>13.914393</v>
      </c>
      <c r="AE101" s="230">
        <v>14.113455</v>
      </c>
      <c r="AF101" s="229">
        <v>14.229108</v>
      </c>
      <c r="AG101" s="230">
        <v>14.283981000000001</v>
      </c>
      <c r="AH101" s="229">
        <v>14.843826</v>
      </c>
      <c r="AI101" s="230">
        <v>15.073577</v>
      </c>
      <c r="AJ101" s="229">
        <v>15.086976</v>
      </c>
      <c r="AK101" s="230">
        <v>15.677839000000001</v>
      </c>
      <c r="AL101" s="229">
        <v>15.942997</v>
      </c>
      <c r="AM101" s="230">
        <v>16.146730000000002</v>
      </c>
      <c r="AN101" s="229">
        <v>16.344221000000001</v>
      </c>
      <c r="AO101" s="230">
        <v>15.920506</v>
      </c>
    </row>
    <row r="102" spans="9:41" ht="15.75" customHeight="1" x14ac:dyDescent="0.25">
      <c r="I102" s="12" t="s">
        <v>30</v>
      </c>
      <c r="J102" s="12">
        <v>16.336877005347596</v>
      </c>
      <c r="K102" s="12">
        <v>15.906911905432029</v>
      </c>
      <c r="L102" s="12">
        <v>16.583545735997749</v>
      </c>
      <c r="M102" s="12">
        <v>17.425744441317196</v>
      </c>
      <c r="N102" s="12">
        <v>17.265841823810863</v>
      </c>
      <c r="O102" s="12">
        <v>17.183804109203489</v>
      </c>
      <c r="P102" s="12">
        <v>17.76969997185477</v>
      </c>
      <c r="Q102" s="12">
        <v>17.949379116239797</v>
      </c>
      <c r="R102" s="12">
        <v>18.489267661131436</v>
      </c>
      <c r="S102" s="12">
        <v>19.181316070925977</v>
      </c>
      <c r="T102" s="12">
        <v>19.59553560371517</v>
      </c>
      <c r="U102" s="12">
        <v>20.679272727272728</v>
      </c>
      <c r="V102" s="12">
        <v>20.745623979735434</v>
      </c>
      <c r="W102" s="12">
        <v>20.815344216155363</v>
      </c>
      <c r="X102" s="12">
        <v>20.860866873065014</v>
      </c>
      <c r="Y102" s="12">
        <v>20.756759358288768</v>
      </c>
      <c r="Z102" s="12">
        <v>20.835061638052352</v>
      </c>
      <c r="AA102" s="12">
        <v>20.885974669293553</v>
      </c>
      <c r="AB102" s="12">
        <v>20.979112299465239</v>
      </c>
      <c r="AC102" s="12">
        <v>21.052343371798479</v>
      </c>
      <c r="AD102" s="12">
        <v>21.330976076555025</v>
      </c>
      <c r="AE102" s="12">
        <v>21.42243512524627</v>
      </c>
      <c r="AF102" s="12">
        <v>21.491599774838164</v>
      </c>
      <c r="AG102" s="12">
        <v>21.928314663664509</v>
      </c>
      <c r="AH102" s="12">
        <v>22.202857303687022</v>
      </c>
      <c r="AI102" s="12">
        <v>22.659845201238387</v>
      </c>
      <c r="AJ102" s="12">
        <v>22.587926259499014</v>
      </c>
      <c r="AK102" s="12">
        <v>22.963514776245425</v>
      </c>
      <c r="AL102" s="12">
        <v>23.469701660568532</v>
      </c>
      <c r="AM102" s="12">
        <v>23.726725584013508</v>
      </c>
      <c r="AN102" s="12">
        <v>24.321664508865748</v>
      </c>
      <c r="AO102" s="12">
        <v>25.480807768083309</v>
      </c>
    </row>
    <row r="103" spans="9:41" ht="15.75" customHeight="1" x14ac:dyDescent="0.25">
      <c r="I103" s="12" t="s">
        <v>32</v>
      </c>
      <c r="J103" s="12">
        <v>28.503195372270948</v>
      </c>
      <c r="K103" s="12">
        <v>27.56843519236628</v>
      </c>
      <c r="L103" s="12">
        <v>27.536108011323876</v>
      </c>
      <c r="M103" s="12">
        <v>27.797248052403248</v>
      </c>
      <c r="N103" s="12">
        <v>27.794152965511518</v>
      </c>
      <c r="O103" s="12">
        <v>28.132498301407413</v>
      </c>
      <c r="P103" s="12">
        <v>28.129124075155097</v>
      </c>
      <c r="Q103" s="12">
        <v>28.646918542866576</v>
      </c>
      <c r="R103" s="12">
        <v>28.709563360017508</v>
      </c>
      <c r="S103" s="12">
        <v>29.154180668963214</v>
      </c>
      <c r="T103" s="12">
        <v>29.421805530928889</v>
      </c>
      <c r="U103" s="12">
        <v>29.90080479676578</v>
      </c>
      <c r="V103" s="12">
        <v>30.240261520856617</v>
      </c>
      <c r="W103" s="12">
        <v>30.453645469661708</v>
      </c>
      <c r="X103" s="12">
        <v>30.937788136679849</v>
      </c>
      <c r="Y103" s="12">
        <v>31.187047954880036</v>
      </c>
      <c r="Z103" s="12">
        <v>31.472139703872259</v>
      </c>
      <c r="AA103" s="12">
        <v>31.79085740732074</v>
      </c>
      <c r="AB103" s="12">
        <v>31.99811450562326</v>
      </c>
      <c r="AC103" s="12">
        <v>32.264737825901626</v>
      </c>
      <c r="AD103" s="12">
        <v>32.551506995681095</v>
      </c>
      <c r="AE103" s="12">
        <v>32.553225770447689</v>
      </c>
      <c r="AF103" s="12">
        <v>32.775026546361701</v>
      </c>
      <c r="AG103" s="12">
        <v>33.264030890576777</v>
      </c>
      <c r="AH103" s="12">
        <v>33.474832800296412</v>
      </c>
      <c r="AI103" s="12">
        <v>33.731148641222632</v>
      </c>
      <c r="AJ103" s="12">
        <v>34.209951475657626</v>
      </c>
      <c r="AK103" s="12">
        <v>34.229603662030271</v>
      </c>
      <c r="AL103" s="12">
        <v>34.564691079740761</v>
      </c>
      <c r="AM103" s="12">
        <v>34.873048319051037</v>
      </c>
      <c r="AN103" s="12">
        <v>35.089670801363731</v>
      </c>
      <c r="AO103" s="12">
        <v>35.287696916088954</v>
      </c>
    </row>
    <row r="104" spans="9:41" ht="15.75" customHeight="1" x14ac:dyDescent="0.25">
      <c r="I104" s="12" t="s">
        <v>7</v>
      </c>
      <c r="J104" s="229">
        <v>5.0316960000000002</v>
      </c>
      <c r="K104" s="230">
        <v>4.7607179999999998</v>
      </c>
      <c r="L104" s="229">
        <v>4.8476780000000002</v>
      </c>
      <c r="M104" s="230">
        <v>4.8332069999999998</v>
      </c>
      <c r="N104" s="229">
        <v>4.8686489999999996</v>
      </c>
      <c r="O104" s="230">
        <v>4.9797479999999998</v>
      </c>
      <c r="P104" s="229">
        <v>5.198734</v>
      </c>
      <c r="Q104" s="230">
        <v>5.4027200000000004</v>
      </c>
      <c r="R104" s="229">
        <v>5.5522840000000002</v>
      </c>
      <c r="S104" s="230">
        <v>5.6320800000000002</v>
      </c>
      <c r="T104" s="229">
        <v>5.6439170000000001</v>
      </c>
      <c r="U104" s="230">
        <v>5.6790589999999996</v>
      </c>
      <c r="V104" s="229">
        <v>5.6373389999999999</v>
      </c>
      <c r="W104" s="230">
        <v>5.6477459999999997</v>
      </c>
      <c r="X104" s="229">
        <v>5.7140750000000002</v>
      </c>
      <c r="Y104" s="230">
        <v>5.7420039999999997</v>
      </c>
      <c r="Z104" s="229">
        <v>5.739636</v>
      </c>
      <c r="AA104" s="230">
        <v>5.7297529999999997</v>
      </c>
      <c r="AB104" s="229">
        <v>5.7619749999999996</v>
      </c>
      <c r="AC104" s="230">
        <v>5.7804820000000001</v>
      </c>
      <c r="AD104" s="229">
        <v>5.7848649999999999</v>
      </c>
      <c r="AE104" s="230">
        <v>5.7817970000000001</v>
      </c>
      <c r="AF104" s="229">
        <v>5.7831630000000001</v>
      </c>
      <c r="AG104" s="230">
        <v>5.7969949999999999</v>
      </c>
      <c r="AH104" s="229">
        <v>5.8079429999999999</v>
      </c>
      <c r="AI104" s="230">
        <v>5.8250010000000003</v>
      </c>
      <c r="AJ104" s="229">
        <v>5.848293</v>
      </c>
      <c r="AK104" s="230">
        <v>5.8874190000000004</v>
      </c>
      <c r="AL104" s="229">
        <v>5.9310219999999996</v>
      </c>
      <c r="AM104" s="230">
        <v>5.9516270000000002</v>
      </c>
      <c r="AN104" s="229">
        <v>5.9727379999999997</v>
      </c>
      <c r="AO104" s="230">
        <v>6.0177839999999998</v>
      </c>
    </row>
    <row r="105" spans="9:41" ht="16.5" customHeight="1" x14ac:dyDescent="0.25">
      <c r="I105" s="12" t="s">
        <v>13</v>
      </c>
      <c r="J105" s="12">
        <f t="shared" ref="J105:AO105" si="34">+J108</f>
        <v>9.9389069659747609</v>
      </c>
      <c r="K105" s="12">
        <f t="shared" si="34"/>
        <v>9.3869901772428523</v>
      </c>
      <c r="L105" s="12">
        <f t="shared" si="34"/>
        <v>10.287079260646848</v>
      </c>
      <c r="M105" s="12">
        <f t="shared" si="34"/>
        <v>10.535673289409495</v>
      </c>
      <c r="N105" s="12">
        <f t="shared" si="34"/>
        <v>10.74174170797278</v>
      </c>
      <c r="O105" s="12">
        <f t="shared" si="34"/>
        <v>11.129993971580372</v>
      </c>
      <c r="P105" s="12">
        <f t="shared" si="34"/>
        <v>11.404622491095539</v>
      </c>
      <c r="Q105" s="12">
        <f t="shared" si="34"/>
        <v>11.693615001593368</v>
      </c>
      <c r="R105" s="12">
        <f t="shared" si="34"/>
        <v>11.97288183063062</v>
      </c>
      <c r="S105" s="12">
        <f t="shared" si="34"/>
        <v>12.106750658115047</v>
      </c>
      <c r="T105" s="12">
        <f t="shared" si="34"/>
        <v>12.377995487022886</v>
      </c>
      <c r="U105" s="12">
        <f t="shared" si="34"/>
        <v>12.602511149398413</v>
      </c>
      <c r="V105" s="12">
        <f t="shared" si="34"/>
        <v>12.89947849257279</v>
      </c>
      <c r="W105" s="12">
        <f t="shared" si="34"/>
        <v>13.05019617018589</v>
      </c>
      <c r="X105" s="12">
        <f t="shared" si="34"/>
        <v>13.528408425775462</v>
      </c>
      <c r="Y105" s="12">
        <f t="shared" si="34"/>
        <v>13.746138157938017</v>
      </c>
      <c r="Z105" s="12">
        <f t="shared" si="34"/>
        <v>14.018754906092827</v>
      </c>
      <c r="AA105" s="12">
        <f t="shared" si="34"/>
        <v>14.383410900612422</v>
      </c>
      <c r="AB105" s="12">
        <f t="shared" si="34"/>
        <v>14.451363477705129</v>
      </c>
      <c r="AC105" s="12">
        <f t="shared" si="34"/>
        <v>14.722348267322275</v>
      </c>
      <c r="AD105" s="12">
        <f t="shared" si="34"/>
        <v>14.97849385828558</v>
      </c>
      <c r="AE105" s="12">
        <f t="shared" si="34"/>
        <v>15.146069572197943</v>
      </c>
      <c r="AF105" s="12">
        <f t="shared" si="34"/>
        <v>15.324567642948036</v>
      </c>
      <c r="AG105" s="12">
        <f t="shared" si="34"/>
        <v>15.726956186501802</v>
      </c>
      <c r="AH105" s="12">
        <f t="shared" si="34"/>
        <v>15.920432485064548</v>
      </c>
      <c r="AI105" s="12">
        <f t="shared" si="34"/>
        <v>16.14669086999627</v>
      </c>
      <c r="AJ105" s="12">
        <f t="shared" si="34"/>
        <v>16.491298400506025</v>
      </c>
      <c r="AK105" s="12">
        <f t="shared" si="34"/>
        <v>16.614746224078669</v>
      </c>
      <c r="AL105" s="12">
        <f t="shared" si="34"/>
        <v>17.032564177747016</v>
      </c>
      <c r="AM105" s="12">
        <f t="shared" si="34"/>
        <v>17.354044993811897</v>
      </c>
      <c r="AN105" s="12">
        <f t="shared" si="34"/>
        <v>17.615031873336019</v>
      </c>
      <c r="AO105" s="12">
        <f t="shared" si="34"/>
        <v>17.793513868287572</v>
      </c>
    </row>
    <row r="106" spans="9:41" ht="15.75" customHeight="1" x14ac:dyDescent="0.25">
      <c r="I106" s="12" t="s">
        <v>17</v>
      </c>
      <c r="J106" s="12">
        <f t="shared" ref="J106:AO106" si="35">+J105*(100%+$M$75)</f>
        <v>9.143949895233531</v>
      </c>
      <c r="K106" s="12">
        <f t="shared" si="35"/>
        <v>8.6361778152875335</v>
      </c>
      <c r="L106" s="12">
        <f t="shared" si="35"/>
        <v>9.4642738532189661</v>
      </c>
      <c r="M106" s="12">
        <f t="shared" si="35"/>
        <v>9.6929842487425191</v>
      </c>
      <c r="N106" s="12">
        <f t="shared" si="35"/>
        <v>9.8825704176022739</v>
      </c>
      <c r="O106" s="12">
        <f t="shared" si="35"/>
        <v>10.239768574028588</v>
      </c>
      <c r="P106" s="12">
        <f t="shared" si="35"/>
        <v>10.492431108333994</v>
      </c>
      <c r="Q106" s="12">
        <f t="shared" si="35"/>
        <v>10.758308739057016</v>
      </c>
      <c r="R106" s="12">
        <f t="shared" si="35"/>
        <v>11.015238590685517</v>
      </c>
      <c r="S106" s="12">
        <f t="shared" si="35"/>
        <v>11.138400006245785</v>
      </c>
      <c r="T106" s="12">
        <f t="shared" si="35"/>
        <v>11.387949492257221</v>
      </c>
      <c r="U106" s="12">
        <f t="shared" si="35"/>
        <v>11.594507414017146</v>
      </c>
      <c r="V106" s="12">
        <f t="shared" si="35"/>
        <v>11.8677220155627</v>
      </c>
      <c r="W106" s="12">
        <f t="shared" si="35"/>
        <v>12.006384636828617</v>
      </c>
      <c r="X106" s="12">
        <f t="shared" si="35"/>
        <v>12.446347393233069</v>
      </c>
      <c r="Y106" s="12">
        <f t="shared" si="35"/>
        <v>12.646662153036411</v>
      </c>
      <c r="Z106" s="12">
        <f t="shared" si="35"/>
        <v>12.897473826217679</v>
      </c>
      <c r="AA106" s="12">
        <f t="shared" si="35"/>
        <v>13.232963045937597</v>
      </c>
      <c r="AB106" s="12">
        <f t="shared" si="35"/>
        <v>13.295480479928566</v>
      </c>
      <c r="AC106" s="12">
        <f t="shared" si="35"/>
        <v>13.544790725724448</v>
      </c>
      <c r="AD106" s="12">
        <f t="shared" si="35"/>
        <v>13.780448676610977</v>
      </c>
      <c r="AE106" s="12">
        <f t="shared" si="35"/>
        <v>13.934620955003197</v>
      </c>
      <c r="AF106" s="12">
        <f t="shared" si="35"/>
        <v>14.098841972557979</v>
      </c>
      <c r="AG106" s="12">
        <f t="shared" si="35"/>
        <v>14.469045727685973</v>
      </c>
      <c r="AH106" s="12">
        <f t="shared" si="35"/>
        <v>14.647046949151225</v>
      </c>
      <c r="AI106" s="12">
        <f t="shared" si="35"/>
        <v>14.855208202926399</v>
      </c>
      <c r="AJ106" s="12">
        <f t="shared" si="35"/>
        <v>15.172252522114501</v>
      </c>
      <c r="AK106" s="12">
        <f t="shared" si="35"/>
        <v>15.285826451047358</v>
      </c>
      <c r="AL106" s="12">
        <f t="shared" si="35"/>
        <v>15.670225504861991</v>
      </c>
      <c r="AM106" s="12">
        <f t="shared" si="35"/>
        <v>15.965992884961192</v>
      </c>
      <c r="AN106" s="12">
        <f t="shared" si="35"/>
        <v>16.206104897061898</v>
      </c>
      <c r="AO106" s="12">
        <f t="shared" si="35"/>
        <v>16.370311124630533</v>
      </c>
    </row>
    <row r="107" spans="9:41" ht="15.75" customHeight="1" x14ac:dyDescent="0.25">
      <c r="I107" s="12" t="s">
        <v>917</v>
      </c>
      <c r="J107" s="12">
        <f t="shared" ref="J107:AO107" si="36">+J105*(100%+$M$76)</f>
        <v>7.5540357537510738</v>
      </c>
      <c r="K107" s="12">
        <f t="shared" si="36"/>
        <v>7.1345530913769002</v>
      </c>
      <c r="L107" s="12">
        <f t="shared" si="36"/>
        <v>7.8186630383632059</v>
      </c>
      <c r="M107" s="12">
        <f t="shared" si="36"/>
        <v>8.0076061674085715</v>
      </c>
      <c r="N107" s="12">
        <f t="shared" si="36"/>
        <v>8.1642278368612686</v>
      </c>
      <c r="O107" s="12">
        <f t="shared" si="36"/>
        <v>8.4593177789250227</v>
      </c>
      <c r="P107" s="12">
        <f t="shared" si="36"/>
        <v>8.668048342810911</v>
      </c>
      <c r="Q107" s="12">
        <f t="shared" si="36"/>
        <v>8.8876962139843165</v>
      </c>
      <c r="R107" s="12">
        <f t="shared" si="36"/>
        <v>9.0999521107953179</v>
      </c>
      <c r="S107" s="12">
        <f t="shared" si="36"/>
        <v>9.2016987025072687</v>
      </c>
      <c r="T107" s="12">
        <f t="shared" si="36"/>
        <v>9.4078575027258964</v>
      </c>
      <c r="U107" s="12">
        <f t="shared" si="36"/>
        <v>9.5784999432546165</v>
      </c>
      <c r="V107" s="12">
        <f t="shared" si="36"/>
        <v>9.8042090615425241</v>
      </c>
      <c r="W107" s="12">
        <f t="shared" si="36"/>
        <v>9.9187615701140768</v>
      </c>
      <c r="X107" s="12">
        <f t="shared" si="36"/>
        <v>10.282225328148286</v>
      </c>
      <c r="Y107" s="12">
        <f t="shared" si="36"/>
        <v>10.447710143233209</v>
      </c>
      <c r="Z107" s="12">
        <f t="shared" si="36"/>
        <v>10.65491166646739</v>
      </c>
      <c r="AA107" s="12">
        <f t="shared" si="36"/>
        <v>10.932067336587954</v>
      </c>
      <c r="AB107" s="12">
        <f t="shared" si="36"/>
        <v>10.983714484375447</v>
      </c>
      <c r="AC107" s="12">
        <f t="shared" si="36"/>
        <v>11.189675642528805</v>
      </c>
      <c r="AD107" s="12">
        <f t="shared" si="36"/>
        <v>11.384358313261776</v>
      </c>
      <c r="AE107" s="12">
        <f t="shared" si="36"/>
        <v>11.511723720613711</v>
      </c>
      <c r="AF107" s="12">
        <f t="shared" si="36"/>
        <v>11.647390631777874</v>
      </c>
      <c r="AG107" s="12">
        <f t="shared" si="36"/>
        <v>11.953224810054323</v>
      </c>
      <c r="AH107" s="12">
        <f t="shared" si="36"/>
        <v>12.100275877324583</v>
      </c>
      <c r="AI107" s="12">
        <f t="shared" si="36"/>
        <v>12.272242868786664</v>
      </c>
      <c r="AJ107" s="12">
        <f t="shared" si="36"/>
        <v>12.534160765331462</v>
      </c>
      <c r="AK107" s="12">
        <f t="shared" si="36"/>
        <v>12.627986904984743</v>
      </c>
      <c r="AL107" s="12">
        <f t="shared" si="36"/>
        <v>12.945548159091949</v>
      </c>
      <c r="AM107" s="12">
        <f t="shared" si="36"/>
        <v>13.189888667259792</v>
      </c>
      <c r="AN107" s="12">
        <f t="shared" si="36"/>
        <v>13.388250944513667</v>
      </c>
      <c r="AO107" s="12">
        <f t="shared" si="36"/>
        <v>13.52390563731646</v>
      </c>
    </row>
    <row r="108" spans="9:41" ht="15.75" customHeight="1" x14ac:dyDescent="0.25">
      <c r="I108" s="12" t="s">
        <v>908</v>
      </c>
      <c r="J108" s="12">
        <v>9.9389069659747609</v>
      </c>
      <c r="K108" s="12">
        <v>9.3869901772428523</v>
      </c>
      <c r="L108" s="12">
        <v>10.287079260646848</v>
      </c>
      <c r="M108" s="12">
        <v>10.535673289409495</v>
      </c>
      <c r="N108" s="12">
        <v>10.74174170797278</v>
      </c>
      <c r="O108" s="12">
        <v>11.129993971580372</v>
      </c>
      <c r="P108" s="12">
        <v>11.404622491095539</v>
      </c>
      <c r="Q108" s="12">
        <v>11.693615001593368</v>
      </c>
      <c r="R108" s="12">
        <v>11.97288183063062</v>
      </c>
      <c r="S108" s="12">
        <v>12.106750658115047</v>
      </c>
      <c r="T108" s="12">
        <v>12.377995487022886</v>
      </c>
      <c r="U108" s="12">
        <v>12.602511149398413</v>
      </c>
      <c r="V108" s="12">
        <v>12.89947849257279</v>
      </c>
      <c r="W108" s="12">
        <v>13.05019617018589</v>
      </c>
      <c r="X108" s="12">
        <v>13.528408425775462</v>
      </c>
      <c r="Y108" s="12">
        <v>13.746138157938017</v>
      </c>
      <c r="Z108" s="12">
        <v>14.018754906092827</v>
      </c>
      <c r="AA108" s="12">
        <v>14.383410900612422</v>
      </c>
      <c r="AB108" s="12">
        <v>14.451363477705129</v>
      </c>
      <c r="AC108" s="12">
        <v>14.722348267322275</v>
      </c>
      <c r="AD108" s="12">
        <v>14.97849385828558</v>
      </c>
      <c r="AE108" s="12">
        <v>15.146069572197943</v>
      </c>
      <c r="AF108" s="12">
        <v>15.324567642948036</v>
      </c>
      <c r="AG108" s="12">
        <v>15.726956186501802</v>
      </c>
      <c r="AH108" s="12">
        <v>15.920432485064548</v>
      </c>
      <c r="AI108" s="12">
        <v>16.14669086999627</v>
      </c>
      <c r="AJ108" s="12">
        <v>16.491298400506025</v>
      </c>
      <c r="AK108" s="12">
        <v>16.614746224078669</v>
      </c>
      <c r="AL108" s="12">
        <v>17.032564177747016</v>
      </c>
      <c r="AM108" s="12">
        <v>17.354044993811897</v>
      </c>
      <c r="AN108" s="12">
        <v>17.615031873336019</v>
      </c>
      <c r="AO108" s="12">
        <v>17.793513868287572</v>
      </c>
    </row>
    <row r="109" spans="9:41" ht="15.75" customHeight="1" x14ac:dyDescent="0.25">
      <c r="I109" s="12" t="s">
        <v>102</v>
      </c>
      <c r="J109" s="12">
        <v>22.631883642110068</v>
      </c>
      <c r="K109" s="12">
        <v>22.339540412044375</v>
      </c>
      <c r="L109" s="12">
        <v>22.078422999593137</v>
      </c>
      <c r="M109" s="12">
        <v>22.39579265822039</v>
      </c>
      <c r="N109" s="12">
        <v>22.558159280737229</v>
      </c>
      <c r="O109" s="12">
        <v>23.164899880511875</v>
      </c>
      <c r="P109" s="12">
        <v>23.275210249935512</v>
      </c>
      <c r="Q109" s="12">
        <v>23.971296511876403</v>
      </c>
      <c r="R109" s="12">
        <v>24.015638240959891</v>
      </c>
      <c r="S109" s="12">
        <v>24.740571573891199</v>
      </c>
      <c r="T109" s="12">
        <v>25.062088399499931</v>
      </c>
      <c r="U109" s="12">
        <v>25.42744343502223</v>
      </c>
      <c r="V109" s="12">
        <v>25.958460854900952</v>
      </c>
      <c r="W109" s="12">
        <v>26.224834702323204</v>
      </c>
      <c r="X109" s="12">
        <v>26.829697023012422</v>
      </c>
      <c r="Y109" s="12">
        <v>27.263719866788854</v>
      </c>
      <c r="Z109" s="12">
        <v>27.675778594046346</v>
      </c>
      <c r="AA109" s="12">
        <v>28.049205194444301</v>
      </c>
      <c r="AB109" s="12">
        <v>28.417233459014266</v>
      </c>
      <c r="AC109" s="12">
        <v>28.731185290548609</v>
      </c>
      <c r="AD109" s="12">
        <v>29.153445621352176</v>
      </c>
      <c r="AE109" s="12">
        <v>29.292522193535898</v>
      </c>
      <c r="AF109" s="12">
        <v>29.677418350298769</v>
      </c>
      <c r="AG109" s="12">
        <v>30.263903747100933</v>
      </c>
      <c r="AH109" s="12">
        <v>30.578589495970853</v>
      </c>
      <c r="AI109" s="12">
        <v>30.937873310956238</v>
      </c>
      <c r="AJ109" s="12">
        <v>31.585223494694176</v>
      </c>
      <c r="AK109" s="12">
        <v>31.665200648668247</v>
      </c>
      <c r="AL109" s="12">
        <v>32.309671618243542</v>
      </c>
      <c r="AM109" s="12">
        <v>32.833415474840166</v>
      </c>
      <c r="AN109" s="12">
        <v>33.211941351195492</v>
      </c>
      <c r="AO109" s="12">
        <v>33.352427777055048</v>
      </c>
    </row>
    <row r="110" spans="9:41" ht="15.75" customHeight="1" x14ac:dyDescent="0.25"/>
    <row r="111" spans="9:41" ht="15.75" customHeight="1" x14ac:dyDescent="0.25"/>
    <row r="112" spans="9:41" ht="15.75" customHeight="1" x14ac:dyDescent="0.25"/>
    <row r="113" spans="8:17" ht="15.75" customHeight="1" x14ac:dyDescent="0.25">
      <c r="I113" s="12" t="s">
        <v>918</v>
      </c>
    </row>
    <row r="114" spans="8:17" ht="15.75" customHeight="1" x14ac:dyDescent="0.25">
      <c r="J114" s="12">
        <v>2019</v>
      </c>
      <c r="K114" s="12">
        <v>2020</v>
      </c>
      <c r="L114" s="12">
        <v>2025</v>
      </c>
      <c r="M114" s="12">
        <v>2030</v>
      </c>
      <c r="N114" s="12">
        <v>2035</v>
      </c>
      <c r="O114" s="12">
        <v>2040</v>
      </c>
      <c r="P114" s="12">
        <v>2045</v>
      </c>
      <c r="Q114" s="12">
        <v>2050</v>
      </c>
    </row>
    <row r="115" spans="8:17" ht="15.75" customHeight="1" x14ac:dyDescent="0.25">
      <c r="H115" s="12" t="s">
        <v>8</v>
      </c>
      <c r="I115" s="12" t="s">
        <v>919</v>
      </c>
      <c r="J115" s="229">
        <f t="shared" ref="J115:K115" si="37">+J97*$R$3/1000000</f>
        <v>20.996445954041999</v>
      </c>
      <c r="K115" s="229">
        <f t="shared" si="37"/>
        <v>20.795929580790002</v>
      </c>
      <c r="L115" s="229">
        <f t="shared" ref="L115:L127" si="38">+P97*$R$3/1000000</f>
        <v>20.716882590807003</v>
      </c>
      <c r="M115" s="229">
        <f t="shared" ref="M115:M127" si="39">+U97*$R$3/1000000</f>
        <v>22.202066334591002</v>
      </c>
      <c r="N115" s="229">
        <f t="shared" ref="N115:N127" si="40">+Z97*$R$3/1000000</f>
        <v>23.568165402677998</v>
      </c>
      <c r="O115" s="229">
        <f t="shared" ref="O115:O127" si="41">+AE97*$R$3/1000000</f>
        <v>24.597135442035</v>
      </c>
      <c r="P115" s="229">
        <f t="shared" ref="P115:P127" si="42">+AJ97*$R$3/1000000</f>
        <v>25.886116327734001</v>
      </c>
      <c r="Q115" s="229">
        <f t="shared" ref="Q115:Q127" si="43">+AO97*$R$3/1000000</f>
        <v>27.153960894333</v>
      </c>
    </row>
    <row r="116" spans="8:17" ht="15.75" customHeight="1" x14ac:dyDescent="0.25">
      <c r="H116" s="12" t="s">
        <v>14</v>
      </c>
      <c r="I116" s="12" t="s">
        <v>63</v>
      </c>
      <c r="J116" s="229">
        <f t="shared" ref="J116:K116" si="44">+J98*$R$3/1000000</f>
        <v>20.905026160941002</v>
      </c>
      <c r="K116" s="229">
        <f t="shared" si="44"/>
        <v>20.219447377232999</v>
      </c>
      <c r="L116" s="229">
        <f t="shared" si="38"/>
        <v>20.630671999937999</v>
      </c>
      <c r="M116" s="229">
        <f t="shared" si="39"/>
        <v>21.930071290101001</v>
      </c>
      <c r="N116" s="229">
        <f t="shared" si="40"/>
        <v>23.082531458571001</v>
      </c>
      <c r="O116" s="229">
        <f t="shared" si="41"/>
        <v>23.875429665555</v>
      </c>
      <c r="P116" s="229">
        <f t="shared" si="42"/>
        <v>25.090517790116998</v>
      </c>
      <c r="Q116" s="229">
        <f t="shared" si="43"/>
        <v>25.880965890156002</v>
      </c>
    </row>
    <row r="117" spans="8:17" ht="15.75" customHeight="1" x14ac:dyDescent="0.25">
      <c r="H117" s="12" t="s">
        <v>18</v>
      </c>
      <c r="I117" s="12" t="s">
        <v>920</v>
      </c>
      <c r="J117" s="229">
        <f t="shared" ref="J117:K117" si="45">+J99*$R$3/1000000</f>
        <v>13.877034192216</v>
      </c>
      <c r="K117" s="229">
        <f t="shared" si="45"/>
        <v>13.695434350650002</v>
      </c>
      <c r="L117" s="229">
        <f t="shared" si="38"/>
        <v>14.458260219857999</v>
      </c>
      <c r="M117" s="229">
        <f t="shared" si="39"/>
        <v>15.795199697939999</v>
      </c>
      <c r="N117" s="229">
        <f t="shared" si="40"/>
        <v>17.191836481949998</v>
      </c>
      <c r="O117" s="229">
        <f t="shared" si="41"/>
        <v>18.196136740431001</v>
      </c>
      <c r="P117" s="229">
        <f t="shared" si="42"/>
        <v>19.62033319935</v>
      </c>
      <c r="Q117" s="229">
        <f t="shared" si="43"/>
        <v>20.718097692200999</v>
      </c>
    </row>
    <row r="118" spans="8:17" ht="15.75" customHeight="1" x14ac:dyDescent="0.25">
      <c r="H118" s="12" t="s">
        <v>22</v>
      </c>
      <c r="I118" s="12" t="s">
        <v>22</v>
      </c>
      <c r="J118" s="229">
        <f t="shared" ref="J118:K118" si="46">+J100*$R$3/1000000</f>
        <v>17.551047751146001</v>
      </c>
      <c r="K118" s="229">
        <f t="shared" si="46"/>
        <v>16.867144707893999</v>
      </c>
      <c r="L118" s="229">
        <f t="shared" si="38"/>
        <v>19.872932116751997</v>
      </c>
      <c r="M118" s="229">
        <f t="shared" si="39"/>
        <v>22.022557377326997</v>
      </c>
      <c r="N118" s="229">
        <f t="shared" si="40"/>
        <v>22.891725470484001</v>
      </c>
      <c r="O118" s="229">
        <f t="shared" si="41"/>
        <v>24.412499742618003</v>
      </c>
      <c r="P118" s="229">
        <f t="shared" si="42"/>
        <v>25.877700660591003</v>
      </c>
      <c r="Q118" s="229">
        <f t="shared" si="43"/>
        <v>27.425805235919999</v>
      </c>
    </row>
    <row r="119" spans="8:17" ht="15.75" customHeight="1" x14ac:dyDescent="0.25">
      <c r="H119" s="12" t="s">
        <v>26</v>
      </c>
      <c r="I119" s="12" t="s">
        <v>858</v>
      </c>
      <c r="J119" s="229">
        <f t="shared" ref="J119:K119" si="47">+J101*$R$3/1000000</f>
        <v>9.2415067298189992</v>
      </c>
      <c r="K119" s="229">
        <f t="shared" si="47"/>
        <v>9.6605963379900004</v>
      </c>
      <c r="L119" s="229">
        <f t="shared" si="38"/>
        <v>9.3615136314569991</v>
      </c>
      <c r="M119" s="229">
        <f t="shared" si="39"/>
        <v>10.777456499940001</v>
      </c>
      <c r="N119" s="229">
        <f t="shared" si="40"/>
        <v>12.03505800822</v>
      </c>
      <c r="O119" s="229">
        <f t="shared" si="41"/>
        <v>13.376972577735</v>
      </c>
      <c r="P119" s="229">
        <f t="shared" si="42"/>
        <v>14.299692331392</v>
      </c>
      <c r="Q119" s="229">
        <f t="shared" si="43"/>
        <v>15.089726235401999</v>
      </c>
    </row>
    <row r="120" spans="8:17" ht="15.75" customHeight="1" x14ac:dyDescent="0.25">
      <c r="H120" s="12" t="s">
        <v>30</v>
      </c>
      <c r="I120" s="12" t="s">
        <v>860</v>
      </c>
      <c r="J120" s="229">
        <f t="shared" ref="J120:K120" si="48">+J102*$R$3/1000000</f>
        <v>15.484369752577541</v>
      </c>
      <c r="K120" s="229">
        <f t="shared" si="48"/>
        <v>15.076841521470868</v>
      </c>
      <c r="L120" s="229">
        <f t="shared" si="38"/>
        <v>16.842423718223472</v>
      </c>
      <c r="M120" s="229">
        <f t="shared" si="39"/>
        <v>19.600166238545455</v>
      </c>
      <c r="N120" s="229">
        <f t="shared" si="40"/>
        <v>19.747825616593868</v>
      </c>
      <c r="O120" s="229">
        <f t="shared" si="41"/>
        <v>20.304548193105546</v>
      </c>
      <c r="P120" s="229">
        <f t="shared" si="42"/>
        <v>21.409220503499576</v>
      </c>
      <c r="Q120" s="229">
        <f t="shared" si="43"/>
        <v>24.151142776321418</v>
      </c>
    </row>
    <row r="121" spans="8:17" ht="15.75" customHeight="1" x14ac:dyDescent="0.25">
      <c r="H121" s="12" t="s">
        <v>32</v>
      </c>
      <c r="I121" s="12" t="s">
        <v>74</v>
      </c>
      <c r="J121" s="229">
        <f t="shared" ref="J121:K121" si="49">+J103*$R$3/1000000</f>
        <v>27.015813128159731</v>
      </c>
      <c r="K121" s="229">
        <f t="shared" si="49"/>
        <v>26.129831538723028</v>
      </c>
      <c r="L121" s="229">
        <f t="shared" si="38"/>
        <v>26.661261993541277</v>
      </c>
      <c r="M121" s="229">
        <f t="shared" si="39"/>
        <v>28.340491100056148</v>
      </c>
      <c r="N121" s="229">
        <f t="shared" si="40"/>
        <v>29.829829037705093</v>
      </c>
      <c r="O121" s="229">
        <f t="shared" si="41"/>
        <v>30.854500790068418</v>
      </c>
      <c r="P121" s="229">
        <f t="shared" si="42"/>
        <v>32.424773577803386</v>
      </c>
      <c r="Q121" s="229">
        <f t="shared" si="43"/>
        <v>33.446279027916688</v>
      </c>
    </row>
    <row r="122" spans="8:17" ht="15.75" customHeight="1" x14ac:dyDescent="0.25">
      <c r="H122" s="12" t="s">
        <v>7</v>
      </c>
      <c r="I122" s="12" t="s">
        <v>921</v>
      </c>
      <c r="J122" s="229">
        <f t="shared" ref="J122:K122" si="50">+J104*$R$3/1000000</f>
        <v>4.769127007632</v>
      </c>
      <c r="K122" s="229">
        <f t="shared" si="50"/>
        <v>4.5122894526059998</v>
      </c>
      <c r="L122" s="229">
        <f t="shared" si="38"/>
        <v>4.9274484636779992</v>
      </c>
      <c r="M122" s="229">
        <f t="shared" si="39"/>
        <v>5.3827086642029993</v>
      </c>
      <c r="N122" s="229">
        <f t="shared" si="40"/>
        <v>5.4401245746119997</v>
      </c>
      <c r="O122" s="229">
        <f t="shared" si="41"/>
        <v>5.4800854871490001</v>
      </c>
      <c r="P122" s="229">
        <f t="shared" si="42"/>
        <v>5.5431115263809998</v>
      </c>
      <c r="Q122" s="229">
        <f t="shared" si="43"/>
        <v>5.7037579775280003</v>
      </c>
    </row>
    <row r="123" spans="8:17" ht="15.75" customHeight="1" x14ac:dyDescent="0.25">
      <c r="H123" s="12" t="s">
        <v>13</v>
      </c>
      <c r="I123" s="12" t="s">
        <v>13</v>
      </c>
      <c r="J123" s="229">
        <f t="shared" ref="J123:K123" si="51">+J105*$R$3/1000000</f>
        <v>9.4202649837693002</v>
      </c>
      <c r="K123" s="229">
        <f t="shared" si="51"/>
        <v>8.8971488688237894</v>
      </c>
      <c r="L123" s="229">
        <f t="shared" si="38"/>
        <v>10.809495075642701</v>
      </c>
      <c r="M123" s="229">
        <f t="shared" si="39"/>
        <v>11.944874310089356</v>
      </c>
      <c r="N123" s="229">
        <f t="shared" si="40"/>
        <v>13.287214218828185</v>
      </c>
      <c r="O123" s="229">
        <f t="shared" si="41"/>
        <v>14.355702223711937</v>
      </c>
      <c r="P123" s="229">
        <f t="shared" si="42"/>
        <v>15.630732976072419</v>
      </c>
      <c r="Q123" s="229">
        <f t="shared" si="43"/>
        <v>16.864994934098721</v>
      </c>
    </row>
    <row r="124" spans="8:17" ht="15.75" customHeight="1" x14ac:dyDescent="0.25">
      <c r="H124" s="12" t="s">
        <v>17</v>
      </c>
      <c r="I124" s="12" t="s">
        <v>17</v>
      </c>
      <c r="J124" s="229">
        <f t="shared" ref="J124:K124" si="52">+J106*$R$3/1000000</f>
        <v>8.6667911578505592</v>
      </c>
      <c r="K124" s="229">
        <f t="shared" si="52"/>
        <v>8.1855161483523844</v>
      </c>
      <c r="L124" s="229">
        <f t="shared" si="38"/>
        <v>9.9449045758078007</v>
      </c>
      <c r="M124" s="229">
        <f t="shared" si="39"/>
        <v>10.989471233631489</v>
      </c>
      <c r="N124" s="229">
        <f t="shared" si="40"/>
        <v>12.224444949544161</v>
      </c>
      <c r="O124" s="229">
        <f t="shared" si="41"/>
        <v>13.207470629708267</v>
      </c>
      <c r="P124" s="229">
        <f t="shared" si="42"/>
        <v>14.380518868753001</v>
      </c>
      <c r="Q124" s="229">
        <f t="shared" si="43"/>
        <v>15.516059179213938</v>
      </c>
    </row>
    <row r="125" spans="8:17" ht="15.75" customHeight="1" x14ac:dyDescent="0.25">
      <c r="H125" s="12" t="s">
        <v>917</v>
      </c>
      <c r="I125" s="12" t="s">
        <v>917</v>
      </c>
      <c r="J125" s="229">
        <f t="shared" ref="J125:K125" si="53">+J107*$R$3/1000000</f>
        <v>7.1598435060130816</v>
      </c>
      <c r="K125" s="229">
        <f t="shared" si="53"/>
        <v>6.7622507074095797</v>
      </c>
      <c r="L125" s="229">
        <f t="shared" si="38"/>
        <v>8.215723576138009</v>
      </c>
      <c r="M125" s="229">
        <f t="shared" si="39"/>
        <v>9.0786650807157603</v>
      </c>
      <c r="N125" s="229">
        <f t="shared" si="40"/>
        <v>10.098906410976124</v>
      </c>
      <c r="O125" s="229">
        <f t="shared" si="41"/>
        <v>10.911007441700926</v>
      </c>
      <c r="P125" s="229">
        <f t="shared" si="42"/>
        <v>11.88009065411417</v>
      </c>
      <c r="Q125" s="229">
        <f t="shared" si="43"/>
        <v>12.818187669444375</v>
      </c>
    </row>
    <row r="126" spans="8:17" ht="15.75" customHeight="1" x14ac:dyDescent="0.25">
      <c r="H126" s="12" t="s">
        <v>908</v>
      </c>
      <c r="I126" s="12" t="s">
        <v>908</v>
      </c>
      <c r="J126" s="229">
        <f t="shared" ref="J126:K126" si="54">+J108*$R$3/1000000</f>
        <v>9.4202649837693002</v>
      </c>
      <c r="K126" s="229">
        <f t="shared" si="54"/>
        <v>8.8971488688237894</v>
      </c>
      <c r="L126" s="229">
        <f t="shared" si="38"/>
        <v>10.809495075642701</v>
      </c>
      <c r="M126" s="229">
        <f t="shared" si="39"/>
        <v>11.944874310089356</v>
      </c>
      <c r="N126" s="229">
        <f t="shared" si="40"/>
        <v>13.287214218828185</v>
      </c>
      <c r="O126" s="229">
        <f t="shared" si="41"/>
        <v>14.355702223711937</v>
      </c>
      <c r="P126" s="229">
        <f t="shared" si="42"/>
        <v>15.630732976072419</v>
      </c>
      <c r="Q126" s="229">
        <f t="shared" si="43"/>
        <v>16.864994934098721</v>
      </c>
    </row>
    <row r="127" spans="8:17" ht="15.75" customHeight="1" x14ac:dyDescent="0.25">
      <c r="H127" s="12" t="s">
        <v>102</v>
      </c>
      <c r="I127" s="12" t="s">
        <v>922</v>
      </c>
      <c r="J127" s="229">
        <f t="shared" ref="J127:K127" si="55">+J109*$R$3/1000000</f>
        <v>21.450884058013838</v>
      </c>
      <c r="K127" s="229">
        <f t="shared" si="55"/>
        <v>21.173796174722664</v>
      </c>
      <c r="L127" s="229">
        <f t="shared" si="38"/>
        <v>22.060639953463127</v>
      </c>
      <c r="M127" s="229">
        <f t="shared" si="39"/>
        <v>24.100563154252466</v>
      </c>
      <c r="N127" s="229">
        <f t="shared" si="40"/>
        <v>26.231573439673227</v>
      </c>
      <c r="O127" s="229">
        <f t="shared" si="41"/>
        <v>27.763950507910614</v>
      </c>
      <c r="P127" s="229">
        <f t="shared" si="42"/>
        <v>29.937011777070548</v>
      </c>
      <c r="Q127" s="229">
        <f t="shared" si="43"/>
        <v>31.611998038364984</v>
      </c>
    </row>
    <row r="128" spans="8:17" ht="15.75" customHeight="1" x14ac:dyDescent="0.25"/>
    <row r="129" spans="9:17" ht="15.75" customHeight="1" x14ac:dyDescent="0.25"/>
    <row r="130" spans="9:17" ht="15.75" customHeight="1" x14ac:dyDescent="0.25"/>
    <row r="131" spans="9:17" ht="15.75" customHeight="1" x14ac:dyDescent="0.25"/>
    <row r="132" spans="9:17" ht="15.75" customHeight="1" x14ac:dyDescent="0.25">
      <c r="I132" s="12" t="s">
        <v>923</v>
      </c>
      <c r="J132" s="231">
        <v>2019</v>
      </c>
      <c r="K132" s="231">
        <v>2020</v>
      </c>
      <c r="L132" s="231">
        <v>2025</v>
      </c>
      <c r="M132" s="231">
        <v>2030</v>
      </c>
      <c r="N132" s="231">
        <v>2035</v>
      </c>
      <c r="O132" s="231">
        <v>2040</v>
      </c>
      <c r="P132" s="231">
        <v>2045</v>
      </c>
      <c r="Q132" s="231">
        <v>2050</v>
      </c>
    </row>
    <row r="133" spans="9:17" ht="15.75" customHeight="1" x14ac:dyDescent="0.25">
      <c r="I133" s="12" t="s">
        <v>74</v>
      </c>
      <c r="J133" s="12">
        <v>27.015813128159731</v>
      </c>
      <c r="K133" s="12">
        <v>26.062049484430577</v>
      </c>
      <c r="L133" s="12">
        <v>27.26293166627044</v>
      </c>
      <c r="M133" s="12">
        <v>28.990379051104217</v>
      </c>
      <c r="N133" s="12">
        <v>31.697009911247882</v>
      </c>
      <c r="O133" s="12">
        <v>32.967623003898666</v>
      </c>
      <c r="P133" s="12">
        <v>34.607787018684213</v>
      </c>
      <c r="Q133" s="12">
        <v>35.963817996706439</v>
      </c>
    </row>
    <row r="134" spans="9:17" ht="15.75" customHeight="1" x14ac:dyDescent="0.25">
      <c r="I134" s="12" t="s">
        <v>922</v>
      </c>
      <c r="J134" s="12">
        <v>21.475872844615932</v>
      </c>
      <c r="K134" s="12">
        <v>21.173796174722664</v>
      </c>
      <c r="L134" s="12">
        <v>23.09908472316074</v>
      </c>
      <c r="M134" s="12">
        <v>25.352291121728861</v>
      </c>
      <c r="N134" s="12">
        <v>28.770631310279356</v>
      </c>
      <c r="O134" s="12">
        <v>30.877675811857468</v>
      </c>
      <c r="P134" s="12">
        <v>33.171074715211802</v>
      </c>
      <c r="Q134" s="12">
        <v>35.177965790480719</v>
      </c>
    </row>
    <row r="135" spans="9:17" ht="15.75" customHeight="1" x14ac:dyDescent="0.25">
      <c r="I135" s="12" t="s">
        <v>919</v>
      </c>
      <c r="J135" s="12">
        <v>20.996450693126999</v>
      </c>
      <c r="K135" s="12">
        <v>20.789779196276999</v>
      </c>
      <c r="L135" s="12">
        <v>21.49552278666</v>
      </c>
      <c r="M135" s="12">
        <v>22.787761319388</v>
      </c>
      <c r="N135" s="12">
        <v>24.782312344958999</v>
      </c>
      <c r="O135" s="12">
        <v>26.081950485006001</v>
      </c>
      <c r="P135" s="12">
        <v>27.657616630877996</v>
      </c>
      <c r="Q135" s="12">
        <v>28.857208895307</v>
      </c>
    </row>
    <row r="136" spans="9:17" ht="15.75" customHeight="1" x14ac:dyDescent="0.25">
      <c r="I136" s="12" t="s">
        <v>63</v>
      </c>
      <c r="J136" s="12">
        <v>20.905028056574999</v>
      </c>
      <c r="K136" s="12">
        <v>20.166998975720997</v>
      </c>
      <c r="L136" s="12">
        <v>21.096250136325001</v>
      </c>
      <c r="M136" s="12">
        <v>22.432961190509999</v>
      </c>
      <c r="N136" s="12">
        <v>24.527371371749997</v>
      </c>
      <c r="O136" s="12">
        <v>25.510580806347001</v>
      </c>
      <c r="P136" s="12">
        <v>26.779751368928999</v>
      </c>
      <c r="Q136" s="12">
        <v>27.829057769838002</v>
      </c>
    </row>
    <row r="137" spans="9:17" ht="15.75" customHeight="1" x14ac:dyDescent="0.25">
      <c r="I137" s="12" t="s">
        <v>22</v>
      </c>
      <c r="J137" s="12">
        <v>17.550825014150998</v>
      </c>
      <c r="K137" s="12">
        <v>17.327211288426</v>
      </c>
      <c r="L137" s="12">
        <v>21.000397403115002</v>
      </c>
      <c r="M137" s="12">
        <v>23.265791875521</v>
      </c>
      <c r="N137" s="12">
        <v>25.362927030636001</v>
      </c>
      <c r="O137" s="12">
        <v>27.015707567627999</v>
      </c>
      <c r="P137" s="12">
        <v>29.097066308778</v>
      </c>
      <c r="Q137" s="12">
        <v>30.992470937063995</v>
      </c>
    </row>
    <row r="138" spans="9:17" ht="15.75" customHeight="1" x14ac:dyDescent="0.25">
      <c r="I138" s="12" t="s">
        <v>860</v>
      </c>
      <c r="J138" s="12">
        <v>15.484369752577541</v>
      </c>
      <c r="K138" s="12">
        <v>15.168782704888827</v>
      </c>
      <c r="L138" s="12">
        <v>16.949109551577816</v>
      </c>
      <c r="M138" s="12">
        <v>19.89820760097551</v>
      </c>
      <c r="N138" s="12">
        <v>20.433037285408389</v>
      </c>
      <c r="O138" s="12">
        <v>21.046576062396845</v>
      </c>
      <c r="P138" s="12">
        <v>22.996499995778219</v>
      </c>
      <c r="Q138" s="12">
        <v>24.2190062601092</v>
      </c>
    </row>
    <row r="139" spans="9:17" ht="15.75" customHeight="1" x14ac:dyDescent="0.25">
      <c r="I139" s="12" t="s">
        <v>920</v>
      </c>
      <c r="J139" s="12">
        <v>13.877034192216</v>
      </c>
      <c r="K139" s="12">
        <v>13.679057020707001</v>
      </c>
      <c r="L139" s="12">
        <v>14.925902701670999</v>
      </c>
      <c r="M139" s="12">
        <v>16.381853873541001</v>
      </c>
      <c r="N139" s="12">
        <v>18.590677888301997</v>
      </c>
      <c r="O139" s="12">
        <v>19.952183835207002</v>
      </c>
      <c r="P139" s="12">
        <v>21.434106140693999</v>
      </c>
      <c r="Q139" s="12">
        <v>22.730896090656</v>
      </c>
    </row>
    <row r="140" spans="9:17" ht="15.75" customHeight="1" x14ac:dyDescent="0.25">
      <c r="I140" s="12" t="s">
        <v>13</v>
      </c>
      <c r="J140" s="12">
        <v>9.4202649837692984</v>
      </c>
      <c r="K140" s="12">
        <v>9.6527165147854426</v>
      </c>
      <c r="L140" s="12">
        <v>11.578601139308462</v>
      </c>
      <c r="M140" s="12">
        <v>12.911789354957682</v>
      </c>
      <c r="N140" s="12">
        <v>14.757523117529285</v>
      </c>
      <c r="O140" s="12">
        <v>16.087232795682176</v>
      </c>
      <c r="P140" s="12">
        <v>17.631300754150111</v>
      </c>
      <c r="Q140" s="12">
        <v>18.826932611437442</v>
      </c>
    </row>
    <row r="141" spans="9:17" ht="15.75" customHeight="1" x14ac:dyDescent="0.25">
      <c r="I141" s="12" t="s">
        <v>908</v>
      </c>
      <c r="J141" s="12">
        <v>9.4202649837692984</v>
      </c>
      <c r="K141" s="12">
        <v>9.6527165147854426</v>
      </c>
      <c r="L141" s="12">
        <v>11.578601139308462</v>
      </c>
      <c r="M141" s="12">
        <v>12.911789354957682</v>
      </c>
      <c r="N141" s="12">
        <v>14.757523117529285</v>
      </c>
      <c r="O141" s="12">
        <v>16.087232795682176</v>
      </c>
      <c r="P141" s="12">
        <v>17.631300754150111</v>
      </c>
      <c r="Q141" s="12">
        <v>18.826932611437442</v>
      </c>
    </row>
    <row r="142" spans="9:17" ht="15.75" customHeight="1" x14ac:dyDescent="0.25">
      <c r="I142" s="12" t="s">
        <v>858</v>
      </c>
      <c r="J142" s="12">
        <v>9.2360008608660014</v>
      </c>
      <c r="K142" s="12">
        <v>9.6932486336400014</v>
      </c>
      <c r="L142" s="12">
        <v>9.5472696505679995</v>
      </c>
      <c r="M142" s="12">
        <v>10.673080048449</v>
      </c>
      <c r="N142" s="12">
        <v>12.218909862978</v>
      </c>
      <c r="O142" s="12">
        <v>13.22060646816</v>
      </c>
      <c r="P142" s="12">
        <v>14.059067186150999</v>
      </c>
      <c r="Q142" s="12">
        <v>15.210941603714998</v>
      </c>
    </row>
    <row r="143" spans="9:17" ht="15.75" customHeight="1" x14ac:dyDescent="0.25">
      <c r="I143" s="12" t="s">
        <v>17</v>
      </c>
      <c r="J143" s="12">
        <v>8.6667911578505574</v>
      </c>
      <c r="K143" s="12">
        <v>8.8806502029103971</v>
      </c>
      <c r="L143" s="12">
        <v>10.652494186451701</v>
      </c>
      <c r="M143" s="12">
        <v>11.87904820155075</v>
      </c>
      <c r="N143" s="12">
        <v>13.577152138198308</v>
      </c>
      <c r="O143" s="12">
        <v>14.800505844381702</v>
      </c>
      <c r="P143" s="12">
        <v>16.22107252192496</v>
      </c>
      <c r="Q143" s="12">
        <v>17.321072535367904</v>
      </c>
    </row>
    <row r="144" spans="9:17" ht="15.75" customHeight="1" x14ac:dyDescent="0.25">
      <c r="I144" s="12" t="s">
        <v>917</v>
      </c>
      <c r="J144" s="12">
        <v>7.1598435060130807</v>
      </c>
      <c r="K144" s="12">
        <v>7.3365175791603097</v>
      </c>
      <c r="L144" s="12">
        <v>8.8002802807381819</v>
      </c>
      <c r="M144" s="12">
        <v>9.8135658947368913</v>
      </c>
      <c r="N144" s="12">
        <v>11.216410179536366</v>
      </c>
      <c r="O144" s="12">
        <v>12.227051941780758</v>
      </c>
      <c r="P144" s="12">
        <v>13.400616057474668</v>
      </c>
      <c r="Q144" s="12">
        <v>14.309352383228823</v>
      </c>
    </row>
    <row r="145" spans="9:17" ht="15.75" customHeight="1" x14ac:dyDescent="0.25">
      <c r="I145" s="12" t="s">
        <v>921</v>
      </c>
      <c r="J145" s="12">
        <v>4.7688341321789993</v>
      </c>
      <c r="K145" s="12">
        <v>4.6568448145439998</v>
      </c>
      <c r="L145" s="12">
        <v>5.7706406841329994</v>
      </c>
      <c r="M145" s="12">
        <v>6.7599028780919994</v>
      </c>
      <c r="N145" s="12">
        <v>7.3262282746769998</v>
      </c>
      <c r="O145" s="12">
        <v>7.6825591280100003</v>
      </c>
      <c r="P145" s="12">
        <v>8.0943780319740011</v>
      </c>
      <c r="Q145" s="12">
        <v>8.6837619205349998</v>
      </c>
    </row>
    <row r="146" spans="9:17" ht="15.75" customHeight="1" x14ac:dyDescent="0.25"/>
    <row r="147" spans="9:17" ht="15.75" customHeight="1" x14ac:dyDescent="0.25"/>
    <row r="148" spans="9:17" ht="15.75" customHeight="1" x14ac:dyDescent="0.25"/>
    <row r="149" spans="9:17" ht="15.75" customHeight="1" x14ac:dyDescent="0.25"/>
    <row r="150" spans="9:17" ht="15.75" customHeight="1" x14ac:dyDescent="0.25"/>
    <row r="151" spans="9:17" ht="15.75" customHeight="1" x14ac:dyDescent="0.25"/>
    <row r="152" spans="9:17" ht="15.75" customHeight="1" x14ac:dyDescent="0.25"/>
    <row r="153" spans="9:17" ht="15.75" customHeight="1" x14ac:dyDescent="0.25"/>
    <row r="154" spans="9:17" ht="15.75" customHeight="1" x14ac:dyDescent="0.25"/>
    <row r="155" spans="9:17" ht="15.75" customHeight="1" x14ac:dyDescent="0.25"/>
    <row r="156" spans="9:17" ht="15.75" customHeight="1" x14ac:dyDescent="0.25"/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spans="9:17" ht="15.75" customHeight="1" x14ac:dyDescent="0.25"/>
    <row r="162" spans="9:17" ht="15.75" customHeight="1" x14ac:dyDescent="0.25"/>
    <row r="163" spans="9:17" ht="15.75" customHeight="1" x14ac:dyDescent="0.25"/>
    <row r="164" spans="9:17" ht="15.75" customHeight="1" x14ac:dyDescent="0.25"/>
    <row r="165" spans="9:17" ht="15.75" customHeight="1" x14ac:dyDescent="0.25"/>
    <row r="166" spans="9:17" ht="15.75" customHeight="1" x14ac:dyDescent="0.25"/>
    <row r="167" spans="9:17" ht="15.75" customHeight="1" x14ac:dyDescent="0.25">
      <c r="I167" s="12" t="s">
        <v>924</v>
      </c>
    </row>
    <row r="168" spans="9:17" ht="15.75" customHeight="1" x14ac:dyDescent="0.25">
      <c r="I168" s="12" t="s">
        <v>923</v>
      </c>
      <c r="J168" s="12">
        <v>2019</v>
      </c>
      <c r="K168" s="12">
        <v>2020</v>
      </c>
      <c r="L168" s="12">
        <v>2025</v>
      </c>
      <c r="M168" s="12">
        <v>2030</v>
      </c>
      <c r="N168" s="12">
        <v>2035</v>
      </c>
      <c r="O168" s="12">
        <v>2040</v>
      </c>
      <c r="P168" s="12">
        <v>2045</v>
      </c>
      <c r="Q168" s="12">
        <v>2050</v>
      </c>
    </row>
    <row r="169" spans="9:17" ht="15.75" customHeight="1" x14ac:dyDescent="0.25">
      <c r="I169" s="12" t="s">
        <v>74</v>
      </c>
      <c r="J169" s="12">
        <v>27.015813128159731</v>
      </c>
      <c r="K169" s="12">
        <v>31.322836701288676</v>
      </c>
      <c r="L169" s="12">
        <v>39.015640552433432</v>
      </c>
      <c r="M169" s="12">
        <v>42.266280355693034</v>
      </c>
      <c r="N169" s="12">
        <v>45.088618066974036</v>
      </c>
      <c r="O169" s="12">
        <v>47.363336148644329</v>
      </c>
      <c r="P169" s="12">
        <v>49.233692323046512</v>
      </c>
      <c r="Q169" s="12">
        <v>50.210386940852374</v>
      </c>
    </row>
    <row r="170" spans="9:17" ht="15.75" customHeight="1" x14ac:dyDescent="0.25">
      <c r="I170" s="12" t="s">
        <v>922</v>
      </c>
      <c r="J170" s="12">
        <v>21.450884058013838</v>
      </c>
      <c r="K170" s="12">
        <v>21.173796174722664</v>
      </c>
      <c r="L170" s="12">
        <v>37.186692773166044</v>
      </c>
      <c r="M170" s="12">
        <v>41.229377773012715</v>
      </c>
      <c r="N170" s="12">
        <v>44.916747362229778</v>
      </c>
      <c r="O170" s="12">
        <v>47.699295534749872</v>
      </c>
      <c r="P170" s="12">
        <v>49.876800958156473</v>
      </c>
      <c r="Q170" s="12">
        <v>51.271656543925765</v>
      </c>
    </row>
    <row r="171" spans="9:17" ht="15.75" customHeight="1" x14ac:dyDescent="0.25">
      <c r="I171" s="12" t="s">
        <v>919</v>
      </c>
      <c r="J171" s="12">
        <v>20.996427945518999</v>
      </c>
      <c r="K171" s="12">
        <v>25.491360025404003</v>
      </c>
      <c r="L171" s="12">
        <v>30.547421569079997</v>
      </c>
      <c r="M171" s="12">
        <v>33.024909051576003</v>
      </c>
      <c r="N171" s="12">
        <v>35.898836159393994</v>
      </c>
      <c r="O171" s="12">
        <v>37.688749703397008</v>
      </c>
      <c r="P171" s="12">
        <v>38.537161552070998</v>
      </c>
      <c r="Q171" s="12">
        <v>39.804000484833004</v>
      </c>
    </row>
    <row r="172" spans="9:17" ht="15.75" customHeight="1" x14ac:dyDescent="0.25">
      <c r="I172" s="12" t="s">
        <v>63</v>
      </c>
      <c r="J172" s="12">
        <v>20.905026160941002</v>
      </c>
      <c r="K172" s="12">
        <v>24.237831286772998</v>
      </c>
      <c r="L172" s="12">
        <v>30.190576998933</v>
      </c>
      <c r="M172" s="12">
        <v>32.705944935650997</v>
      </c>
      <c r="N172" s="12">
        <v>34.889889701978994</v>
      </c>
      <c r="O172" s="12">
        <v>36.650082548313001</v>
      </c>
      <c r="P172" s="12">
        <v>38.097377307522002</v>
      </c>
      <c r="Q172" s="12">
        <v>38.853150470433008</v>
      </c>
    </row>
    <row r="173" spans="9:17" ht="15.75" customHeight="1" x14ac:dyDescent="0.25">
      <c r="I173" s="12" t="s">
        <v>22</v>
      </c>
      <c r="J173" s="12">
        <v>17.551047751146001</v>
      </c>
      <c r="K173" s="12">
        <v>20.045582670203999</v>
      </c>
      <c r="L173" s="12">
        <v>30.990463460658003</v>
      </c>
      <c r="M173" s="12">
        <v>37.844807772446998</v>
      </c>
      <c r="N173" s="12">
        <v>40.179621309749997</v>
      </c>
      <c r="O173" s="12">
        <v>41.761107999819004</v>
      </c>
      <c r="P173" s="12">
        <v>43.302257494001999</v>
      </c>
      <c r="Q173" s="12">
        <v>43.799493666006001</v>
      </c>
    </row>
    <row r="174" spans="9:17" ht="15.75" customHeight="1" x14ac:dyDescent="0.25">
      <c r="I174" s="12" t="s">
        <v>860</v>
      </c>
      <c r="J174" s="12">
        <v>15.484369752577541</v>
      </c>
      <c r="K174" s="12">
        <v>15.267547210351818</v>
      </c>
      <c r="L174" s="12">
        <v>16.076228516171685</v>
      </c>
      <c r="M174" s="12">
        <v>18.475113595146638</v>
      </c>
      <c r="N174" s="12">
        <v>25.499449139045872</v>
      </c>
      <c r="O174" s="12">
        <v>28.021512547352661</v>
      </c>
      <c r="P174" s="12">
        <v>25.226404215831689</v>
      </c>
      <c r="Q174" s="12">
        <v>26.973992561674077</v>
      </c>
    </row>
    <row r="175" spans="9:17" ht="15.75" customHeight="1" x14ac:dyDescent="0.25">
      <c r="I175" s="12" t="s">
        <v>920</v>
      </c>
      <c r="J175" s="12">
        <v>13.877034192216</v>
      </c>
      <c r="K175" s="12">
        <v>17.954588421432</v>
      </c>
      <c r="L175" s="12">
        <v>24.371681055696005</v>
      </c>
      <c r="M175" s="12">
        <v>27.021204906228</v>
      </c>
      <c r="N175" s="12">
        <v>29.437859598029998</v>
      </c>
      <c r="O175" s="12">
        <v>31.261505949063</v>
      </c>
      <c r="P175" s="12">
        <v>32.688615049622996</v>
      </c>
      <c r="Q175" s="12">
        <v>33.602785493940004</v>
      </c>
    </row>
    <row r="176" spans="9:17" ht="15.75" customHeight="1" x14ac:dyDescent="0.25">
      <c r="I176" s="12" t="s">
        <v>13</v>
      </c>
      <c r="J176" s="12">
        <v>9.4202649837693002</v>
      </c>
      <c r="K176" s="12">
        <v>8.8971488688237894</v>
      </c>
      <c r="L176" s="12">
        <v>10.809495075642701</v>
      </c>
      <c r="M176" s="12">
        <v>11.944874310089356</v>
      </c>
      <c r="N176" s="12">
        <v>13.287214218828185</v>
      </c>
      <c r="O176" s="12">
        <v>14.355702223711937</v>
      </c>
      <c r="P176" s="12">
        <v>15.630732976072419</v>
      </c>
      <c r="Q176" s="12">
        <v>16.864994934098721</v>
      </c>
    </row>
    <row r="177" spans="9:17" ht="15.75" customHeight="1" x14ac:dyDescent="0.25">
      <c r="I177" s="12" t="s">
        <v>908</v>
      </c>
      <c r="J177" s="12">
        <v>9.4202649837692984</v>
      </c>
      <c r="K177" s="12">
        <v>13.936113077570406</v>
      </c>
      <c r="L177" s="12">
        <v>18.754767902286247</v>
      </c>
      <c r="M177" s="12">
        <v>22.369962611540721</v>
      </c>
      <c r="N177" s="12">
        <v>25.612524998362172</v>
      </c>
      <c r="O177" s="12">
        <v>27.580685197432587</v>
      </c>
      <c r="P177" s="12">
        <v>29.099592320712304</v>
      </c>
      <c r="Q177" s="12">
        <v>30.008644929154396</v>
      </c>
    </row>
    <row r="178" spans="9:17" ht="15.75" customHeight="1" x14ac:dyDescent="0.25">
      <c r="I178" s="12" t="s">
        <v>858</v>
      </c>
      <c r="J178" s="12">
        <v>9.3223337201280021</v>
      </c>
      <c r="K178" s="12">
        <v>13.72703456943</v>
      </c>
      <c r="L178" s="12">
        <v>19.950516625104001</v>
      </c>
      <c r="M178" s="12">
        <v>22.011837567057004</v>
      </c>
      <c r="N178" s="12">
        <v>24.103288663623001</v>
      </c>
      <c r="O178" s="12">
        <v>25.621477290980998</v>
      </c>
      <c r="P178" s="12">
        <v>26.186885200710002</v>
      </c>
      <c r="Q178" s="12">
        <v>26.538456117069</v>
      </c>
    </row>
    <row r="179" spans="9:17" ht="15.75" customHeight="1" x14ac:dyDescent="0.25">
      <c r="I179" s="12" t="s">
        <v>17</v>
      </c>
      <c r="J179" s="12">
        <v>8.6667911578505592</v>
      </c>
      <c r="K179" s="12">
        <v>8.1855161483523844</v>
      </c>
      <c r="L179" s="12">
        <v>9.9449045758078007</v>
      </c>
      <c r="M179" s="12">
        <v>10.989471233631489</v>
      </c>
      <c r="N179" s="12">
        <v>12.224444949544161</v>
      </c>
      <c r="O179" s="12">
        <v>13.207470629708267</v>
      </c>
      <c r="P179" s="12">
        <v>14.380518868753001</v>
      </c>
      <c r="Q179" s="12">
        <v>15.516059179213938</v>
      </c>
    </row>
    <row r="180" spans="9:17" ht="15.75" customHeight="1" x14ac:dyDescent="0.25">
      <c r="I180" s="12" t="s">
        <v>917</v>
      </c>
      <c r="J180" s="12">
        <v>7.1598435060130816</v>
      </c>
      <c r="K180" s="12">
        <v>6.7622507074095797</v>
      </c>
      <c r="L180" s="12">
        <v>8.215723576138009</v>
      </c>
      <c r="M180" s="12">
        <v>9.0786650807157603</v>
      </c>
      <c r="N180" s="12">
        <v>10.098906410976124</v>
      </c>
      <c r="O180" s="12">
        <v>10.911007441700926</v>
      </c>
      <c r="P180" s="12">
        <v>11.88009065411417</v>
      </c>
      <c r="Q180" s="12">
        <v>12.818187669444375</v>
      </c>
    </row>
    <row r="181" spans="9:17" ht="15.75" customHeight="1" x14ac:dyDescent="0.25">
      <c r="I181" s="12" t="s">
        <v>921</v>
      </c>
      <c r="J181" s="12">
        <v>4.7686256124390001</v>
      </c>
      <c r="K181" s="12">
        <v>4.4696661221159992</v>
      </c>
      <c r="L181" s="12">
        <v>4.7636988596730001</v>
      </c>
      <c r="M181" s="12">
        <v>5.3431827996689991</v>
      </c>
      <c r="N181" s="12">
        <v>5.6996757297089999</v>
      </c>
      <c r="O181" s="12">
        <v>5.8174002880109992</v>
      </c>
      <c r="P181" s="12">
        <v>6.0810886643129995</v>
      </c>
      <c r="Q181" s="12">
        <v>6.2797274120880004</v>
      </c>
    </row>
    <row r="182" spans="9:17" ht="15.75" customHeight="1" x14ac:dyDescent="0.25"/>
    <row r="183" spans="9:17" ht="15.75" customHeight="1" x14ac:dyDescent="0.25"/>
    <row r="184" spans="9:17" ht="15.75" customHeight="1" x14ac:dyDescent="0.25"/>
    <row r="185" spans="9:17" ht="15.75" customHeight="1" x14ac:dyDescent="0.25"/>
    <row r="186" spans="9:17" ht="15.75" customHeight="1" x14ac:dyDescent="0.25">
      <c r="I186" s="12" t="s">
        <v>925</v>
      </c>
    </row>
    <row r="187" spans="9:17" ht="15.75" customHeight="1" x14ac:dyDescent="0.25">
      <c r="I187" s="12" t="s">
        <v>923</v>
      </c>
      <c r="J187" s="12">
        <v>2019</v>
      </c>
      <c r="K187" s="12">
        <v>2020</v>
      </c>
      <c r="L187" s="12">
        <v>2025</v>
      </c>
      <c r="M187" s="12">
        <v>2030</v>
      </c>
      <c r="N187" s="12">
        <v>2035</v>
      </c>
      <c r="O187" s="12">
        <v>2040</v>
      </c>
      <c r="P187" s="12">
        <v>2045</v>
      </c>
      <c r="Q187" s="12">
        <v>2050</v>
      </c>
    </row>
    <row r="188" spans="9:17" ht="15.75" customHeight="1" x14ac:dyDescent="0.25">
      <c r="I188" s="12" t="s">
        <v>74</v>
      </c>
      <c r="J188" s="12">
        <v>27.015813128159731</v>
      </c>
      <c r="K188" s="12">
        <v>20.762217418713881</v>
      </c>
      <c r="L188" s="12">
        <v>20.285771846776306</v>
      </c>
      <c r="M188" s="12">
        <v>21.032357372857387</v>
      </c>
      <c r="N188" s="12">
        <v>21.1954408429634</v>
      </c>
      <c r="O188" s="12">
        <v>21.496194086339983</v>
      </c>
      <c r="P188" s="12">
        <v>21.624810811928342</v>
      </c>
      <c r="Q188" s="12">
        <v>21.746284069233294</v>
      </c>
    </row>
    <row r="189" spans="9:17" ht="15.75" customHeight="1" x14ac:dyDescent="0.25">
      <c r="I189" s="12" t="s">
        <v>922</v>
      </c>
      <c r="J189" s="12">
        <v>21.450884058013838</v>
      </c>
      <c r="K189" s="12">
        <v>21.173796174722664</v>
      </c>
      <c r="L189" s="12">
        <v>15.995593051497483</v>
      </c>
      <c r="M189" s="12">
        <v>16.640750940798355</v>
      </c>
      <c r="N189" s="12">
        <v>16.949502984384424</v>
      </c>
      <c r="O189" s="12">
        <v>17.366044830737749</v>
      </c>
      <c r="P189" s="12">
        <v>17.587039160074951</v>
      </c>
      <c r="Q189" s="12">
        <v>17.585917982489683</v>
      </c>
    </row>
    <row r="190" spans="9:17" ht="15.75" customHeight="1" x14ac:dyDescent="0.25">
      <c r="I190" s="12" t="s">
        <v>919</v>
      </c>
      <c r="J190" s="12">
        <v>20.996496188342999</v>
      </c>
      <c r="K190" s="12">
        <v>16.800970020588</v>
      </c>
      <c r="L190" s="12">
        <v>15.861653043444001</v>
      </c>
      <c r="M190" s="12">
        <v>16.501408666469999</v>
      </c>
      <c r="N190" s="12">
        <v>16.807575357260998</v>
      </c>
      <c r="O190" s="12">
        <v>17.220629266776005</v>
      </c>
      <c r="P190" s="12">
        <v>17.439773087529002</v>
      </c>
      <c r="Q190" s="12">
        <v>17.438661298188002</v>
      </c>
    </row>
    <row r="191" spans="9:17" ht="15.75" customHeight="1" x14ac:dyDescent="0.25">
      <c r="I191" s="12" t="s">
        <v>63</v>
      </c>
      <c r="J191" s="12">
        <v>20.905036586927999</v>
      </c>
      <c r="K191" s="12">
        <v>16.065957841245002</v>
      </c>
      <c r="L191" s="12">
        <v>15.697280723669998</v>
      </c>
      <c r="M191" s="12">
        <v>16.27499414151</v>
      </c>
      <c r="N191" s="12">
        <v>16.401189340340999</v>
      </c>
      <c r="O191" s="12">
        <v>16.633914430887</v>
      </c>
      <c r="P191" s="12">
        <v>16.733439007154999</v>
      </c>
      <c r="Q191" s="12">
        <v>16.827435914678997</v>
      </c>
    </row>
    <row r="192" spans="9:17" ht="15.75" customHeight="1" x14ac:dyDescent="0.25">
      <c r="I192" s="12" t="s">
        <v>22</v>
      </c>
      <c r="J192" s="12">
        <v>17.551159593552001</v>
      </c>
      <c r="K192" s="12">
        <v>14.072073131025002</v>
      </c>
      <c r="L192" s="12">
        <v>12.941376736509</v>
      </c>
      <c r="M192" s="12">
        <v>13.627454071959001</v>
      </c>
      <c r="N192" s="12">
        <v>13.724267891606999</v>
      </c>
      <c r="O192" s="12">
        <v>13.898379031056001</v>
      </c>
      <c r="P192" s="12">
        <v>14.022830246607001</v>
      </c>
      <c r="Q192" s="12">
        <v>14.158405990287001</v>
      </c>
    </row>
    <row r="193" spans="8:17" ht="15.75" customHeight="1" x14ac:dyDescent="0.25">
      <c r="I193" s="12" t="s">
        <v>860</v>
      </c>
      <c r="J193" s="12">
        <v>15.484369752577541</v>
      </c>
      <c r="K193" s="12">
        <v>14.985124420878694</v>
      </c>
      <c r="L193" s="12">
        <v>16.817830628094004</v>
      </c>
      <c r="M193" s="12">
        <v>19.685127241940332</v>
      </c>
      <c r="N193" s="12">
        <v>20.70291143663777</v>
      </c>
      <c r="O193" s="12">
        <v>22.056181233953279</v>
      </c>
      <c r="P193" s="12">
        <v>22.660588635791161</v>
      </c>
      <c r="Q193" s="12">
        <v>22.956590844506614</v>
      </c>
    </row>
    <row r="194" spans="8:17" ht="15.75" customHeight="1" x14ac:dyDescent="0.25">
      <c r="I194" s="12" t="s">
        <v>920</v>
      </c>
      <c r="J194" s="12">
        <v>13.877034192216</v>
      </c>
      <c r="K194" s="12">
        <v>9.1943784251280007</v>
      </c>
      <c r="L194" s="12">
        <v>9.1138357799190004</v>
      </c>
      <c r="M194" s="12">
        <v>9.6202240728750006</v>
      </c>
      <c r="N194" s="12">
        <v>9.9838720734479978</v>
      </c>
      <c r="O194" s="12">
        <v>10.420767371781</v>
      </c>
      <c r="P194" s="12">
        <v>10.711293186438001</v>
      </c>
      <c r="Q194" s="12">
        <v>10.917375141114</v>
      </c>
    </row>
    <row r="195" spans="8:17" ht="15.75" customHeight="1" x14ac:dyDescent="0.25">
      <c r="I195" s="12" t="s">
        <v>13</v>
      </c>
      <c r="J195" s="12">
        <v>9.4202649837693002</v>
      </c>
      <c r="K195" s="12">
        <v>8.8971488688237894</v>
      </c>
      <c r="L195" s="12">
        <v>10.809495075642701</v>
      </c>
      <c r="M195" s="12">
        <v>11.944874310089356</v>
      </c>
      <c r="N195" s="12">
        <v>13.287214218828185</v>
      </c>
      <c r="O195" s="12">
        <v>14.355702223711937</v>
      </c>
      <c r="P195" s="12">
        <v>15.630732976072419</v>
      </c>
      <c r="Q195" s="12">
        <v>16.864994934098721</v>
      </c>
    </row>
    <row r="196" spans="8:17" ht="15.75" customHeight="1" x14ac:dyDescent="0.25">
      <c r="I196" s="12" t="s">
        <v>908</v>
      </c>
      <c r="J196" s="12">
        <v>9.4202649837692984</v>
      </c>
      <c r="K196" s="12">
        <v>5.5410245813461438</v>
      </c>
      <c r="L196" s="12">
        <v>5.8260146701732038</v>
      </c>
      <c r="M196" s="12">
        <v>6.2035295029981778</v>
      </c>
      <c r="N196" s="12">
        <v>6.5878743248971627</v>
      </c>
      <c r="O196" s="12">
        <v>6.9782551418962697</v>
      </c>
      <c r="P196" s="12">
        <v>7.3046487848961918</v>
      </c>
      <c r="Q196" s="12">
        <v>7.4251670907905236</v>
      </c>
    </row>
    <row r="197" spans="8:17" ht="15.75" customHeight="1" x14ac:dyDescent="0.25">
      <c r="I197" s="12" t="s">
        <v>858</v>
      </c>
      <c r="J197" s="12">
        <v>9.1459288635389999</v>
      </c>
      <c r="K197" s="12">
        <v>6.5706295100940002</v>
      </c>
      <c r="L197" s="12">
        <v>7.048325486826001</v>
      </c>
      <c r="M197" s="12">
        <v>7.4524272647759995</v>
      </c>
      <c r="N197" s="12">
        <v>7.4661573418380005</v>
      </c>
      <c r="O197" s="12">
        <v>7.3779165269550004</v>
      </c>
      <c r="P197" s="12">
        <v>7.0998848359920004</v>
      </c>
      <c r="Q197" s="12">
        <v>6.9238704800070003</v>
      </c>
    </row>
    <row r="198" spans="8:17" ht="15.75" customHeight="1" x14ac:dyDescent="0.25">
      <c r="I198" s="12" t="s">
        <v>17</v>
      </c>
      <c r="J198" s="12">
        <v>8.6667911578505592</v>
      </c>
      <c r="K198" s="12">
        <v>8.1855161483523844</v>
      </c>
      <c r="L198" s="12">
        <v>9.9449045758078007</v>
      </c>
      <c r="M198" s="12">
        <v>10.989471233631489</v>
      </c>
      <c r="N198" s="12">
        <v>12.224444949544161</v>
      </c>
      <c r="O198" s="12">
        <v>13.207470629708267</v>
      </c>
      <c r="P198" s="12">
        <v>14.380518868753001</v>
      </c>
      <c r="Q198" s="12">
        <v>15.516059179213938</v>
      </c>
    </row>
    <row r="199" spans="8:17" ht="15.75" customHeight="1" x14ac:dyDescent="0.25">
      <c r="I199" s="12" t="s">
        <v>917</v>
      </c>
      <c r="J199" s="12">
        <v>7.1598435060130816</v>
      </c>
      <c r="K199" s="12">
        <v>6.7622507074095797</v>
      </c>
      <c r="L199" s="12">
        <v>8.215723576138009</v>
      </c>
      <c r="M199" s="12">
        <v>9.0786650807157603</v>
      </c>
      <c r="N199" s="12">
        <v>10.098906410976124</v>
      </c>
      <c r="O199" s="12">
        <v>10.911007441700926</v>
      </c>
      <c r="P199" s="12">
        <v>11.88009065411417</v>
      </c>
      <c r="Q199" s="12">
        <v>12.818187669444375</v>
      </c>
    </row>
    <row r="200" spans="8:17" ht="15.75" customHeight="1" x14ac:dyDescent="0.25">
      <c r="I200" s="12" t="s">
        <v>921</v>
      </c>
      <c r="J200" s="12">
        <v>4.7689696700100006</v>
      </c>
      <c r="K200" s="12">
        <v>4.5224329901400004</v>
      </c>
      <c r="L200" s="12">
        <v>4.9892669840520005</v>
      </c>
      <c r="M200" s="12">
        <v>5.3724049455960001</v>
      </c>
      <c r="N200" s="12">
        <v>5.4102105222750003</v>
      </c>
      <c r="O200" s="12">
        <v>5.5797465490649998</v>
      </c>
      <c r="P200" s="12">
        <v>5.6580807806640001</v>
      </c>
      <c r="Q200" s="12">
        <v>5.7504237475230005</v>
      </c>
    </row>
    <row r="201" spans="8:17" ht="15.75" customHeight="1" x14ac:dyDescent="0.25"/>
    <row r="202" spans="8:17" ht="15.75" customHeight="1" x14ac:dyDescent="0.25"/>
    <row r="203" spans="8:17" ht="15.75" customHeight="1" x14ac:dyDescent="0.25"/>
    <row r="204" spans="8:17" ht="15.75" customHeight="1" x14ac:dyDescent="0.25">
      <c r="I204" s="12" t="s">
        <v>926</v>
      </c>
    </row>
    <row r="205" spans="8:17" ht="15.75" customHeight="1" x14ac:dyDescent="0.25">
      <c r="I205" s="14"/>
      <c r="J205" s="14">
        <v>2019</v>
      </c>
      <c r="K205" s="14">
        <v>2020</v>
      </c>
      <c r="L205" s="14">
        <v>2025</v>
      </c>
      <c r="M205" s="14">
        <v>2030</v>
      </c>
      <c r="N205" s="14">
        <v>2035</v>
      </c>
      <c r="O205" s="14">
        <v>2040</v>
      </c>
      <c r="P205" s="14">
        <v>2045</v>
      </c>
      <c r="Q205" s="14">
        <v>2050</v>
      </c>
    </row>
    <row r="206" spans="8:17" ht="15.75" customHeight="1" x14ac:dyDescent="0.25">
      <c r="H206" s="12" t="s">
        <v>74</v>
      </c>
      <c r="I206" s="14" t="s">
        <v>32</v>
      </c>
      <c r="J206" s="14">
        <v>27.015813128159731</v>
      </c>
      <c r="K206" s="14">
        <v>25.474061558177858</v>
      </c>
      <c r="L206" s="14">
        <v>25.351065720485089</v>
      </c>
      <c r="M206" s="14">
        <v>26.450334818933815</v>
      </c>
      <c r="N206" s="14">
        <v>27.615453205181815</v>
      </c>
      <c r="O206" s="14">
        <v>28.895174584628517</v>
      </c>
      <c r="P206" s="14">
        <v>29.877035725796304</v>
      </c>
      <c r="Q206" s="14">
        <v>30.294950876544668</v>
      </c>
    </row>
    <row r="207" spans="8:17" ht="15.75" customHeight="1" x14ac:dyDescent="0.25">
      <c r="H207" s="12" t="s">
        <v>922</v>
      </c>
      <c r="I207" s="14" t="s">
        <v>102</v>
      </c>
      <c r="J207" s="14">
        <v>22.236027134154664</v>
      </c>
      <c r="K207" s="14">
        <v>21.173796174722664</v>
      </c>
      <c r="L207" s="14">
        <v>20.369778820328239</v>
      </c>
      <c r="M207" s="14">
        <v>21.667421243565386</v>
      </c>
      <c r="N207" s="14">
        <v>23.39959869387344</v>
      </c>
      <c r="O207" s="14">
        <v>25.242091824603278</v>
      </c>
      <c r="P207" s="14">
        <v>26.865369418442533</v>
      </c>
      <c r="Q207" s="14">
        <v>27.834179136082643</v>
      </c>
    </row>
    <row r="208" spans="8:17" ht="15.75" customHeight="1" x14ac:dyDescent="0.25">
      <c r="H208" s="12" t="s">
        <v>60</v>
      </c>
      <c r="I208" s="14" t="s">
        <v>8</v>
      </c>
      <c r="J208" s="14">
        <v>20.996442162773999</v>
      </c>
      <c r="K208" s="14">
        <v>20.268611592839996</v>
      </c>
      <c r="L208" s="14">
        <v>19.15508774673</v>
      </c>
      <c r="M208" s="14">
        <v>20.227572064557002</v>
      </c>
      <c r="N208" s="14">
        <v>21.021596278137004</v>
      </c>
      <c r="O208" s="14">
        <v>22.294317363200999</v>
      </c>
      <c r="P208" s="14">
        <v>23.439072727278003</v>
      </c>
      <c r="Q208" s="14">
        <v>23.937589400048996</v>
      </c>
    </row>
    <row r="209" spans="8:17" ht="15.75" customHeight="1" x14ac:dyDescent="0.25">
      <c r="H209" s="12" t="s">
        <v>74</v>
      </c>
      <c r="I209" s="14" t="s">
        <v>14</v>
      </c>
      <c r="J209" s="14">
        <v>20.905026160941002</v>
      </c>
      <c r="K209" s="14">
        <v>19.712007955223999</v>
      </c>
      <c r="L209" s="14">
        <v>19.616832911168999</v>
      </c>
      <c r="M209" s="14">
        <v>20.467455069087002</v>
      </c>
      <c r="N209" s="14">
        <v>21.369031868925003</v>
      </c>
      <c r="O209" s="14">
        <v>22.359289270733999</v>
      </c>
      <c r="P209" s="14">
        <v>23.119060325751001</v>
      </c>
      <c r="Q209" s="14">
        <v>23.442446007980998</v>
      </c>
    </row>
    <row r="210" spans="8:17" ht="15.75" customHeight="1" x14ac:dyDescent="0.25">
      <c r="H210" s="12" t="s">
        <v>22</v>
      </c>
      <c r="I210" s="14" t="s">
        <v>22</v>
      </c>
      <c r="J210" s="14">
        <v>17.551115993970004</v>
      </c>
      <c r="K210" s="14">
        <v>16.846269986286</v>
      </c>
      <c r="L210" s="14">
        <v>18.477481999626001</v>
      </c>
      <c r="M210" s="14">
        <v>20.564194959009001</v>
      </c>
      <c r="N210" s="14">
        <v>21.505640733134999</v>
      </c>
      <c r="O210" s="14">
        <v>22.988122250652001</v>
      </c>
      <c r="P210" s="14">
        <v>24.341681699829</v>
      </c>
      <c r="Q210" s="14">
        <v>25.08799564908</v>
      </c>
    </row>
    <row r="211" spans="8:17" ht="15.75" customHeight="1" x14ac:dyDescent="0.25">
      <c r="H211" s="12" t="s">
        <v>860</v>
      </c>
      <c r="I211" s="14" t="s">
        <v>30</v>
      </c>
      <c r="J211" s="14">
        <v>15.484369752577541</v>
      </c>
      <c r="K211" s="14">
        <v>15.095843745097101</v>
      </c>
      <c r="L211" s="14">
        <v>16.606094766013509</v>
      </c>
      <c r="M211" s="14">
        <v>19.195360613772024</v>
      </c>
      <c r="N211" s="14">
        <v>19.493995795690402</v>
      </c>
      <c r="O211" s="14">
        <v>20.098201522985082</v>
      </c>
      <c r="P211" s="14">
        <v>22.242595736720517</v>
      </c>
      <c r="Q211" s="14">
        <v>22.85054364720574</v>
      </c>
    </row>
    <row r="212" spans="8:17" ht="15.75" customHeight="1" x14ac:dyDescent="0.25">
      <c r="H212" s="12" t="s">
        <v>855</v>
      </c>
      <c r="I212" s="14" t="s">
        <v>18</v>
      </c>
      <c r="J212" s="14">
        <v>13.877034192216</v>
      </c>
      <c r="K212" s="14">
        <v>13.180861657898999</v>
      </c>
      <c r="L212" s="14">
        <v>13.350091539797999</v>
      </c>
      <c r="M212" s="14">
        <v>14.200549725374998</v>
      </c>
      <c r="N212" s="14">
        <v>15.335796589308</v>
      </c>
      <c r="O212" s="14">
        <v>16.543342934001</v>
      </c>
      <c r="P212" s="14">
        <v>17.607218230017001</v>
      </c>
      <c r="Q212" s="14">
        <v>18.242163681768002</v>
      </c>
    </row>
    <row r="213" spans="8:17" ht="15.75" customHeight="1" x14ac:dyDescent="0.25">
      <c r="H213" s="12" t="s">
        <v>13</v>
      </c>
      <c r="I213" s="14" t="s">
        <v>13</v>
      </c>
      <c r="J213" s="14">
        <v>9.4202649837692984</v>
      </c>
      <c r="K213" s="14">
        <v>9.0952086730910686</v>
      </c>
      <c r="L213" s="14">
        <v>9.6563405564494822</v>
      </c>
      <c r="M213" s="14">
        <v>10.345060172014255</v>
      </c>
      <c r="N213" s="14">
        <v>11.440741884468556</v>
      </c>
      <c r="O213" s="14">
        <v>12.52013047891119</v>
      </c>
      <c r="P213" s="14">
        <v>13.606968920228624</v>
      </c>
      <c r="Q213" s="14">
        <v>14.133951193094239</v>
      </c>
    </row>
    <row r="214" spans="8:17" ht="15.75" customHeight="1" x14ac:dyDescent="0.25">
      <c r="H214" s="12" t="s">
        <v>908</v>
      </c>
      <c r="I214" s="14" t="s">
        <v>908</v>
      </c>
      <c r="J214" s="14">
        <v>9.4202649837692984</v>
      </c>
      <c r="K214" s="14">
        <v>9.0952086730910686</v>
      </c>
      <c r="L214" s="14">
        <v>9.6563405564494822</v>
      </c>
      <c r="M214" s="14">
        <v>10.345060172014255</v>
      </c>
      <c r="N214" s="14">
        <v>11.440741884468556</v>
      </c>
      <c r="O214" s="14">
        <v>12.52013047891119</v>
      </c>
      <c r="P214" s="14">
        <v>13.606968920228624</v>
      </c>
      <c r="Q214" s="14">
        <v>14.133951193094239</v>
      </c>
    </row>
    <row r="215" spans="8:17" ht="15.75" customHeight="1" x14ac:dyDescent="0.25">
      <c r="H215" s="12" t="s">
        <v>858</v>
      </c>
      <c r="I215" s="14" t="s">
        <v>26</v>
      </c>
      <c r="J215" s="14">
        <v>9.2394916708770012</v>
      </c>
      <c r="K215" s="14">
        <v>9.3714922488330004</v>
      </c>
      <c r="L215" s="14">
        <v>8.7294125785230001</v>
      </c>
      <c r="M215" s="14">
        <v>10.011694293666002</v>
      </c>
      <c r="N215" s="14">
        <v>10.855830539853001</v>
      </c>
      <c r="O215" s="14">
        <v>12.037304334510001</v>
      </c>
      <c r="P215" s="14">
        <v>12.836904555501</v>
      </c>
      <c r="Q215" s="14">
        <v>13.911046605260999</v>
      </c>
    </row>
    <row r="216" spans="8:17" ht="15.75" customHeight="1" x14ac:dyDescent="0.25">
      <c r="H216" s="12" t="s">
        <v>17</v>
      </c>
      <c r="I216" s="14" t="s">
        <v>17</v>
      </c>
      <c r="J216" s="14">
        <v>8.6667911578505574</v>
      </c>
      <c r="K216" s="14">
        <v>8.3677342667712189</v>
      </c>
      <c r="L216" s="14">
        <v>8.8839843779366507</v>
      </c>
      <c r="M216" s="14">
        <v>9.5176171987436362</v>
      </c>
      <c r="N216" s="14">
        <v>10.525661515297232</v>
      </c>
      <c r="O216" s="14">
        <v>11.518715908386824</v>
      </c>
      <c r="P216" s="14">
        <v>12.518624277148344</v>
      </c>
      <c r="Q216" s="14">
        <v>13.003456212416074</v>
      </c>
    </row>
    <row r="217" spans="8:17" ht="15.75" customHeight="1" x14ac:dyDescent="0.25">
      <c r="H217" s="12" t="s">
        <v>917</v>
      </c>
      <c r="I217" s="14" t="s">
        <v>917</v>
      </c>
      <c r="J217" s="14">
        <v>7.1598435060130807</v>
      </c>
      <c r="K217" s="14">
        <v>6.9127854541315239</v>
      </c>
      <c r="L217" s="14">
        <v>7.3392720209109932</v>
      </c>
      <c r="M217" s="14">
        <v>7.862731252202404</v>
      </c>
      <c r="N217" s="14">
        <v>8.6955007769545887</v>
      </c>
      <c r="O217" s="14">
        <v>9.5158867673380989</v>
      </c>
      <c r="P217" s="14">
        <v>10.341934990987788</v>
      </c>
      <c r="Q217" s="14">
        <v>10.742466251059749</v>
      </c>
    </row>
    <row r="218" spans="8:17" ht="15.75" customHeight="1" x14ac:dyDescent="0.25">
      <c r="H218" s="12" t="s">
        <v>921</v>
      </c>
      <c r="I218" s="14" t="s">
        <v>7</v>
      </c>
      <c r="J218" s="14">
        <v>4.7685943344780002</v>
      </c>
      <c r="K218" s="14">
        <v>4.5008085452850004</v>
      </c>
      <c r="L218" s="14">
        <v>4.4508415286790006</v>
      </c>
      <c r="M218" s="14">
        <v>4.6175426348219997</v>
      </c>
      <c r="N218" s="14">
        <v>4.6119590448749994</v>
      </c>
      <c r="O218" s="14">
        <v>4.5693793139669996</v>
      </c>
      <c r="P218" s="14">
        <v>4.4781746753250005</v>
      </c>
      <c r="Q218" s="14">
        <v>4.4311487348699998</v>
      </c>
    </row>
    <row r="219" spans="8:17" ht="15.75" customHeight="1" x14ac:dyDescent="0.25"/>
    <row r="220" spans="8:17" ht="15.75" customHeight="1" x14ac:dyDescent="0.25"/>
    <row r="221" spans="8:17" ht="15.75" customHeight="1" x14ac:dyDescent="0.25">
      <c r="I221" s="14" t="s">
        <v>927</v>
      </c>
    </row>
    <row r="222" spans="8:17" ht="15.75" customHeight="1" x14ac:dyDescent="0.25">
      <c r="I222" s="14" t="s">
        <v>923</v>
      </c>
      <c r="J222" s="12">
        <v>2019</v>
      </c>
      <c r="K222" s="12">
        <v>2020</v>
      </c>
      <c r="L222" s="12">
        <v>2025</v>
      </c>
      <c r="M222" s="12">
        <v>2030</v>
      </c>
      <c r="N222" s="12">
        <v>2035</v>
      </c>
      <c r="O222" s="12">
        <v>2040</v>
      </c>
      <c r="P222" s="12">
        <v>2045</v>
      </c>
      <c r="Q222" s="12">
        <v>2050</v>
      </c>
    </row>
    <row r="223" spans="8:17" ht="15.75" customHeight="1" x14ac:dyDescent="0.25">
      <c r="H223" s="12" t="s">
        <v>74</v>
      </c>
      <c r="I223" s="12" t="s">
        <v>32</v>
      </c>
      <c r="J223" s="12">
        <v>27.015813128159731</v>
      </c>
      <c r="K223" s="12">
        <v>26.062049484430577</v>
      </c>
      <c r="L223" s="12">
        <v>27.26293166627044</v>
      </c>
      <c r="M223" s="12">
        <v>28.990379051104217</v>
      </c>
      <c r="N223" s="12">
        <v>31.697009911247882</v>
      </c>
      <c r="O223" s="12">
        <v>32.967623003898666</v>
      </c>
      <c r="P223" s="12">
        <v>34.607787018684213</v>
      </c>
      <c r="Q223" s="12">
        <v>35.963817996706439</v>
      </c>
    </row>
    <row r="224" spans="8:17" ht="15.75" customHeight="1" x14ac:dyDescent="0.25">
      <c r="H224" s="12" t="s">
        <v>922</v>
      </c>
      <c r="I224" s="12" t="s">
        <v>102</v>
      </c>
      <c r="J224" s="232">
        <v>21.475872844615932</v>
      </c>
      <c r="K224" s="232">
        <v>21.173796174722664</v>
      </c>
      <c r="L224" s="232">
        <v>23.09908472316074</v>
      </c>
      <c r="M224" s="232">
        <v>25.352291121728861</v>
      </c>
      <c r="N224" s="232">
        <v>28.770631310279356</v>
      </c>
      <c r="O224" s="232">
        <v>30.877675811857468</v>
      </c>
      <c r="P224" s="232">
        <v>33.171074715211802</v>
      </c>
      <c r="Q224" s="232">
        <v>35.177965790480719</v>
      </c>
    </row>
    <row r="225" spans="8:17" ht="15.75" customHeight="1" x14ac:dyDescent="0.25">
      <c r="H225" s="12" t="s">
        <v>60</v>
      </c>
      <c r="I225" s="12" t="s">
        <v>8</v>
      </c>
      <c r="J225" s="12">
        <v>20.996450693126999</v>
      </c>
      <c r="K225" s="12">
        <v>20.789779196276999</v>
      </c>
      <c r="L225" s="12">
        <v>21.49552278666</v>
      </c>
      <c r="M225" s="12">
        <v>22.787761319388</v>
      </c>
      <c r="N225" s="12">
        <v>24.782312344958999</v>
      </c>
      <c r="O225" s="12">
        <v>26.081950485006001</v>
      </c>
      <c r="P225" s="12">
        <v>27.657616630877996</v>
      </c>
      <c r="Q225" s="12">
        <v>28.857208895307</v>
      </c>
    </row>
    <row r="226" spans="8:17" ht="15.75" customHeight="1" x14ac:dyDescent="0.25">
      <c r="H226" s="12" t="s">
        <v>74</v>
      </c>
      <c r="I226" s="12" t="s">
        <v>14</v>
      </c>
      <c r="J226" s="12">
        <v>20.905028056574999</v>
      </c>
      <c r="K226" s="12">
        <v>20.166998975720997</v>
      </c>
      <c r="L226" s="12">
        <v>21.096250136325001</v>
      </c>
      <c r="M226" s="12">
        <v>22.432961190509999</v>
      </c>
      <c r="N226" s="12">
        <v>24.527371371749997</v>
      </c>
      <c r="O226" s="12">
        <v>25.510580806347001</v>
      </c>
      <c r="P226" s="12">
        <v>26.779751368928999</v>
      </c>
      <c r="Q226" s="12">
        <v>27.829057769838002</v>
      </c>
    </row>
    <row r="227" spans="8:17" ht="15.75" customHeight="1" x14ac:dyDescent="0.25">
      <c r="H227" s="12" t="s">
        <v>22</v>
      </c>
      <c r="I227" s="12" t="s">
        <v>22</v>
      </c>
      <c r="J227" s="12">
        <v>17.550825014150998</v>
      </c>
      <c r="K227" s="12">
        <v>17.327211288426</v>
      </c>
      <c r="L227" s="12">
        <v>21.000397403115002</v>
      </c>
      <c r="M227" s="12">
        <v>23.265791875521</v>
      </c>
      <c r="N227" s="12">
        <v>25.362927030636001</v>
      </c>
      <c r="O227" s="12">
        <v>27.015707567627999</v>
      </c>
      <c r="P227" s="12">
        <v>29.097066308778</v>
      </c>
      <c r="Q227" s="12">
        <v>30.992470937063995</v>
      </c>
    </row>
    <row r="228" spans="8:17" ht="15.75" customHeight="1" x14ac:dyDescent="0.25">
      <c r="H228" s="12" t="s">
        <v>860</v>
      </c>
      <c r="I228" s="12" t="s">
        <v>30</v>
      </c>
      <c r="J228" s="12">
        <v>15.484369752577541</v>
      </c>
      <c r="K228" s="12">
        <v>15.168782704888827</v>
      </c>
      <c r="L228" s="12">
        <v>16.949109551577816</v>
      </c>
      <c r="M228" s="12">
        <v>19.89820760097551</v>
      </c>
      <c r="N228" s="12">
        <v>20.433037285408389</v>
      </c>
      <c r="O228" s="12">
        <v>21.046576062396845</v>
      </c>
      <c r="P228" s="12">
        <v>22.996499995778219</v>
      </c>
      <c r="Q228" s="12">
        <v>24.2190062601092</v>
      </c>
    </row>
    <row r="229" spans="8:17" ht="15.75" customHeight="1" x14ac:dyDescent="0.25">
      <c r="H229" s="12" t="s">
        <v>855</v>
      </c>
      <c r="I229" s="12" t="s">
        <v>18</v>
      </c>
      <c r="J229" s="12">
        <v>13.877034192216</v>
      </c>
      <c r="K229" s="12">
        <v>13.679057020707001</v>
      </c>
      <c r="L229" s="12">
        <v>14.925902701670999</v>
      </c>
      <c r="M229" s="12">
        <v>16.381853873541001</v>
      </c>
      <c r="N229" s="12">
        <v>18.590677888301997</v>
      </c>
      <c r="O229" s="12">
        <v>19.952183835207002</v>
      </c>
      <c r="P229" s="12">
        <v>21.434106140693999</v>
      </c>
      <c r="Q229" s="12">
        <v>22.730896090656</v>
      </c>
    </row>
    <row r="230" spans="8:17" ht="15.75" customHeight="1" x14ac:dyDescent="0.25">
      <c r="H230" s="12" t="s">
        <v>13</v>
      </c>
      <c r="I230" s="12" t="s">
        <v>13</v>
      </c>
      <c r="J230" s="12">
        <v>9.4202649837692984</v>
      </c>
      <c r="K230" s="12">
        <v>9.6527165147854426</v>
      </c>
      <c r="L230" s="12">
        <v>11.578601139308462</v>
      </c>
      <c r="M230" s="12">
        <v>12.911789354957682</v>
      </c>
      <c r="N230" s="12">
        <v>14.757523117529285</v>
      </c>
      <c r="O230" s="12">
        <v>16.087232795682176</v>
      </c>
      <c r="P230" s="12">
        <v>17.631300754150111</v>
      </c>
      <c r="Q230" s="12">
        <v>18.826932611437442</v>
      </c>
    </row>
    <row r="231" spans="8:17" ht="15.75" customHeight="1" x14ac:dyDescent="0.25">
      <c r="H231" s="12" t="s">
        <v>908</v>
      </c>
      <c r="I231" s="12" t="s">
        <v>908</v>
      </c>
      <c r="J231" s="12">
        <v>9.4202649837692984</v>
      </c>
      <c r="K231" s="12">
        <v>9.6527165147854426</v>
      </c>
      <c r="L231" s="12">
        <v>11.578601139308462</v>
      </c>
      <c r="M231" s="12">
        <v>12.911789354957682</v>
      </c>
      <c r="N231" s="12">
        <v>14.757523117529285</v>
      </c>
      <c r="O231" s="12">
        <v>16.087232795682176</v>
      </c>
      <c r="P231" s="12">
        <v>17.631300754150111</v>
      </c>
      <c r="Q231" s="12">
        <v>18.826932611437442</v>
      </c>
    </row>
    <row r="232" spans="8:17" ht="15.75" customHeight="1" x14ac:dyDescent="0.25">
      <c r="H232" s="12" t="s">
        <v>858</v>
      </c>
      <c r="I232" s="12" t="s">
        <v>26</v>
      </c>
      <c r="J232" s="12">
        <v>9.2360008608660014</v>
      </c>
      <c r="K232" s="12">
        <v>9.6932486336400014</v>
      </c>
      <c r="L232" s="12">
        <v>9.5472696505679995</v>
      </c>
      <c r="M232" s="12">
        <v>10.673080048449</v>
      </c>
      <c r="N232" s="12">
        <v>12.218909862978</v>
      </c>
      <c r="O232" s="12">
        <v>13.22060646816</v>
      </c>
      <c r="P232" s="12">
        <v>14.059067186150999</v>
      </c>
      <c r="Q232" s="12">
        <v>15.210941603714998</v>
      </c>
    </row>
    <row r="233" spans="8:17" ht="15.75" customHeight="1" x14ac:dyDescent="0.25">
      <c r="H233" s="12" t="s">
        <v>17</v>
      </c>
      <c r="I233" s="12" t="s">
        <v>17</v>
      </c>
      <c r="J233" s="12">
        <v>8.6667911578505574</v>
      </c>
      <c r="K233" s="12">
        <v>8.8806502029103971</v>
      </c>
      <c r="L233" s="12">
        <v>10.652494186451701</v>
      </c>
      <c r="M233" s="12">
        <v>11.87904820155075</v>
      </c>
      <c r="N233" s="12">
        <v>13.577152138198308</v>
      </c>
      <c r="O233" s="12">
        <v>14.800505844381702</v>
      </c>
      <c r="P233" s="12">
        <v>16.22107252192496</v>
      </c>
      <c r="Q233" s="12">
        <v>17.321072535367904</v>
      </c>
    </row>
    <row r="234" spans="8:17" ht="15.75" customHeight="1" x14ac:dyDescent="0.25">
      <c r="H234" s="12" t="s">
        <v>917</v>
      </c>
      <c r="I234" s="12" t="s">
        <v>917</v>
      </c>
      <c r="J234" s="12">
        <v>7.1598435060130807</v>
      </c>
      <c r="K234" s="12">
        <v>7.3365175791603097</v>
      </c>
      <c r="L234" s="12">
        <v>8.8002802807381819</v>
      </c>
      <c r="M234" s="12">
        <v>9.8135658947368913</v>
      </c>
      <c r="N234" s="12">
        <v>11.216410179536366</v>
      </c>
      <c r="O234" s="12">
        <v>12.227051941780758</v>
      </c>
      <c r="P234" s="12">
        <v>13.400616057474668</v>
      </c>
      <c r="Q234" s="12">
        <v>14.309352383228823</v>
      </c>
    </row>
    <row r="235" spans="8:17" ht="15.75" customHeight="1" x14ac:dyDescent="0.25">
      <c r="H235" s="12" t="s">
        <v>921</v>
      </c>
      <c r="I235" s="12" t="s">
        <v>7</v>
      </c>
      <c r="J235" s="12">
        <v>4.7688341321789993</v>
      </c>
      <c r="K235" s="12">
        <v>4.6568448145439998</v>
      </c>
      <c r="L235" s="12">
        <v>5.7706406841329994</v>
      </c>
      <c r="M235" s="12">
        <v>6.7599028780919994</v>
      </c>
      <c r="N235" s="12">
        <v>7.3262282746769998</v>
      </c>
      <c r="O235" s="12">
        <v>7.6825591280100003</v>
      </c>
      <c r="P235" s="12">
        <v>8.0943780319740011</v>
      </c>
      <c r="Q235" s="12">
        <v>8.6837619205349998</v>
      </c>
    </row>
    <row r="236" spans="8:17" ht="15.75" customHeight="1" x14ac:dyDescent="0.25"/>
    <row r="237" spans="8:17" ht="15.75" customHeight="1" x14ac:dyDescent="0.25"/>
    <row r="238" spans="8:17" ht="15.75" customHeight="1" x14ac:dyDescent="0.25">
      <c r="J238" s="12">
        <v>21.475872844615932</v>
      </c>
      <c r="K238" s="12">
        <v>21.173796174722664</v>
      </c>
      <c r="L238" s="12">
        <v>23.09908472316074</v>
      </c>
      <c r="M238" s="12">
        <v>25.352291121728861</v>
      </c>
      <c r="N238" s="12">
        <v>28.770631310279356</v>
      </c>
      <c r="O238" s="12">
        <v>30.877675811857468</v>
      </c>
      <c r="P238" s="12">
        <v>33.171074715211802</v>
      </c>
      <c r="Q238" s="12">
        <v>35.177965790480719</v>
      </c>
    </row>
    <row r="239" spans="8:17" ht="15.75" customHeight="1" x14ac:dyDescent="0.25"/>
    <row r="240" spans="8:17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I222:Q222" xr:uid="{00000000-0009-0000-0000-000003000000}">
    <sortState xmlns:xlrd2="http://schemas.microsoft.com/office/spreadsheetml/2017/richdata2" ref="I222:Q222">
      <sortCondition descending="1" ref="J222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C64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880</v>
      </c>
      <c r="I4" s="233"/>
      <c r="J4" s="233"/>
      <c r="K4" s="233"/>
      <c r="L4" s="233"/>
      <c r="M4" s="20"/>
      <c r="O4" s="236" t="s">
        <v>310</v>
      </c>
      <c r="P4" s="20"/>
      <c r="Q4" s="20"/>
      <c r="R4" s="20"/>
      <c r="S4" s="20"/>
    </row>
    <row r="5" spans="1:26" x14ac:dyDescent="0.25">
      <c r="B5" s="237" t="s">
        <v>928</v>
      </c>
      <c r="C5" s="237" t="s">
        <v>43</v>
      </c>
      <c r="D5" s="237" t="s">
        <v>929</v>
      </c>
      <c r="E5" s="237">
        <v>2019</v>
      </c>
      <c r="H5" s="238" t="s">
        <v>312</v>
      </c>
      <c r="I5" s="238" t="s">
        <v>881</v>
      </c>
      <c r="J5" s="238" t="s">
        <v>882</v>
      </c>
      <c r="K5" s="239" t="s">
        <v>930</v>
      </c>
      <c r="L5" s="240"/>
      <c r="M5" s="20"/>
      <c r="O5" s="241" t="s">
        <v>311</v>
      </c>
      <c r="P5" s="241" t="s">
        <v>312</v>
      </c>
      <c r="Q5" s="241" t="s">
        <v>313</v>
      </c>
      <c r="R5" s="241" t="s">
        <v>314</v>
      </c>
      <c r="S5" s="241" t="s">
        <v>315</v>
      </c>
    </row>
    <row r="6" spans="1:26" ht="20.25" customHeight="1" x14ac:dyDescent="0.25">
      <c r="B6" s="242" t="s">
        <v>327</v>
      </c>
      <c r="C6" s="242" t="s">
        <v>931</v>
      </c>
      <c r="D6" s="242" t="s">
        <v>932</v>
      </c>
      <c r="E6" s="242" t="s">
        <v>933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329</v>
      </c>
      <c r="P6" s="20" t="str">
        <f t="shared" ref="P6:P11" si="2">+H6</f>
        <v>FTE-DKER</v>
      </c>
      <c r="Q6" s="20" t="s">
        <v>934</v>
      </c>
      <c r="R6" s="20" t="s">
        <v>59</v>
      </c>
      <c r="S6" s="20" t="s">
        <v>328</v>
      </c>
    </row>
    <row r="7" spans="1:26" x14ac:dyDescent="0.25">
      <c r="B7" s="246" t="s">
        <v>935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936</v>
      </c>
      <c r="R7" s="20" t="s">
        <v>59</v>
      </c>
      <c r="S7" s="20" t="s">
        <v>328</v>
      </c>
    </row>
    <row r="8" spans="1:26" x14ac:dyDescent="0.25">
      <c r="B8" s="244" t="s">
        <v>937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938</v>
      </c>
      <c r="R8" s="20" t="s">
        <v>59</v>
      </c>
      <c r="S8" s="20" t="s">
        <v>328</v>
      </c>
    </row>
    <row r="9" spans="1:26" x14ac:dyDescent="0.25">
      <c r="B9" s="244" t="s">
        <v>937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939</v>
      </c>
      <c r="R9" s="20" t="s">
        <v>59</v>
      </c>
      <c r="S9" s="20" t="s">
        <v>328</v>
      </c>
    </row>
    <row r="10" spans="1:26" x14ac:dyDescent="0.25">
      <c r="B10" s="244" t="s">
        <v>937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940</v>
      </c>
      <c r="R10" s="20" t="s">
        <v>59</v>
      </c>
      <c r="S10" s="20" t="s">
        <v>328</v>
      </c>
    </row>
    <row r="11" spans="1:26" x14ac:dyDescent="0.25">
      <c r="B11" s="244" t="s">
        <v>937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941</v>
      </c>
      <c r="R11" s="20" t="s">
        <v>59</v>
      </c>
      <c r="S11" s="20" t="s">
        <v>328</v>
      </c>
    </row>
    <row r="12" spans="1:26" x14ac:dyDescent="0.25">
      <c r="B12" s="244" t="s">
        <v>937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937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937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312</v>
      </c>
      <c r="I15" s="238" t="s">
        <v>881</v>
      </c>
      <c r="J15" s="238" t="s">
        <v>882</v>
      </c>
      <c r="K15" s="239" t="s">
        <v>943</v>
      </c>
      <c r="L15" s="239" t="s">
        <v>930</v>
      </c>
      <c r="M15" s="20"/>
      <c r="O15" s="241" t="s">
        <v>311</v>
      </c>
      <c r="P15" s="241" t="s">
        <v>312</v>
      </c>
      <c r="Q15" s="241" t="s">
        <v>313</v>
      </c>
      <c r="R15" s="241" t="s">
        <v>314</v>
      </c>
      <c r="S15" s="241" t="s">
        <v>315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329</v>
      </c>
      <c r="P16" s="257" t="s">
        <v>944</v>
      </c>
      <c r="Q16" s="257" t="s">
        <v>945</v>
      </c>
      <c r="R16" s="257" t="s">
        <v>59</v>
      </c>
      <c r="S16" s="257" t="s">
        <v>328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946</v>
      </c>
      <c r="Q17" s="257" t="s">
        <v>947</v>
      </c>
      <c r="R17" s="257" t="s">
        <v>59</v>
      </c>
      <c r="S17" s="257" t="s">
        <v>328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937</v>
      </c>
      <c r="C19" s="12" t="s">
        <v>948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937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937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937</v>
      </c>
      <c r="C22" s="12" t="s">
        <v>67</v>
      </c>
      <c r="D22" s="12" t="s">
        <v>59</v>
      </c>
      <c r="E22" s="12">
        <v>25.486199999999997</v>
      </c>
      <c r="H22" s="235" t="s">
        <v>880</v>
      </c>
      <c r="I22" s="233"/>
      <c r="J22" s="233"/>
      <c r="K22" s="233"/>
      <c r="L22" s="20"/>
      <c r="M22" s="20"/>
      <c r="O22" s="236" t="s">
        <v>310</v>
      </c>
      <c r="P22" s="20"/>
      <c r="Q22" s="20"/>
      <c r="R22" s="20"/>
      <c r="S22" s="20"/>
    </row>
    <row r="23" spans="1:26" ht="15.75" customHeight="1" x14ac:dyDescent="0.25">
      <c r="B23" s="12" t="s">
        <v>937</v>
      </c>
      <c r="C23" s="12" t="s">
        <v>70</v>
      </c>
      <c r="D23" s="12" t="s">
        <v>59</v>
      </c>
      <c r="E23" s="12">
        <v>1.1855</v>
      </c>
      <c r="H23" s="238" t="s">
        <v>312</v>
      </c>
      <c r="I23" s="238" t="s">
        <v>881</v>
      </c>
      <c r="J23" s="238" t="s">
        <v>882</v>
      </c>
      <c r="K23" s="239" t="s">
        <v>930</v>
      </c>
      <c r="L23" s="20"/>
      <c r="M23" s="20"/>
      <c r="O23" s="241" t="s">
        <v>311</v>
      </c>
      <c r="P23" s="241" t="s">
        <v>312</v>
      </c>
      <c r="Q23" s="241" t="s">
        <v>313</v>
      </c>
      <c r="R23" s="241" t="s">
        <v>314</v>
      </c>
      <c r="S23" s="241" t="s">
        <v>315</v>
      </c>
    </row>
    <row r="24" spans="1:26" ht="15.75" customHeight="1" x14ac:dyDescent="0.25">
      <c r="B24" s="12" t="s">
        <v>937</v>
      </c>
      <c r="C24" s="12" t="s">
        <v>942</v>
      </c>
      <c r="D24" s="12" t="s">
        <v>59</v>
      </c>
      <c r="E24" s="12">
        <v>238.81580000000002</v>
      </c>
      <c r="H24" s="20" t="s">
        <v>949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329</v>
      </c>
      <c r="P24" s="20" t="str">
        <f t="shared" ref="P24:P27" si="4">+H24</f>
        <v>FTE-DGSL</v>
      </c>
      <c r="Q24" s="20" t="s">
        <v>950</v>
      </c>
      <c r="R24" s="20" t="s">
        <v>59</v>
      </c>
      <c r="S24" s="20" t="s">
        <v>328</v>
      </c>
    </row>
    <row r="25" spans="1:26" ht="15.75" customHeight="1" x14ac:dyDescent="0.25">
      <c r="B25" s="12" t="s">
        <v>937</v>
      </c>
      <c r="C25" s="12" t="s">
        <v>75</v>
      </c>
      <c r="D25" s="12" t="s">
        <v>59</v>
      </c>
      <c r="E25" s="12">
        <v>7.3300000000000004E-2</v>
      </c>
      <c r="H25" s="20" t="s">
        <v>951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952</v>
      </c>
      <c r="R25" s="20" t="s">
        <v>59</v>
      </c>
      <c r="S25" s="20" t="s">
        <v>328</v>
      </c>
    </row>
    <row r="26" spans="1:26" ht="15.75" customHeight="1" x14ac:dyDescent="0.25">
      <c r="H26" s="20" t="s">
        <v>953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954</v>
      </c>
      <c r="R26" s="20" t="s">
        <v>59</v>
      </c>
      <c r="S26" s="20" t="s">
        <v>328</v>
      </c>
    </row>
    <row r="27" spans="1:26" ht="15.75" customHeight="1" x14ac:dyDescent="0.25">
      <c r="H27" s="20" t="s">
        <v>955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956</v>
      </c>
      <c r="R27" s="20" t="s">
        <v>59</v>
      </c>
      <c r="S27" s="20" t="s">
        <v>328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310</v>
      </c>
      <c r="I56" s="20"/>
      <c r="J56" s="20"/>
      <c r="K56" s="20"/>
      <c r="L56" s="20"/>
    </row>
    <row r="57" spans="8:12" ht="15.75" customHeight="1" x14ac:dyDescent="0.25">
      <c r="H57" s="241" t="s">
        <v>311</v>
      </c>
      <c r="I57" s="241" t="s">
        <v>312</v>
      </c>
      <c r="J57" s="241" t="s">
        <v>313</v>
      </c>
      <c r="K57" s="241" t="s">
        <v>314</v>
      </c>
      <c r="L57" s="241" t="s">
        <v>315</v>
      </c>
    </row>
    <row r="58" spans="8:12" ht="15.75" customHeight="1" x14ac:dyDescent="0.25">
      <c r="H58" s="12" t="s">
        <v>957</v>
      </c>
      <c r="I58" s="12" t="str">
        <f>+H67</f>
        <v>FTD-AGR</v>
      </c>
      <c r="J58" s="12" t="s">
        <v>958</v>
      </c>
      <c r="K58" s="12" t="s">
        <v>59</v>
      </c>
      <c r="L58" s="12" t="s">
        <v>381</v>
      </c>
    </row>
    <row r="59" spans="8:12" ht="15.75" customHeight="1" x14ac:dyDescent="0.25">
      <c r="I59" s="12" t="str">
        <f>+H72</f>
        <v>FTD-TER</v>
      </c>
      <c r="J59" s="12" t="s">
        <v>959</v>
      </c>
      <c r="K59" s="12" t="s">
        <v>59</v>
      </c>
      <c r="L59" s="12" t="s">
        <v>381</v>
      </c>
    </row>
    <row r="60" spans="8:12" ht="15.75" customHeight="1" x14ac:dyDescent="0.25">
      <c r="I60" s="12" t="str">
        <f>+H74</f>
        <v>FTD-RSD</v>
      </c>
      <c r="J60" s="12" t="s">
        <v>960</v>
      </c>
      <c r="K60" s="12" t="s">
        <v>59</v>
      </c>
      <c r="L60" s="12" t="s">
        <v>381</v>
      </c>
    </row>
    <row r="61" spans="8:12" ht="15.75" customHeight="1" x14ac:dyDescent="0.25">
      <c r="I61" s="12" t="str">
        <f>+H76</f>
        <v>FTD-IND</v>
      </c>
      <c r="J61" s="12" t="s">
        <v>961</v>
      </c>
      <c r="K61" s="12" t="s">
        <v>59</v>
      </c>
      <c r="L61" s="12" t="s">
        <v>381</v>
      </c>
    </row>
    <row r="62" spans="8:12" ht="15.75" customHeight="1" x14ac:dyDescent="0.25">
      <c r="I62" s="12" t="str">
        <f>+H86</f>
        <v>FTD-TRA</v>
      </c>
      <c r="J62" s="12" t="s">
        <v>962</v>
      </c>
      <c r="K62" s="12" t="s">
        <v>59</v>
      </c>
      <c r="L62" s="12" t="s">
        <v>381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880</v>
      </c>
    </row>
    <row r="66" spans="4:20" ht="15.75" customHeight="1" x14ac:dyDescent="0.25">
      <c r="H66" s="238" t="s">
        <v>312</v>
      </c>
      <c r="I66" s="238" t="s">
        <v>881</v>
      </c>
      <c r="J66" s="238" t="s">
        <v>882</v>
      </c>
      <c r="K66" s="209" t="s">
        <v>46</v>
      </c>
      <c r="L66" s="239" t="s">
        <v>930</v>
      </c>
      <c r="M66" s="238" t="s">
        <v>963</v>
      </c>
      <c r="N66" s="238" t="s">
        <v>964</v>
      </c>
      <c r="O66" s="238" t="s">
        <v>965</v>
      </c>
      <c r="P66" s="238" t="s">
        <v>966</v>
      </c>
      <c r="Q66" s="238" t="s">
        <v>967</v>
      </c>
      <c r="R66" s="238" t="s">
        <v>968</v>
      </c>
      <c r="S66" s="238" t="s">
        <v>969</v>
      </c>
      <c r="T66" s="238" t="s">
        <v>970</v>
      </c>
    </row>
    <row r="67" spans="4:20" ht="15.75" customHeight="1" x14ac:dyDescent="0.25">
      <c r="H67" s="12" t="s">
        <v>971</v>
      </c>
      <c r="I67" s="261" t="s">
        <v>64</v>
      </c>
      <c r="J67" s="262" t="s">
        <v>972</v>
      </c>
      <c r="K67" s="263" t="s">
        <v>973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973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948</v>
      </c>
      <c r="J69" s="262"/>
      <c r="K69" s="263" t="s">
        <v>973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973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942</v>
      </c>
      <c r="J71" s="13"/>
      <c r="K71" s="14" t="s">
        <v>974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975</v>
      </c>
      <c r="I72" s="12" t="s">
        <v>942</v>
      </c>
      <c r="J72" s="13" t="s">
        <v>92</v>
      </c>
      <c r="K72" s="14" t="s">
        <v>974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976</v>
      </c>
      <c r="E73" s="266">
        <f>+'Bases de Cálculo'!C22</f>
        <v>5.7621225008503835E-2</v>
      </c>
      <c r="I73" s="12" t="s">
        <v>67</v>
      </c>
      <c r="J73" s="13"/>
      <c r="K73" s="14" t="s">
        <v>974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1642</v>
      </c>
      <c r="E74" s="266">
        <f>+'Bases de Cálculo'!D22</f>
        <v>9.3659149944684009E-2</v>
      </c>
      <c r="H74" s="12" t="s">
        <v>977</v>
      </c>
      <c r="I74" s="12" t="s">
        <v>942</v>
      </c>
      <c r="J74" s="13" t="s">
        <v>99</v>
      </c>
      <c r="K74" s="14" t="s">
        <v>974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974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978</v>
      </c>
      <c r="I76" s="261" t="s">
        <v>64</v>
      </c>
      <c r="J76" s="262" t="s">
        <v>104</v>
      </c>
      <c r="K76" s="263" t="s">
        <v>973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973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948</v>
      </c>
      <c r="J78" s="262"/>
      <c r="K78" s="263" t="s">
        <v>973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973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942</v>
      </c>
      <c r="J80" s="13"/>
      <c r="K80" s="14" t="s">
        <v>974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974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974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974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974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974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979</v>
      </c>
      <c r="I86" s="261" t="s">
        <v>64</v>
      </c>
      <c r="J86" s="262" t="s">
        <v>109</v>
      </c>
      <c r="K86" s="263" t="s">
        <v>973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973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948</v>
      </c>
      <c r="J88" s="262"/>
      <c r="K88" s="263" t="s">
        <v>973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973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942</v>
      </c>
      <c r="J90" s="13"/>
      <c r="K90" s="14" t="s">
        <v>974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974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974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974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974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974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880</v>
      </c>
      <c r="J98" s="268"/>
      <c r="K98" s="269"/>
    </row>
    <row r="99" spans="8:18" ht="15.75" customHeight="1" x14ac:dyDescent="0.25">
      <c r="H99" s="270" t="s">
        <v>928</v>
      </c>
      <c r="I99" s="270" t="s">
        <v>43</v>
      </c>
      <c r="J99" s="270" t="s">
        <v>929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937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937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937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937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937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554</v>
      </c>
    </row>
    <row r="2" spans="2:8" x14ac:dyDescent="0.25">
      <c r="G2" s="276" t="s">
        <v>556</v>
      </c>
    </row>
    <row r="3" spans="2:8" x14ac:dyDescent="0.25">
      <c r="G3" s="277" t="s">
        <v>562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948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942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980</v>
      </c>
      <c r="G16" s="222">
        <v>0.16600000000000001</v>
      </c>
      <c r="H16" s="12" t="s">
        <v>981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980</v>
      </c>
      <c r="G17" s="280">
        <f>+(G16/1000000)</f>
        <v>1.66E-7</v>
      </c>
      <c r="H17" s="12" t="s">
        <v>982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980</v>
      </c>
      <c r="G18" s="12">
        <f>+G17*(1000000)</f>
        <v>0.16600000000000001</v>
      </c>
      <c r="H18" s="12" t="s">
        <v>983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980</v>
      </c>
      <c r="G19" s="281">
        <f>+G18/0.0036</f>
        <v>46.111111111111114</v>
      </c>
      <c r="H19" s="281" t="s">
        <v>984</v>
      </c>
    </row>
    <row r="21" spans="2:15" ht="15.75" customHeight="1" x14ac:dyDescent="0.3">
      <c r="B21" s="282" t="s">
        <v>985</v>
      </c>
    </row>
    <row r="22" spans="2:15" ht="15.75" customHeight="1" x14ac:dyDescent="0.25"/>
    <row r="23" spans="2:15" ht="15.75" customHeight="1" x14ac:dyDescent="0.25">
      <c r="B23" s="283" t="s">
        <v>986</v>
      </c>
    </row>
    <row r="24" spans="2:15" ht="15.75" customHeight="1" x14ac:dyDescent="0.25">
      <c r="B24" s="284" t="s">
        <v>43</v>
      </c>
      <c r="C24" s="285" t="s">
        <v>948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942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935</v>
      </c>
      <c r="C25" s="212" t="s">
        <v>556</v>
      </c>
      <c r="D25" s="212" t="s">
        <v>556</v>
      </c>
      <c r="E25" s="212" t="s">
        <v>556</v>
      </c>
      <c r="F25" s="212" t="s">
        <v>556</v>
      </c>
      <c r="G25" s="212" t="s">
        <v>556</v>
      </c>
      <c r="H25" s="212" t="s">
        <v>556</v>
      </c>
      <c r="I25" s="212" t="s">
        <v>556</v>
      </c>
      <c r="J25" s="212" t="s">
        <v>556</v>
      </c>
      <c r="K25" s="212" t="s">
        <v>556</v>
      </c>
      <c r="L25" s="212" t="s">
        <v>556</v>
      </c>
      <c r="M25" s="212" t="s">
        <v>556</v>
      </c>
      <c r="N25" s="212" t="s">
        <v>556</v>
      </c>
      <c r="O25" s="212" t="s">
        <v>556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987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991</v>
      </c>
    </row>
    <row r="4" spans="2:10" x14ac:dyDescent="0.25">
      <c r="B4" s="70"/>
      <c r="C4" s="70"/>
      <c r="J4" s="12" t="s">
        <v>992</v>
      </c>
    </row>
    <row r="5" spans="2:10" x14ac:dyDescent="0.25">
      <c r="B5" s="289"/>
      <c r="C5" s="202"/>
      <c r="D5" s="934" t="s">
        <v>993</v>
      </c>
      <c r="E5" s="908"/>
      <c r="F5" s="908"/>
    </row>
    <row r="6" spans="2:10" x14ac:dyDescent="0.25">
      <c r="B6" s="289"/>
      <c r="C6" s="290"/>
      <c r="D6" s="290" t="s">
        <v>994</v>
      </c>
      <c r="E6" s="290" t="s">
        <v>995</v>
      </c>
      <c r="F6" s="290" t="s">
        <v>996</v>
      </c>
    </row>
    <row r="7" spans="2:10" x14ac:dyDescent="0.25">
      <c r="B7" s="935" t="s">
        <v>997</v>
      </c>
      <c r="C7" s="290" t="s">
        <v>998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08"/>
      <c r="C8" s="290" t="s">
        <v>999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996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1000</v>
      </c>
      <c r="C10" s="290" t="s">
        <v>1001</v>
      </c>
      <c r="E10" s="292">
        <v>0.6</v>
      </c>
      <c r="F10" s="293"/>
    </row>
    <row r="11" spans="2:10" x14ac:dyDescent="0.25">
      <c r="B11" s="70"/>
      <c r="C11" s="290" t="s">
        <v>1002</v>
      </c>
      <c r="D11" s="294"/>
      <c r="E11" s="292">
        <v>0.25</v>
      </c>
      <c r="F11" s="293"/>
    </row>
    <row r="12" spans="2:10" x14ac:dyDescent="0.25">
      <c r="B12" s="70"/>
      <c r="C12" s="290" t="s">
        <v>1003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994</v>
      </c>
      <c r="E14" s="214" t="s">
        <v>995</v>
      </c>
      <c r="F14" s="214" t="s">
        <v>996</v>
      </c>
    </row>
    <row r="15" spans="2:10" x14ac:dyDescent="0.25">
      <c r="B15" s="70" t="s">
        <v>997</v>
      </c>
      <c r="C15" s="214" t="s">
        <v>1004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1005</v>
      </c>
      <c r="C16" s="14" t="s">
        <v>1006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994</v>
      </c>
      <c r="E20" s="12" t="s">
        <v>995</v>
      </c>
    </row>
    <row r="21" spans="2:8" ht="15.75" customHeight="1" x14ac:dyDescent="0.25">
      <c r="B21" s="70"/>
      <c r="C21" s="14" t="s">
        <v>1007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994</v>
      </c>
      <c r="E24" s="12" t="s">
        <v>995</v>
      </c>
    </row>
    <row r="25" spans="2:8" ht="15.75" customHeight="1" x14ac:dyDescent="0.25">
      <c r="B25" s="70" t="s">
        <v>1008</v>
      </c>
      <c r="C25" s="12" t="s">
        <v>1009</v>
      </c>
      <c r="D25" s="266">
        <v>0.83</v>
      </c>
      <c r="E25" s="266">
        <v>0.93700000000000006</v>
      </c>
    </row>
    <row r="26" spans="2:8" ht="15.75" customHeight="1" x14ac:dyDescent="0.25">
      <c r="B26" s="70" t="s">
        <v>1000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994</v>
      </c>
      <c r="E28" s="12" t="s">
        <v>995</v>
      </c>
    </row>
    <row r="29" spans="2:8" ht="15.75" customHeight="1" x14ac:dyDescent="0.25">
      <c r="B29" s="70" t="s">
        <v>1008</v>
      </c>
      <c r="C29" s="12" t="s">
        <v>1010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994</v>
      </c>
      <c r="E30" s="817" t="s">
        <v>995</v>
      </c>
    </row>
    <row r="31" spans="2:8" ht="15.75" customHeight="1" x14ac:dyDescent="0.25">
      <c r="B31" s="816" t="s">
        <v>1011</v>
      </c>
      <c r="C31" s="817" t="s">
        <v>1012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1013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1014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1008</v>
      </c>
      <c r="C34" s="12" t="s">
        <v>1012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1013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1014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994</v>
      </c>
      <c r="E39" s="12" t="s">
        <v>995</v>
      </c>
    </row>
    <row r="40" spans="2:9" ht="15.75" customHeight="1" x14ac:dyDescent="0.25">
      <c r="B40" s="70"/>
      <c r="C40" s="12" t="s">
        <v>1015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1016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36" t="s">
        <v>1005</v>
      </c>
      <c r="C45" s="12" t="s">
        <v>1017</v>
      </c>
    </row>
    <row r="46" spans="2:9" ht="15.75" customHeight="1" x14ac:dyDescent="0.25">
      <c r="B46" s="908"/>
      <c r="D46" s="14" t="s">
        <v>994</v>
      </c>
      <c r="E46" s="12" t="s">
        <v>995</v>
      </c>
      <c r="F46" s="12" t="s">
        <v>1018</v>
      </c>
    </row>
    <row r="47" spans="2:9" ht="15.75" customHeight="1" x14ac:dyDescent="0.25">
      <c r="B47" s="908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08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08"/>
      <c r="C49" s="12" t="s">
        <v>1019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08"/>
      <c r="C50" s="12" t="s">
        <v>1020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1021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995</v>
      </c>
      <c r="H54" s="293"/>
    </row>
    <row r="55" spans="2:15" ht="15.75" customHeight="1" x14ac:dyDescent="0.25">
      <c r="B55" s="70" t="s">
        <v>1022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1019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1020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1005</v>
      </c>
      <c r="C62" s="301" t="s">
        <v>1023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994</v>
      </c>
      <c r="E63" s="12" t="s">
        <v>995</v>
      </c>
      <c r="G63" s="305"/>
    </row>
    <row r="64" spans="2:15" ht="15.75" customHeight="1" x14ac:dyDescent="0.25">
      <c r="B64" s="304"/>
      <c r="C64" s="12" t="s">
        <v>1024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1025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1026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1025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1019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1027</v>
      </c>
      <c r="L66" s="228">
        <v>4.7E-2</v>
      </c>
      <c r="M66" s="12">
        <f t="shared" si="6"/>
        <v>4.7E-2</v>
      </c>
      <c r="N66" s="12" t="s">
        <v>1025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1020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1020</v>
      </c>
      <c r="L67" s="228">
        <v>9.1999999999999998E-2</v>
      </c>
      <c r="M67" s="12">
        <f t="shared" si="6"/>
        <v>9.1999999999999998E-2</v>
      </c>
      <c r="N67" s="12" t="s">
        <v>1025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1025</v>
      </c>
      <c r="O68" s="12">
        <f>+M68*'4.1 Ref_Cart'!E8</f>
        <v>6.0871741676095334</v>
      </c>
    </row>
    <row r="69" spans="2:17" ht="15.75" customHeight="1" x14ac:dyDescent="0.25">
      <c r="B69" s="308" t="s">
        <v>1022</v>
      </c>
      <c r="D69" s="14" t="s">
        <v>994</v>
      </c>
      <c r="E69" s="12" t="s">
        <v>995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1024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1019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1020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1028</v>
      </c>
      <c r="D75" s="14" t="s">
        <v>994</v>
      </c>
      <c r="E75" s="12" t="s">
        <v>995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1019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1029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1028</v>
      </c>
      <c r="C81" s="306" t="s">
        <v>1030</v>
      </c>
      <c r="D81" s="14" t="s">
        <v>994</v>
      </c>
      <c r="E81" s="12" t="s">
        <v>995</v>
      </c>
      <c r="I81" s="821" t="s">
        <v>994</v>
      </c>
      <c r="J81" s="821" t="s">
        <v>995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1019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1005</v>
      </c>
    </row>
    <row r="91" spans="2:10" ht="15.75" customHeight="1" x14ac:dyDescent="0.25">
      <c r="B91" s="70"/>
      <c r="C91" s="214"/>
      <c r="D91" s="214" t="s">
        <v>1031</v>
      </c>
      <c r="E91" s="214"/>
    </row>
    <row r="92" spans="2:10" ht="15.75" customHeight="1" x14ac:dyDescent="0.25">
      <c r="B92" s="70"/>
      <c r="C92" s="214" t="s">
        <v>1032</v>
      </c>
      <c r="D92" s="313" t="s">
        <v>1033</v>
      </c>
      <c r="E92" s="214" t="s">
        <v>1034</v>
      </c>
    </row>
    <row r="93" spans="2:10" ht="15.75" customHeight="1" x14ac:dyDescent="0.25">
      <c r="B93" s="70"/>
      <c r="C93" s="214" t="s">
        <v>1035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1036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1037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1020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1028</v>
      </c>
      <c r="C100" s="70"/>
      <c r="D100" s="12" t="s">
        <v>1038</v>
      </c>
    </row>
    <row r="101" spans="2:5" ht="15.75" customHeight="1" x14ac:dyDescent="0.25">
      <c r="B101" s="70"/>
      <c r="C101" s="12" t="s">
        <v>1024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1019</v>
      </c>
      <c r="D103" s="228">
        <v>0.64</v>
      </c>
    </row>
    <row r="104" spans="2:5" ht="15.75" customHeight="1" x14ac:dyDescent="0.25">
      <c r="B104" s="70"/>
      <c r="C104" s="12" t="s">
        <v>1039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abSelected="1" topLeftCell="A189" zoomScale="115" zoomScaleNormal="115" workbookViewId="0">
      <selection activeCell="G218" sqref="G218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1687</v>
      </c>
      <c r="B1" s="857"/>
      <c r="C1" s="12" t="s">
        <v>1040</v>
      </c>
      <c r="D1" s="12">
        <v>119.96</v>
      </c>
      <c r="E1" s="12" t="s">
        <v>774</v>
      </c>
    </row>
    <row r="2" spans="1:24" x14ac:dyDescent="0.25">
      <c r="A2" s="86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857" t="s">
        <v>1688</v>
      </c>
      <c r="J3" s="828" t="s">
        <v>1652</v>
      </c>
      <c r="K3">
        <v>8.33</v>
      </c>
      <c r="L3" s="821" t="s">
        <v>1653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1654</v>
      </c>
      <c r="M4" s="821" t="s">
        <v>1655</v>
      </c>
      <c r="O4" s="14" t="s">
        <v>585</v>
      </c>
      <c r="P4" s="821" t="s">
        <v>1656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1651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1650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1670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38"/>
      <c r="U7" s="937" t="s">
        <v>1650</v>
      </c>
      <c r="V7" s="937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1671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39"/>
      <c r="U8" s="831" t="s">
        <v>1657</v>
      </c>
      <c r="V8" s="831" t="s">
        <v>653</v>
      </c>
      <c r="W8" s="832" t="s">
        <v>765</v>
      </c>
      <c r="X8" s="831" t="s">
        <v>1658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1671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1661</v>
      </c>
      <c r="T9" s="831" t="s">
        <v>1196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1671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1660</v>
      </c>
      <c r="T10" s="831" t="s">
        <v>1195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1671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1659</v>
      </c>
      <c r="T11" s="831" t="s">
        <v>1194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1671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1671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1671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1671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1671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1671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1682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1040</v>
      </c>
      <c r="C20">
        <v>120.1</v>
      </c>
      <c r="D20" s="85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1040</v>
      </c>
      <c r="C21">
        <f>+C20/1000</f>
        <v>0.1201</v>
      </c>
      <c r="D21" s="857" t="s">
        <v>1701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1662</v>
      </c>
      <c r="S29" s="835"/>
    </row>
    <row r="30" spans="1:19" x14ac:dyDescent="0.25">
      <c r="C30" s="869"/>
    </row>
    <row r="31" spans="1:19" x14ac:dyDescent="0.25">
      <c r="C31" s="856" t="s">
        <v>1011</v>
      </c>
      <c r="D31" s="821" t="s">
        <v>1663</v>
      </c>
      <c r="E31">
        <v>20</v>
      </c>
      <c r="F31" s="821" t="s">
        <v>1658</v>
      </c>
    </row>
    <row r="32" spans="1:19" x14ac:dyDescent="0.25">
      <c r="C32" s="856" t="s">
        <v>997</v>
      </c>
      <c r="D32" s="821" t="s">
        <v>1664</v>
      </c>
      <c r="E32" s="836">
        <v>0.3</v>
      </c>
    </row>
    <row r="33" spans="3:10" x14ac:dyDescent="0.25">
      <c r="C33" s="869"/>
      <c r="G33" s="841"/>
      <c r="H33" s="841" t="s">
        <v>1657</v>
      </c>
      <c r="I33" s="841" t="s">
        <v>1654</v>
      </c>
      <c r="J33" s="841" t="s">
        <v>653</v>
      </c>
    </row>
    <row r="34" spans="3:10" x14ac:dyDescent="0.25">
      <c r="C34" s="869"/>
      <c r="D34" s="852" t="s">
        <v>1667</v>
      </c>
      <c r="G34" s="841" t="s">
        <v>1658</v>
      </c>
      <c r="H34" s="841" t="s">
        <v>1665</v>
      </c>
      <c r="I34" s="841" t="s">
        <v>765</v>
      </c>
      <c r="J34" s="841" t="s">
        <v>1666</v>
      </c>
    </row>
    <row r="35" spans="3:10" x14ac:dyDescent="0.25">
      <c r="C35" s="869"/>
      <c r="D35" s="821" t="s">
        <v>907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869"/>
      <c r="D36" s="821" t="s">
        <v>909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869"/>
      <c r="D37" s="821" t="s">
        <v>911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86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86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856" t="s">
        <v>1000</v>
      </c>
      <c r="D41" s="852" t="s">
        <v>1668</v>
      </c>
      <c r="G41" s="841"/>
      <c r="H41" s="841" t="s">
        <v>1657</v>
      </c>
      <c r="I41" s="841" t="s">
        <v>1654</v>
      </c>
      <c r="J41" s="841" t="s">
        <v>653</v>
      </c>
    </row>
    <row r="42" spans="3:10" x14ac:dyDescent="0.25">
      <c r="D42" s="821" t="s">
        <v>907</v>
      </c>
      <c r="E42" s="836">
        <v>0.15</v>
      </c>
      <c r="G42" s="841" t="s">
        <v>1658</v>
      </c>
      <c r="H42" s="841" t="s">
        <v>1665</v>
      </c>
      <c r="I42" s="841" t="s">
        <v>765</v>
      </c>
      <c r="J42" s="841" t="s">
        <v>1666</v>
      </c>
    </row>
    <row r="43" spans="3:10" x14ac:dyDescent="0.25">
      <c r="D43" s="821" t="s">
        <v>909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911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612</v>
      </c>
    </row>
    <row r="50" spans="3:6" x14ac:dyDescent="0.25">
      <c r="D50" s="821" t="s">
        <v>1675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6" x14ac:dyDescent="0.25">
      <c r="D51" s="840" t="s">
        <v>1669</v>
      </c>
      <c r="E51" s="850">
        <f>+E50*($C$8/1000)</f>
        <v>1.6802426854852597E-2</v>
      </c>
      <c r="F51" s="840" t="s">
        <v>1672</v>
      </c>
    </row>
    <row r="52" spans="3:6" x14ac:dyDescent="0.25">
      <c r="D52" s="840" t="s">
        <v>1669</v>
      </c>
      <c r="E52" s="850">
        <f>+E51*1000</f>
        <v>16.802426854852598</v>
      </c>
      <c r="F52" s="840" t="s">
        <v>1673</v>
      </c>
    </row>
    <row r="53" spans="3:6" x14ac:dyDescent="0.25">
      <c r="D53" s="840" t="s">
        <v>1669</v>
      </c>
      <c r="E53" s="850">
        <f>+E52</f>
        <v>16.802426854852598</v>
      </c>
      <c r="F53" s="840" t="s">
        <v>1674</v>
      </c>
    </row>
    <row r="56" spans="3:6" ht="18.75" x14ac:dyDescent="0.3">
      <c r="D56" s="835" t="s">
        <v>1676</v>
      </c>
    </row>
    <row r="58" spans="3:6" x14ac:dyDescent="0.25">
      <c r="D58" s="851" t="s">
        <v>1715</v>
      </c>
    </row>
    <row r="59" spans="3:6" x14ac:dyDescent="0.25">
      <c r="C59" s="70" t="s">
        <v>1681</v>
      </c>
      <c r="D59" s="18" t="s">
        <v>1106</v>
      </c>
      <c r="E59" s="12">
        <v>165</v>
      </c>
      <c r="F59" s="365" t="s">
        <v>589</v>
      </c>
    </row>
    <row r="60" spans="3:6" x14ac:dyDescent="0.25">
      <c r="C60" s="70" t="s">
        <v>1680</v>
      </c>
      <c r="D60" s="18" t="s">
        <v>1108</v>
      </c>
      <c r="E60" s="12">
        <v>155</v>
      </c>
      <c r="F60" s="365" t="s">
        <v>589</v>
      </c>
    </row>
    <row r="61" spans="3:6" x14ac:dyDescent="0.25">
      <c r="C61" s="853"/>
      <c r="D61" s="18" t="s">
        <v>1678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1679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1718</v>
      </c>
      <c r="D64" s="18" t="s">
        <v>1713</v>
      </c>
      <c r="E64" s="868">
        <f>+E60/E59</f>
        <v>0.93939393939393945</v>
      </c>
      <c r="F64" s="365"/>
    </row>
    <row r="65" spans="1:9" x14ac:dyDescent="0.25">
      <c r="C65" s="70" t="s">
        <v>1717</v>
      </c>
      <c r="D65" s="18" t="s">
        <v>1714</v>
      </c>
      <c r="E65" s="868">
        <v>0.95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1720</v>
      </c>
      <c r="D67" s="18" t="s">
        <v>1716</v>
      </c>
      <c r="E67" s="871">
        <v>4.8099999999999996</v>
      </c>
      <c r="F67" s="870" t="s">
        <v>1719</v>
      </c>
    </row>
    <row r="68" spans="1:9" x14ac:dyDescent="0.25">
      <c r="A68" s="872">
        <v>8.2176851262728707</v>
      </c>
      <c r="C68" s="853"/>
      <c r="D68" s="18" t="s">
        <v>1721</v>
      </c>
      <c r="E68" s="871">
        <f>+E67/A68</f>
        <v>0.58532298647241721</v>
      </c>
      <c r="F68" s="870" t="s">
        <v>849</v>
      </c>
    </row>
    <row r="70" spans="1:9" x14ac:dyDescent="0.25">
      <c r="D70" s="851" t="s">
        <v>1677</v>
      </c>
    </row>
    <row r="71" spans="1:9" x14ac:dyDescent="0.25">
      <c r="E71" s="863" t="s">
        <v>662</v>
      </c>
      <c r="F71" s="286" t="s">
        <v>59</v>
      </c>
    </row>
    <row r="72" spans="1:9" x14ac:dyDescent="0.25">
      <c r="C72" s="856" t="s">
        <v>1681</v>
      </c>
      <c r="D72" s="857" t="s">
        <v>1692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856" t="s">
        <v>1681</v>
      </c>
      <c r="D73" s="857" t="s">
        <v>1691</v>
      </c>
      <c r="E73">
        <v>33.799999999999997</v>
      </c>
      <c r="F73" s="839">
        <f>+(E73*C17/1000)*365</f>
        <v>12.365388545948255</v>
      </c>
      <c r="I73" s="857"/>
    </row>
    <row r="74" spans="1:9" x14ac:dyDescent="0.25">
      <c r="C74" s="856" t="s">
        <v>1690</v>
      </c>
      <c r="D74" s="857" t="s">
        <v>1693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856" t="s">
        <v>1683</v>
      </c>
      <c r="D75" s="821" t="s">
        <v>858</v>
      </c>
      <c r="E75" s="858">
        <v>0</v>
      </c>
      <c r="F75" s="858">
        <v>0</v>
      </c>
    </row>
    <row r="76" spans="1:9" x14ac:dyDescent="0.25">
      <c r="C76" s="856" t="s">
        <v>1684</v>
      </c>
      <c r="D76" s="857" t="s">
        <v>1694</v>
      </c>
      <c r="E76">
        <v>347</v>
      </c>
      <c r="F76" s="812">
        <f>+(E76/E14)/1000</f>
        <v>0.51374637610155072</v>
      </c>
    </row>
    <row r="77" spans="1:9" x14ac:dyDescent="0.25">
      <c r="C77" s="856"/>
      <c r="D77" s="821"/>
    </row>
    <row r="79" spans="1:9" x14ac:dyDescent="0.25">
      <c r="C79" s="856" t="s">
        <v>1689</v>
      </c>
      <c r="D79" s="857" t="s">
        <v>1685</v>
      </c>
      <c r="E79" s="839">
        <v>165</v>
      </c>
      <c r="F79" s="857" t="s">
        <v>1686</v>
      </c>
      <c r="G79" s="860">
        <f>+SLOPE(G80:G81,E80:E81)*E79+INTERCEPT(G80:G81,E80:E81)</f>
        <v>71.777777777777771</v>
      </c>
      <c r="H79" s="857" t="s">
        <v>614</v>
      </c>
    </row>
    <row r="80" spans="1:9" x14ac:dyDescent="0.25">
      <c r="A80" s="855"/>
      <c r="C80" s="856" t="s">
        <v>1681</v>
      </c>
      <c r="D80" s="857" t="s">
        <v>1685</v>
      </c>
      <c r="E80">
        <v>200</v>
      </c>
      <c r="F80" s="857" t="s">
        <v>1686</v>
      </c>
      <c r="G80">
        <v>78</v>
      </c>
      <c r="H80" s="861" t="s">
        <v>614</v>
      </c>
      <c r="I80" s="821"/>
    </row>
    <row r="81" spans="1:9" x14ac:dyDescent="0.25">
      <c r="A81" s="812"/>
      <c r="B81" s="822"/>
      <c r="C81" s="856" t="s">
        <v>1681</v>
      </c>
      <c r="D81" s="857" t="s">
        <v>1685</v>
      </c>
      <c r="E81">
        <v>245</v>
      </c>
      <c r="F81" s="857" t="s">
        <v>1686</v>
      </c>
      <c r="G81" s="859">
        <v>86</v>
      </c>
      <c r="H81" s="857" t="s">
        <v>614</v>
      </c>
    </row>
    <row r="82" spans="1:9" x14ac:dyDescent="0.25">
      <c r="A82" s="812"/>
      <c r="B82" s="822"/>
      <c r="C82" s="821"/>
      <c r="D82" s="821"/>
      <c r="E82" s="812"/>
      <c r="F82" s="821"/>
    </row>
    <row r="83" spans="1:9" x14ac:dyDescent="0.25">
      <c r="A83" s="812"/>
      <c r="B83" s="839"/>
      <c r="C83" s="821"/>
      <c r="D83" s="851" t="s">
        <v>1695</v>
      </c>
      <c r="E83" s="812"/>
      <c r="F83" s="821"/>
    </row>
    <row r="85" spans="1:9" x14ac:dyDescent="0.25">
      <c r="D85" s="857" t="s">
        <v>1696</v>
      </c>
      <c r="E85" s="807">
        <f>+F72/E61</f>
        <v>3.144843829682923E-2</v>
      </c>
      <c r="F85" s="857" t="s">
        <v>609</v>
      </c>
      <c r="I85" s="812"/>
    </row>
    <row r="86" spans="1:9" x14ac:dyDescent="0.25">
      <c r="D86" s="857" t="s">
        <v>1697</v>
      </c>
      <c r="E86">
        <f>+F73/E61</f>
        <v>3.372991374521029E-2</v>
      </c>
      <c r="F86" s="857" t="s">
        <v>609</v>
      </c>
      <c r="I86" s="812"/>
    </row>
    <row r="87" spans="1:9" x14ac:dyDescent="0.25">
      <c r="D87" s="857" t="s">
        <v>1698</v>
      </c>
      <c r="E87">
        <f>+F74/E61</f>
        <v>3.8173402290987937E-2</v>
      </c>
      <c r="F87" s="857" t="s">
        <v>609</v>
      </c>
      <c r="I87" s="812"/>
    </row>
    <row r="88" spans="1:9" x14ac:dyDescent="0.25">
      <c r="D88" s="857" t="s">
        <v>1699</v>
      </c>
      <c r="E88" s="858">
        <v>0</v>
      </c>
      <c r="I88" s="812"/>
    </row>
    <row r="89" spans="1:9" x14ac:dyDescent="0.25">
      <c r="D89" s="857" t="s">
        <v>1700</v>
      </c>
      <c r="E89">
        <f>+F76/E62</f>
        <v>1.4917927107278191E-3</v>
      </c>
      <c r="F89" s="857" t="s">
        <v>609</v>
      </c>
      <c r="I89" s="812"/>
    </row>
    <row r="90" spans="1:9" x14ac:dyDescent="0.25">
      <c r="E90" s="864">
        <f>+SUM(E85:E89)</f>
        <v>0.10484354704375527</v>
      </c>
      <c r="F90" s="857" t="s">
        <v>609</v>
      </c>
      <c r="H90" s="812">
        <f>+E90*$E$62</f>
        <v>36.106217682939963</v>
      </c>
      <c r="I90" s="882" t="s">
        <v>59</v>
      </c>
    </row>
    <row r="93" spans="1:9" ht="18.75" x14ac:dyDescent="0.3">
      <c r="D93" s="835" t="s">
        <v>1702</v>
      </c>
    </row>
    <row r="95" spans="1:9" x14ac:dyDescent="0.25">
      <c r="E95" s="391"/>
      <c r="F95" s="392" t="s">
        <v>662</v>
      </c>
      <c r="G95" s="392" t="s">
        <v>1069</v>
      </c>
    </row>
    <row r="96" spans="1:9" x14ac:dyDescent="0.25">
      <c r="B96" s="856" t="s">
        <v>1705</v>
      </c>
      <c r="C96" s="856" t="s">
        <v>1704</v>
      </c>
      <c r="E96" s="393" t="s">
        <v>1120</v>
      </c>
      <c r="F96" s="394">
        <f>394.77/299.7</f>
        <v>1.3172172172172172</v>
      </c>
      <c r="G96" s="395">
        <f>+F96</f>
        <v>1.3172172172172172</v>
      </c>
      <c r="H96" s="12" t="s">
        <v>1121</v>
      </c>
    </row>
    <row r="97" spans="2:8" x14ac:dyDescent="0.25">
      <c r="B97" s="856"/>
      <c r="C97" s="856"/>
      <c r="E97" s="393"/>
      <c r="F97" s="394"/>
      <c r="G97" s="395"/>
      <c r="H97" s="12"/>
    </row>
    <row r="99" spans="2:8" ht="18.75" x14ac:dyDescent="0.3">
      <c r="D99" s="835" t="s">
        <v>1703</v>
      </c>
    </row>
    <row r="101" spans="2:8" x14ac:dyDescent="0.25">
      <c r="E101" s="865" t="s">
        <v>662</v>
      </c>
      <c r="F101" s="865" t="s">
        <v>1069</v>
      </c>
      <c r="H101" s="857" t="s">
        <v>1731</v>
      </c>
    </row>
    <row r="102" spans="2:8" x14ac:dyDescent="0.25">
      <c r="C102" s="856" t="s">
        <v>1681</v>
      </c>
      <c r="D102" s="857" t="s">
        <v>1707</v>
      </c>
      <c r="E102" s="866">
        <f>+E103+E104+E105+E106+E107</f>
        <v>160.5</v>
      </c>
      <c r="F102" s="839">
        <f>+SUM(F103:F108)</f>
        <v>331.52912709130356</v>
      </c>
      <c r="G102" s="857" t="s">
        <v>59</v>
      </c>
    </row>
    <row r="103" spans="2:8" x14ac:dyDescent="0.25">
      <c r="C103" s="856" t="s">
        <v>1681</v>
      </c>
      <c r="D103" s="857" t="s">
        <v>1035</v>
      </c>
      <c r="E103">
        <f>36.8+12.6</f>
        <v>49.4</v>
      </c>
      <c r="F103" s="839">
        <f>+E103*365*C11/1000</f>
        <v>96.121435081229123</v>
      </c>
      <c r="G103" s="857" t="s">
        <v>59</v>
      </c>
      <c r="H103" s="844">
        <f>+F103/SUM($F$103:$F$108)</f>
        <v>0.28993360530508427</v>
      </c>
    </row>
    <row r="104" spans="2:8" x14ac:dyDescent="0.25">
      <c r="C104" s="856" t="s">
        <v>1681</v>
      </c>
      <c r="D104" s="857" t="s">
        <v>1096</v>
      </c>
      <c r="E104">
        <v>94</v>
      </c>
      <c r="F104" s="839">
        <f>+E104*365*C12/1000</f>
        <v>194.56685801250259</v>
      </c>
      <c r="G104" s="857" t="s">
        <v>59</v>
      </c>
      <c r="H104" s="844">
        <f t="shared" ref="H104:H107" si="8">+F104/SUM($F$103:$F$108)</f>
        <v>0.58687711610605675</v>
      </c>
    </row>
    <row r="105" spans="2:8" x14ac:dyDescent="0.25">
      <c r="C105" s="856" t="s">
        <v>1681</v>
      </c>
      <c r="D105" s="857" t="s">
        <v>1706</v>
      </c>
      <c r="E105">
        <v>10.199999999999999</v>
      </c>
      <c r="F105" s="839">
        <f>+E105*365*C13/1000</f>
        <v>17.542012028306285</v>
      </c>
      <c r="G105" s="857" t="s">
        <v>59</v>
      </c>
      <c r="H105" s="844">
        <f t="shared" si="8"/>
        <v>5.2912430899247027E-2</v>
      </c>
    </row>
    <row r="106" spans="2:8" x14ac:dyDescent="0.25">
      <c r="C106" s="856" t="s">
        <v>1681</v>
      </c>
      <c r="D106" s="857" t="s">
        <v>858</v>
      </c>
      <c r="E106">
        <v>1.4</v>
      </c>
      <c r="F106" s="839">
        <f>+E106*365*C15/1000</f>
        <v>2.7904793352524089</v>
      </c>
      <c r="G106" s="857" t="s">
        <v>59</v>
      </c>
      <c r="H106" s="844">
        <f t="shared" si="8"/>
        <v>8.4169959959020657E-3</v>
      </c>
    </row>
    <row r="107" spans="2:8" x14ac:dyDescent="0.25">
      <c r="C107" s="856" t="s">
        <v>1681</v>
      </c>
      <c r="D107" s="857" t="s">
        <v>22</v>
      </c>
      <c r="E107" s="857">
        <v>5.5</v>
      </c>
      <c r="F107" s="839">
        <f>+E107*365*C14/1000</f>
        <v>8.1429540880649238</v>
      </c>
      <c r="G107" s="857" t="s">
        <v>59</v>
      </c>
      <c r="H107" s="844">
        <f t="shared" si="8"/>
        <v>2.4561805955053667E-2</v>
      </c>
    </row>
    <row r="108" spans="2:8" x14ac:dyDescent="0.25">
      <c r="C108" s="856" t="s">
        <v>1710</v>
      </c>
      <c r="D108" s="857" t="s">
        <v>1709</v>
      </c>
      <c r="E108">
        <f>+F108*E17</f>
        <v>33.799999999999997</v>
      </c>
      <c r="F108" s="839">
        <f>+F73</f>
        <v>12.365388545948255</v>
      </c>
      <c r="G108" s="857" t="s">
        <v>59</v>
      </c>
      <c r="H108" s="844">
        <f>+F108/SUM($F$103:$F$108)</f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1708</v>
      </c>
    </row>
    <row r="112" spans="2:8" x14ac:dyDescent="0.25">
      <c r="D112" s="857" t="s">
        <v>1035</v>
      </c>
      <c r="E112" s="811">
        <f>+F103/$E$61</f>
        <v>0.26219699464421958</v>
      </c>
      <c r="F112" s="857" t="s">
        <v>609</v>
      </c>
    </row>
    <row r="113" spans="1:6" x14ac:dyDescent="0.25">
      <c r="D113" s="857" t="s">
        <v>1096</v>
      </c>
      <c r="E113" s="811">
        <f t="shared" ref="E113:E117" si="9">+F104/$E$61</f>
        <v>0.53073328945968989</v>
      </c>
      <c r="F113" s="857" t="s">
        <v>609</v>
      </c>
    </row>
    <row r="114" spans="1:6" x14ac:dyDescent="0.25">
      <c r="D114" s="857" t="s">
        <v>1706</v>
      </c>
      <c r="E114" s="811">
        <f t="shared" si="9"/>
        <v>4.7850542700988603E-2</v>
      </c>
      <c r="F114" s="857" t="s">
        <v>609</v>
      </c>
    </row>
    <row r="115" spans="1:6" x14ac:dyDescent="0.25">
      <c r="D115" s="857" t="s">
        <v>858</v>
      </c>
      <c r="E115" s="811">
        <f t="shared" si="9"/>
        <v>7.611780813527003E-3</v>
      </c>
      <c r="F115" s="857" t="s">
        <v>609</v>
      </c>
    </row>
    <row r="116" spans="1:6" x14ac:dyDescent="0.25">
      <c r="D116" s="857" t="s">
        <v>22</v>
      </c>
      <c r="E116" s="811">
        <f t="shared" si="9"/>
        <v>2.2212091274045335E-2</v>
      </c>
      <c r="F116" s="857" t="s">
        <v>609</v>
      </c>
    </row>
    <row r="117" spans="1:6" x14ac:dyDescent="0.25">
      <c r="D117" s="857" t="s">
        <v>1709</v>
      </c>
      <c r="E117" s="811">
        <f t="shared" si="9"/>
        <v>3.372991374521029E-2</v>
      </c>
      <c r="F117" s="857" t="s">
        <v>609</v>
      </c>
    </row>
    <row r="119" spans="1:6" x14ac:dyDescent="0.25">
      <c r="C119" s="856" t="s">
        <v>1722</v>
      </c>
      <c r="D119" s="857" t="s">
        <v>1711</v>
      </c>
      <c r="E119" s="867">
        <f>+F102/E61</f>
        <v>0.90433461263768067</v>
      </c>
      <c r="F119" s="857"/>
    </row>
    <row r="120" spans="1:6" x14ac:dyDescent="0.25">
      <c r="C120" s="856"/>
    </row>
    <row r="124" spans="1:6" x14ac:dyDescent="0.25">
      <c r="A124" s="327" t="s">
        <v>310</v>
      </c>
      <c r="B124" s="1"/>
      <c r="C124" s="1"/>
      <c r="D124" s="1"/>
      <c r="E124" s="1"/>
      <c r="F124" s="1"/>
    </row>
    <row r="125" spans="1:6" x14ac:dyDescent="0.25">
      <c r="A125" s="331" t="s">
        <v>311</v>
      </c>
      <c r="B125" s="332" t="s">
        <v>42</v>
      </c>
      <c r="C125" s="332" t="s">
        <v>312</v>
      </c>
      <c r="D125" s="332" t="s">
        <v>313</v>
      </c>
      <c r="E125" s="332" t="s">
        <v>314</v>
      </c>
      <c r="F125" s="333" t="s">
        <v>315</v>
      </c>
    </row>
    <row r="126" spans="1:6" x14ac:dyDescent="0.25">
      <c r="A126" s="1" t="s">
        <v>329</v>
      </c>
      <c r="B126" s="1"/>
      <c r="C126" s="17" t="s">
        <v>1051</v>
      </c>
      <c r="D126" s="1" t="s">
        <v>1052</v>
      </c>
      <c r="E126" s="1" t="s">
        <v>59</v>
      </c>
      <c r="F126" s="1" t="s">
        <v>328</v>
      </c>
    </row>
    <row r="127" spans="1:6" x14ac:dyDescent="0.25">
      <c r="A127" s="1"/>
      <c r="B127" s="1"/>
      <c r="C127" s="338" t="s">
        <v>1055</v>
      </c>
      <c r="D127" s="328" t="s">
        <v>1056</v>
      </c>
      <c r="E127" s="1" t="s">
        <v>59</v>
      </c>
      <c r="F127" s="1" t="s">
        <v>328</v>
      </c>
    </row>
    <row r="128" spans="1:6" x14ac:dyDescent="0.25">
      <c r="A128" s="1"/>
      <c r="B128" s="1"/>
      <c r="C128" s="342" t="s">
        <v>1057</v>
      </c>
      <c r="D128" s="328" t="s">
        <v>1058</v>
      </c>
      <c r="E128" s="1" t="s">
        <v>59</v>
      </c>
      <c r="F128" s="1" t="s">
        <v>328</v>
      </c>
    </row>
    <row r="129" spans="1:6" x14ac:dyDescent="0.25">
      <c r="A129" s="1"/>
      <c r="B129" s="1"/>
      <c r="C129" s="17" t="s">
        <v>1059</v>
      </c>
      <c r="D129" s="328" t="s">
        <v>1060</v>
      </c>
      <c r="E129" s="1" t="s">
        <v>59</v>
      </c>
      <c r="F129" s="1" t="s">
        <v>328</v>
      </c>
    </row>
    <row r="130" spans="1:6" x14ac:dyDescent="0.25">
      <c r="A130" s="328"/>
      <c r="B130" s="328"/>
      <c r="C130" s="18" t="s">
        <v>1061</v>
      </c>
      <c r="D130" s="12" t="s">
        <v>1062</v>
      </c>
      <c r="E130" s="1" t="s">
        <v>59</v>
      </c>
      <c r="F130" s="1" t="s">
        <v>328</v>
      </c>
    </row>
    <row r="131" spans="1:6" x14ac:dyDescent="0.25">
      <c r="A131" s="328"/>
      <c r="B131" s="328"/>
      <c r="C131" s="18" t="s">
        <v>1063</v>
      </c>
      <c r="D131" s="12" t="s">
        <v>1064</v>
      </c>
      <c r="E131" s="12" t="s">
        <v>59</v>
      </c>
      <c r="F131" s="344" t="s">
        <v>328</v>
      </c>
    </row>
    <row r="132" spans="1:6" x14ac:dyDescent="0.25">
      <c r="A132" s="328"/>
      <c r="B132" s="328"/>
      <c r="C132" s="18" t="s">
        <v>1065</v>
      </c>
      <c r="D132" s="328" t="s">
        <v>1066</v>
      </c>
      <c r="E132" s="328" t="s">
        <v>59</v>
      </c>
      <c r="F132" s="344" t="s">
        <v>328</v>
      </c>
    </row>
    <row r="133" spans="1:6" ht="15.75" customHeight="1" x14ac:dyDescent="0.25">
      <c r="A133" s="328"/>
      <c r="B133" s="328"/>
      <c r="C133" s="1" t="s">
        <v>1723</v>
      </c>
      <c r="D133" s="1" t="s">
        <v>1724</v>
      </c>
      <c r="E133" s="328" t="s">
        <v>59</v>
      </c>
      <c r="F133" s="344" t="s">
        <v>328</v>
      </c>
    </row>
    <row r="134" spans="1:6" x14ac:dyDescent="0.25">
      <c r="A134" s="328"/>
      <c r="B134" s="328"/>
      <c r="C134" s="1" t="s">
        <v>1725</v>
      </c>
      <c r="D134" s="1" t="s">
        <v>1726</v>
      </c>
      <c r="E134" s="328" t="s">
        <v>59</v>
      </c>
      <c r="F134" s="344" t="s">
        <v>328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1053</v>
      </c>
      <c r="D140" s="1" t="s">
        <v>1075</v>
      </c>
      <c r="E140" s="1" t="s">
        <v>59</v>
      </c>
      <c r="F140" s="328"/>
    </row>
    <row r="141" spans="1:6" x14ac:dyDescent="0.25">
      <c r="A141" s="1"/>
      <c r="B141" s="1"/>
      <c r="C141" s="12" t="s">
        <v>1078</v>
      </c>
      <c r="D141" s="12" t="s">
        <v>1079</v>
      </c>
      <c r="E141" s="12" t="s">
        <v>59</v>
      </c>
      <c r="F141" s="328"/>
    </row>
    <row r="142" spans="1:6" x14ac:dyDescent="0.25">
      <c r="A142" s="1"/>
      <c r="B142" s="328"/>
      <c r="C142" s="12" t="s">
        <v>1080</v>
      </c>
      <c r="D142" s="12" t="s">
        <v>1081</v>
      </c>
      <c r="E142" s="12" t="s">
        <v>59</v>
      </c>
      <c r="F142" s="328"/>
    </row>
    <row r="143" spans="1:6" x14ac:dyDescent="0.25">
      <c r="A143" s="1"/>
      <c r="B143" s="328"/>
      <c r="C143" s="18" t="s">
        <v>1082</v>
      </c>
      <c r="D143" s="12" t="s">
        <v>1083</v>
      </c>
      <c r="E143" s="12" t="s">
        <v>59</v>
      </c>
      <c r="F143" s="328"/>
    </row>
    <row r="144" spans="1:6" x14ac:dyDescent="0.25">
      <c r="C144" s="18" t="s">
        <v>1085</v>
      </c>
      <c r="D144" s="18" t="s">
        <v>1086</v>
      </c>
      <c r="E144" s="344" t="s">
        <v>59</v>
      </c>
    </row>
    <row r="145" spans="1:7" x14ac:dyDescent="0.25">
      <c r="A145" s="1"/>
      <c r="B145" s="1"/>
      <c r="C145" s="18" t="s">
        <v>1087</v>
      </c>
      <c r="D145" s="18" t="s">
        <v>1088</v>
      </c>
      <c r="E145" s="344" t="s">
        <v>59</v>
      </c>
    </row>
    <row r="146" spans="1:7" x14ac:dyDescent="0.25">
      <c r="A146" s="1"/>
      <c r="B146" s="1"/>
      <c r="C146" s="18" t="s">
        <v>1727</v>
      </c>
      <c r="D146" s="857" t="s">
        <v>1729</v>
      </c>
      <c r="E146" s="344" t="s">
        <v>59</v>
      </c>
      <c r="F146" s="328"/>
    </row>
    <row r="147" spans="1:7" x14ac:dyDescent="0.25">
      <c r="A147" s="1"/>
      <c r="B147" s="1"/>
      <c r="C147" s="1" t="s">
        <v>1728</v>
      </c>
      <c r="D147" s="1" t="s">
        <v>1730</v>
      </c>
      <c r="E147" s="344" t="s">
        <v>59</v>
      </c>
      <c r="F147" s="328"/>
    </row>
    <row r="148" spans="1:7" x14ac:dyDescent="0.25">
      <c r="A148" s="877"/>
      <c r="B148" s="877"/>
      <c r="C148" s="877"/>
      <c r="D148" s="877"/>
      <c r="E148" s="877"/>
      <c r="F148" s="328"/>
    </row>
    <row r="149" spans="1:7" x14ac:dyDescent="0.25">
      <c r="A149" s="336" t="s">
        <v>880</v>
      </c>
      <c r="B149" s="328"/>
      <c r="C149" s="1"/>
      <c r="D149" s="1"/>
    </row>
    <row r="150" spans="1:7" x14ac:dyDescent="0.25">
      <c r="A150" s="360" t="s">
        <v>312</v>
      </c>
      <c r="B150" s="360" t="s">
        <v>881</v>
      </c>
      <c r="C150" s="360" t="s">
        <v>882</v>
      </c>
      <c r="D150" s="360" t="s">
        <v>930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1662</v>
      </c>
    </row>
    <row r="160" spans="1:7" x14ac:dyDescent="0.25">
      <c r="C160" s="329" t="s">
        <v>880</v>
      </c>
      <c r="D160" s="1"/>
      <c r="E160" s="1"/>
      <c r="F160" s="1"/>
      <c r="G160" s="1"/>
    </row>
    <row r="161" spans="3:11" x14ac:dyDescent="0.25">
      <c r="C161" s="334" t="s">
        <v>312</v>
      </c>
      <c r="D161" s="209" t="s">
        <v>881</v>
      </c>
      <c r="E161" s="209" t="s">
        <v>882</v>
      </c>
      <c r="F161" s="209" t="s">
        <v>1050</v>
      </c>
      <c r="G161" s="335" t="s">
        <v>930</v>
      </c>
    </row>
    <row r="162" spans="3:11" x14ac:dyDescent="0.25">
      <c r="C162" s="16" t="str">
        <f>+C126</f>
        <v>MIX-OIL-REF1</v>
      </c>
      <c r="D162" s="16" t="s">
        <v>13</v>
      </c>
      <c r="E162" s="16" t="s">
        <v>1053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312</v>
      </c>
      <c r="D167" s="337" t="s">
        <v>882</v>
      </c>
      <c r="E167" s="337" t="s">
        <v>1054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1676</v>
      </c>
    </row>
    <row r="174" spans="3:11" x14ac:dyDescent="0.25">
      <c r="C174" s="336" t="s">
        <v>1084</v>
      </c>
      <c r="D174" s="328"/>
      <c r="E174" s="1"/>
      <c r="G174" s="283" t="s">
        <v>986</v>
      </c>
    </row>
    <row r="175" spans="3:11" ht="15.75" thickBot="1" x14ac:dyDescent="0.3">
      <c r="C175" s="354" t="s">
        <v>312</v>
      </c>
      <c r="D175" s="355" t="s">
        <v>881</v>
      </c>
      <c r="E175" s="356" t="s">
        <v>974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1055</v>
      </c>
      <c r="D176" s="1" t="str">
        <f>+E162</f>
        <v>OIL-REF1</v>
      </c>
      <c r="E176" s="879">
        <f>1/(1+SUM($E$85:$E$89))</f>
        <v>0.90510552618577855</v>
      </c>
      <c r="G176" s="211" t="s">
        <v>935</v>
      </c>
      <c r="H176" s="212" t="s">
        <v>556</v>
      </c>
      <c r="I176" s="212" t="s">
        <v>556</v>
      </c>
      <c r="J176" s="212" t="s">
        <v>556</v>
      </c>
      <c r="K176" s="212" t="s">
        <v>556</v>
      </c>
    </row>
    <row r="177" spans="3:11" s="874" customFormat="1" x14ac:dyDescent="0.25">
      <c r="C177" s="16"/>
      <c r="D177" s="873" t="str">
        <f>+C142</f>
        <v>H2-REF1</v>
      </c>
      <c r="E177" s="879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4" customFormat="1" x14ac:dyDescent="0.25">
      <c r="C178" s="1"/>
      <c r="D178" s="875" t="str">
        <f>+C151</f>
        <v>GAS-REF1</v>
      </c>
      <c r="E178" s="879">
        <f>E87/(1+SUM($E$85:$E$89))</f>
        <v>3.4550957366886043E-2</v>
      </c>
    </row>
    <row r="179" spans="3:11" s="874" customFormat="1" x14ac:dyDescent="0.25">
      <c r="C179" s="1"/>
      <c r="D179" s="876" t="str">
        <f>+C154</f>
        <v>RFG1-REF1</v>
      </c>
      <c r="E179" s="879">
        <f>E86/(1+SUM($E$85:$E$89))</f>
        <v>3.0529131328559483E-2</v>
      </c>
      <c r="G179" s="878"/>
    </row>
    <row r="180" spans="3:11" s="874" customFormat="1" x14ac:dyDescent="0.25">
      <c r="D180" s="874" t="str">
        <f>+C153</f>
        <v>LPG-REF1</v>
      </c>
      <c r="E180" s="879">
        <f>E89/(1+SUM($E$85:$E$89))</f>
        <v>1.3502298264034115E-3</v>
      </c>
    </row>
    <row r="183" spans="3:11" ht="18.75" x14ac:dyDescent="0.3">
      <c r="C183" s="835" t="s">
        <v>1702</v>
      </c>
    </row>
    <row r="185" spans="3:11" x14ac:dyDescent="0.25">
      <c r="C185" s="329" t="s">
        <v>880</v>
      </c>
      <c r="D185" s="1"/>
      <c r="E185" s="1"/>
      <c r="F185" s="397"/>
      <c r="G185" s="1"/>
    </row>
    <row r="186" spans="3:11" x14ac:dyDescent="0.25">
      <c r="C186" s="355" t="s">
        <v>312</v>
      </c>
      <c r="D186" s="355" t="s">
        <v>928</v>
      </c>
      <c r="E186" s="355" t="s">
        <v>1114</v>
      </c>
      <c r="F186" s="355" t="s">
        <v>973</v>
      </c>
      <c r="G186" s="398" t="s">
        <v>974</v>
      </c>
    </row>
    <row r="187" spans="3:11" x14ac:dyDescent="0.25">
      <c r="C187" s="389" t="str">
        <f>+C128</f>
        <v>SMR-REF1</v>
      </c>
      <c r="D187" s="389" t="s">
        <v>1115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930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880</v>
      </c>
      <c r="D191" s="328"/>
      <c r="E191" s="1"/>
      <c r="F191" s="1"/>
      <c r="G191" s="1"/>
    </row>
    <row r="192" spans="3:11" x14ac:dyDescent="0.25">
      <c r="C192" s="355" t="s">
        <v>312</v>
      </c>
      <c r="D192" s="355" t="s">
        <v>881</v>
      </c>
      <c r="E192" s="355" t="s">
        <v>882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1703</v>
      </c>
    </row>
    <row r="198" spans="3:7" x14ac:dyDescent="0.25">
      <c r="C198" s="336" t="s">
        <v>1101</v>
      </c>
      <c r="D198" s="269"/>
      <c r="E198" s="207"/>
    </row>
    <row r="199" spans="3:7" x14ac:dyDescent="0.25">
      <c r="C199" s="334" t="s">
        <v>312</v>
      </c>
      <c r="D199" s="371" t="s">
        <v>882</v>
      </c>
      <c r="E199" s="372" t="s">
        <v>973</v>
      </c>
    </row>
    <row r="200" spans="3:7" x14ac:dyDescent="0.25">
      <c r="C200" s="349" t="s">
        <v>1055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80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1712</v>
      </c>
    </row>
    <row r="213" spans="3:7" x14ac:dyDescent="0.25">
      <c r="C213" s="381" t="s">
        <v>880</v>
      </c>
      <c r="D213" s="16"/>
      <c r="E213" s="16"/>
      <c r="F213" s="336"/>
      <c r="G213" s="16"/>
    </row>
    <row r="214" spans="3:7" x14ac:dyDescent="0.25">
      <c r="C214" s="354" t="s">
        <v>312</v>
      </c>
      <c r="D214" s="355" t="s">
        <v>928</v>
      </c>
      <c r="E214" s="355" t="s">
        <v>1114</v>
      </c>
      <c r="F214" s="355" t="s">
        <v>973</v>
      </c>
      <c r="G214" s="382" t="s">
        <v>974</v>
      </c>
    </row>
    <row r="215" spans="3:7" x14ac:dyDescent="0.25">
      <c r="C215" s="384" t="s">
        <v>1055</v>
      </c>
      <c r="D215" s="385" t="s">
        <v>1115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1055</v>
      </c>
      <c r="D216" s="214" t="s">
        <v>1115</v>
      </c>
      <c r="E216" s="881">
        <v>2020</v>
      </c>
      <c r="F216" s="386">
        <f>+E61*E65*E119</f>
        <v>314.95267073673836</v>
      </c>
      <c r="G216" s="16"/>
    </row>
    <row r="217" spans="3:7" x14ac:dyDescent="0.25">
      <c r="C217" s="384" t="s">
        <v>1055</v>
      </c>
      <c r="D217" s="389" t="s">
        <v>930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1055</v>
      </c>
      <c r="D218" s="16" t="s">
        <v>1116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0" type="noConversion"/>
  <conditionalFormatting sqref="K7:K14 L7:L22 K6:L6">
    <cfRule type="containsText" dxfId="93" priority="1" operator="containsText" text="Oil and Gas">
      <formula>NOT(ISERROR(SEARCH(("Oil and Gas"),(K6))))</formula>
    </cfRule>
  </conditionalFormatting>
  <conditionalFormatting sqref="K7:K14 L7:L22 K6:L6">
    <cfRule type="containsText" dxfId="92" priority="2" operator="containsText" text="Gas">
      <formula>NOT(ISERROR(SEARCH(("Gas"),(K6))))</formula>
    </cfRule>
  </conditionalFormatting>
  <conditionalFormatting sqref="K7:K14 L7:L22 K6:L6">
    <cfRule type="containsText" dxfId="91" priority="3" operator="containsText" text="Oil">
      <formula>NOT(ISERROR(SEARCH(("Oil"),(K6))))</formula>
    </cfRule>
  </conditionalFormatting>
  <conditionalFormatting sqref="K15:K22">
    <cfRule type="containsText" dxfId="90" priority="4" operator="containsText" text="Oil and Gas">
      <formula>NOT(ISERROR(SEARCH(("Oil and Gas"),(K15))))</formula>
    </cfRule>
  </conditionalFormatting>
  <conditionalFormatting sqref="K15:K22">
    <cfRule type="containsText" dxfId="89" priority="5" operator="containsText" text="Gas">
      <formula>NOT(ISERROR(SEARCH(("Gas"),(K15))))</formula>
    </cfRule>
  </conditionalFormatting>
  <conditionalFormatting sqref="K15:K22">
    <cfRule type="containsText" dxfId="88" priority="6" operator="containsText" text="Oil">
      <formula>NOT(ISERROR(SEARCH(("Oil"),(K15))))</formula>
    </cfRule>
  </conditionalFormatting>
  <conditionalFormatting sqref="O6:P22">
    <cfRule type="cellIs" dxfId="87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A187" zoomScaleNormal="100" workbookViewId="0">
      <selection activeCell="F221" sqref="F22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1687</v>
      </c>
      <c r="B1" s="857"/>
      <c r="C1" s="12" t="s">
        <v>1040</v>
      </c>
      <c r="D1" s="12">
        <v>119.96</v>
      </c>
      <c r="E1" s="12" t="s">
        <v>774</v>
      </c>
    </row>
    <row r="2" spans="1:24" x14ac:dyDescent="0.25">
      <c r="A2" s="862">
        <f>41868000000/(1000000000000000)</f>
        <v>4.1868E-5</v>
      </c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3" spans="1:24" x14ac:dyDescent="0.25">
      <c r="A3" s="857" t="s">
        <v>1688</v>
      </c>
      <c r="J3" s="828" t="s">
        <v>1652</v>
      </c>
      <c r="K3">
        <v>8.33</v>
      </c>
      <c r="L3" s="821" t="s">
        <v>1653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1654</v>
      </c>
      <c r="M4" s="821" t="s">
        <v>1655</v>
      </c>
      <c r="O4" s="14" t="s">
        <v>585</v>
      </c>
      <c r="P4" s="821" t="s">
        <v>1656</v>
      </c>
    </row>
    <row r="5" spans="1:24" ht="75" x14ac:dyDescent="0.25">
      <c r="C5" s="14"/>
      <c r="D5" s="14" t="str">
        <f>'Bases de Cálculo'!G4</f>
        <v>kt/PJ</v>
      </c>
      <c r="E5" s="825" t="s">
        <v>662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1651</v>
      </c>
      <c r="M5" s="613" t="s">
        <v>765</v>
      </c>
      <c r="N5" s="428" t="str">
        <f>'5. Data'!M66</f>
        <v>Type of Oil producing</v>
      </c>
      <c r="O5" s="428" t="str">
        <f>'5. Data'!N66</f>
        <v>OFISCA</v>
      </c>
      <c r="P5" s="826" t="s">
        <v>1650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1670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38"/>
      <c r="U7" s="937" t="s">
        <v>1650</v>
      </c>
      <c r="V7" s="937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1671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39"/>
      <c r="U8" s="831" t="s">
        <v>1657</v>
      </c>
      <c r="V8" s="831" t="s">
        <v>653</v>
      </c>
      <c r="W8" s="832" t="s">
        <v>765</v>
      </c>
      <c r="X8" s="831" t="s">
        <v>1658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1671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1661</v>
      </c>
      <c r="T9" s="831" t="s">
        <v>1196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1671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1660</v>
      </c>
      <c r="T10" s="831" t="s">
        <v>1195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1671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1659</v>
      </c>
      <c r="T11" s="831" t="s">
        <v>1194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1671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1671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1671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1671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1671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1671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1682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1040</v>
      </c>
      <c r="C20">
        <v>120.1</v>
      </c>
      <c r="D20" s="857" t="s">
        <v>774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1040</v>
      </c>
      <c r="C21">
        <f>+C20/1000</f>
        <v>0.1201</v>
      </c>
      <c r="D21" s="857" t="s">
        <v>1701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1662</v>
      </c>
      <c r="S29" s="835"/>
    </row>
    <row r="30" spans="1:19" x14ac:dyDescent="0.25">
      <c r="C30" s="869"/>
    </row>
    <row r="31" spans="1:19" x14ac:dyDescent="0.25">
      <c r="C31" s="856" t="s">
        <v>1011</v>
      </c>
      <c r="D31" s="821" t="s">
        <v>1663</v>
      </c>
      <c r="E31">
        <v>24</v>
      </c>
      <c r="F31" s="821" t="s">
        <v>1658</v>
      </c>
    </row>
    <row r="32" spans="1:19" x14ac:dyDescent="0.25">
      <c r="C32" s="856" t="s">
        <v>997</v>
      </c>
      <c r="D32" s="883" t="s">
        <v>1732</v>
      </c>
      <c r="E32" s="836">
        <v>0.3</v>
      </c>
    </row>
    <row r="33" spans="3:10" x14ac:dyDescent="0.25">
      <c r="C33" s="869"/>
      <c r="G33" s="841"/>
      <c r="H33" s="841" t="s">
        <v>1657</v>
      </c>
      <c r="I33" s="841" t="s">
        <v>1654</v>
      </c>
      <c r="J33" s="841" t="s">
        <v>653</v>
      </c>
    </row>
    <row r="34" spans="3:10" x14ac:dyDescent="0.25">
      <c r="C34" s="869"/>
      <c r="D34" s="852" t="s">
        <v>1667</v>
      </c>
      <c r="G34" s="841" t="s">
        <v>1658</v>
      </c>
      <c r="H34" s="841" t="s">
        <v>1665</v>
      </c>
      <c r="I34" s="841" t="s">
        <v>765</v>
      </c>
      <c r="J34" s="841" t="s">
        <v>1666</v>
      </c>
    </row>
    <row r="35" spans="3:10" x14ac:dyDescent="0.25">
      <c r="C35" s="869"/>
      <c r="D35" s="821" t="s">
        <v>907</v>
      </c>
      <c r="E35" s="844">
        <f>+H35/100</f>
        <v>0.23009135447964041</v>
      </c>
      <c r="G35" s="842">
        <f>+X9</f>
        <v>46.232114566966032</v>
      </c>
      <c r="H35" s="843">
        <v>23.009135447964042</v>
      </c>
      <c r="I35" s="843">
        <f>+(141.5/(G35+131.5))*$K$4</f>
        <v>278.5382378452905</v>
      </c>
      <c r="J35" s="845">
        <f>+I35*H35</f>
        <v>6408.9240420195129</v>
      </c>
    </row>
    <row r="36" spans="3:10" x14ac:dyDescent="0.25">
      <c r="C36" s="869"/>
      <c r="D36" s="821" t="s">
        <v>909</v>
      </c>
      <c r="E36" s="844">
        <f>+H36/100</f>
        <v>0.46990864552035966</v>
      </c>
      <c r="G36" s="842">
        <f>+X10</f>
        <v>22.068612719099065</v>
      </c>
      <c r="H36" s="843">
        <v>46.990864552035966</v>
      </c>
      <c r="I36" s="843">
        <f>+(141.5/(G36+131.5))*$K$4</f>
        <v>322.36528756402009</v>
      </c>
      <c r="J36" s="845">
        <f>+I36*H36</f>
        <v>15148.223564198992</v>
      </c>
    </row>
    <row r="37" spans="3:10" x14ac:dyDescent="0.25">
      <c r="C37" s="869"/>
      <c r="D37" s="821" t="s">
        <v>911</v>
      </c>
      <c r="E37" s="844">
        <v>0.3</v>
      </c>
      <c r="G37" s="842">
        <f>+X11</f>
        <v>12.986528564073609</v>
      </c>
      <c r="H37" s="843">
        <v>30</v>
      </c>
      <c r="I37" s="843">
        <f>+(141.5/(G37+131.5))*$K$4</f>
        <v>342.62841312604837</v>
      </c>
      <c r="J37" s="845">
        <f>+I37*H37</f>
        <v>10278.852393781452</v>
      </c>
    </row>
    <row r="38" spans="3:10" x14ac:dyDescent="0.25">
      <c r="C38" s="869"/>
      <c r="E38" s="838">
        <f>+SUM(E35:E37)</f>
        <v>1</v>
      </c>
      <c r="G38" s="841">
        <f>+(141.5/(I38/K4)-131.5)</f>
        <v>24</v>
      </c>
      <c r="H38" s="842">
        <f>+SUM(H35:H37)</f>
        <v>100</v>
      </c>
      <c r="I38" s="843">
        <f>+(141.5/(G39+131.5))*$K$4</f>
        <v>318.36135048231512</v>
      </c>
      <c r="J38" s="846">
        <f>+SUM(J35:J37)</f>
        <v>31835.999999999956</v>
      </c>
    </row>
    <row r="39" spans="3:10" x14ac:dyDescent="0.25">
      <c r="C39" s="869"/>
      <c r="G39" s="847">
        <f>+E31</f>
        <v>24</v>
      </c>
      <c r="H39" s="847"/>
      <c r="I39" s="847"/>
      <c r="J39" s="848">
        <f>+I38*100</f>
        <v>31836.13504823151</v>
      </c>
    </row>
    <row r="41" spans="3:10" x14ac:dyDescent="0.25">
      <c r="C41" s="896" t="s">
        <v>1000</v>
      </c>
      <c r="D41" s="884" t="s">
        <v>1733</v>
      </c>
      <c r="E41" s="885"/>
      <c r="F41" s="885"/>
      <c r="G41" s="886"/>
      <c r="H41" s="886" t="s">
        <v>1657</v>
      </c>
      <c r="I41" s="886" t="s">
        <v>1654</v>
      </c>
      <c r="J41" s="886" t="s">
        <v>653</v>
      </c>
    </row>
    <row r="42" spans="3:10" x14ac:dyDescent="0.25">
      <c r="D42" s="885" t="s">
        <v>907</v>
      </c>
      <c r="E42" s="887">
        <v>0.15</v>
      </c>
      <c r="F42" s="885"/>
      <c r="G42" s="886" t="s">
        <v>1658</v>
      </c>
      <c r="H42" s="886" t="s">
        <v>1665</v>
      </c>
      <c r="I42" s="886" t="s">
        <v>765</v>
      </c>
      <c r="J42" s="886" t="s">
        <v>1666</v>
      </c>
    </row>
    <row r="43" spans="3:10" x14ac:dyDescent="0.25">
      <c r="D43" s="885" t="s">
        <v>909</v>
      </c>
      <c r="E43" s="888">
        <v>0.25</v>
      </c>
      <c r="F43" s="885"/>
      <c r="G43" s="889">
        <f>+G35</f>
        <v>46.232114566966032</v>
      </c>
      <c r="H43" s="886">
        <v>30</v>
      </c>
      <c r="I43" s="890">
        <f>+(141.5/(G43+131.5))*$K$4</f>
        <v>278.5382378452905</v>
      </c>
      <c r="J43" s="891">
        <f>+I43*H43</f>
        <v>8356.1471353587149</v>
      </c>
    </row>
    <row r="44" spans="3:10" x14ac:dyDescent="0.25">
      <c r="D44" s="885" t="s">
        <v>911</v>
      </c>
      <c r="E44" s="888">
        <v>0.6</v>
      </c>
      <c r="F44" s="885"/>
      <c r="G44" s="889">
        <f>+G36</f>
        <v>22.068612719099065</v>
      </c>
      <c r="H44" s="889">
        <v>0</v>
      </c>
      <c r="I44" s="890">
        <f>+(141.5/(G44+131.5))*$K$4</f>
        <v>322.36528756402009</v>
      </c>
      <c r="J44" s="891">
        <f>+I44*H44</f>
        <v>0</v>
      </c>
    </row>
    <row r="45" spans="3:10" x14ac:dyDescent="0.25">
      <c r="D45" s="885"/>
      <c r="E45" s="892">
        <f>+SUM(E42:E44)</f>
        <v>1</v>
      </c>
      <c r="F45" s="885"/>
      <c r="G45" s="889">
        <f>+G37</f>
        <v>12.986528564073609</v>
      </c>
      <c r="H45" s="889">
        <v>70</v>
      </c>
      <c r="I45" s="890">
        <f t="shared" ref="I45" si="6">+(141.5/(G45+131.5))*$K$4</f>
        <v>342.62841312604837</v>
      </c>
      <c r="J45" s="891">
        <f>+I45*H45</f>
        <v>23983.988918823386</v>
      </c>
    </row>
    <row r="46" spans="3:10" x14ac:dyDescent="0.25">
      <c r="D46" s="885"/>
      <c r="E46" s="885"/>
      <c r="F46" s="885"/>
      <c r="G46" s="886">
        <f>+(141.5/(I46/K4)-131.5)</f>
        <v>24</v>
      </c>
      <c r="H46" s="889">
        <f>+SUM(H43:H45)</f>
        <v>100</v>
      </c>
      <c r="I46" s="890">
        <f>+(141.5/(G47+131.5))*$K$4</f>
        <v>318.36135048231512</v>
      </c>
      <c r="J46" s="893">
        <f>+SUM(J43:J45)</f>
        <v>32340.136054182101</v>
      </c>
    </row>
    <row r="47" spans="3:10" x14ac:dyDescent="0.25">
      <c r="D47" s="885"/>
      <c r="E47" s="885"/>
      <c r="F47" s="885"/>
      <c r="G47" s="894">
        <f>+E31</f>
        <v>24</v>
      </c>
      <c r="H47" s="894"/>
      <c r="I47" s="894"/>
      <c r="J47" s="895">
        <f>+I46*H46</f>
        <v>31836.13504823151</v>
      </c>
    </row>
    <row r="49" spans="3:11" x14ac:dyDescent="0.25">
      <c r="D49" s="851" t="s">
        <v>612</v>
      </c>
    </row>
    <row r="50" spans="3:11" x14ac:dyDescent="0.25">
      <c r="D50" s="821" t="s">
        <v>1675</v>
      </c>
      <c r="E50">
        <f>+General_SEC_SGC!F20+General_SEC_SGC!F21+General_SEC_SGC!F22+General_SEC_SGC!F23+General_SEC_SGC!F24+General_SEC_SGC!F25+General_SEC_SGC!F26</f>
        <v>2.7603</v>
      </c>
      <c r="F50" s="821" t="s">
        <v>556</v>
      </c>
    </row>
    <row r="51" spans="3:11" x14ac:dyDescent="0.25">
      <c r="D51" s="840" t="s">
        <v>1669</v>
      </c>
      <c r="E51" s="850">
        <f>+E50*($C$8/1000)</f>
        <v>1.6802426854852597E-2</v>
      </c>
      <c r="F51" s="840" t="s">
        <v>1672</v>
      </c>
    </row>
    <row r="52" spans="3:11" x14ac:dyDescent="0.25">
      <c r="D52" s="840" t="s">
        <v>1669</v>
      </c>
      <c r="E52" s="850">
        <f>+E51*1000</f>
        <v>16.802426854852598</v>
      </c>
      <c r="F52" s="840" t="s">
        <v>1673</v>
      </c>
    </row>
    <row r="53" spans="3:11" x14ac:dyDescent="0.25">
      <c r="D53" s="840" t="s">
        <v>1669</v>
      </c>
      <c r="E53" s="850">
        <f>+E52</f>
        <v>16.802426854852598</v>
      </c>
      <c r="F53" s="840" t="s">
        <v>1674</v>
      </c>
    </row>
    <row r="56" spans="3:11" ht="18.75" x14ac:dyDescent="0.3">
      <c r="D56" s="835" t="s">
        <v>1676</v>
      </c>
    </row>
    <row r="58" spans="3:11" x14ac:dyDescent="0.25">
      <c r="D58" s="851" t="s">
        <v>1715</v>
      </c>
      <c r="H58" s="883" t="s">
        <v>1746</v>
      </c>
      <c r="J58" s="839">
        <f>+J61/J59</f>
        <v>22.376810491959233</v>
      </c>
      <c r="K58" s="883" t="s">
        <v>556</v>
      </c>
    </row>
    <row r="59" spans="3:11" x14ac:dyDescent="0.25">
      <c r="C59" s="856" t="s">
        <v>1011</v>
      </c>
      <c r="D59" s="18" t="s">
        <v>1106</v>
      </c>
      <c r="E59" s="12">
        <v>250</v>
      </c>
      <c r="F59" s="365" t="s">
        <v>589</v>
      </c>
      <c r="H59" s="883" t="s">
        <v>1736</v>
      </c>
      <c r="J59" s="839">
        <f>+J60*365*C8/1000</f>
        <v>542.12373136730503</v>
      </c>
      <c r="K59" s="883" t="s">
        <v>59</v>
      </c>
    </row>
    <row r="60" spans="3:11" x14ac:dyDescent="0.25">
      <c r="C60" s="70" t="s">
        <v>1680</v>
      </c>
      <c r="D60" s="18" t="s">
        <v>1108</v>
      </c>
      <c r="E60" s="12">
        <v>218</v>
      </c>
      <c r="F60" s="365" t="s">
        <v>589</v>
      </c>
      <c r="H60" s="883" t="s">
        <v>1736</v>
      </c>
      <c r="J60">
        <v>244</v>
      </c>
      <c r="K60" s="870" t="s">
        <v>589</v>
      </c>
    </row>
    <row r="61" spans="3:11" x14ac:dyDescent="0.25">
      <c r="C61" s="853"/>
      <c r="D61" s="18" t="s">
        <v>1678</v>
      </c>
      <c r="E61" s="275">
        <f>+E59*365*C8/1000</f>
        <v>555.45464279436999</v>
      </c>
      <c r="F61" s="365" t="s">
        <v>59</v>
      </c>
      <c r="H61" s="883" t="s">
        <v>1736</v>
      </c>
      <c r="J61">
        <v>12131</v>
      </c>
      <c r="K61" s="883" t="s">
        <v>1734</v>
      </c>
    </row>
    <row r="62" spans="3:11" x14ac:dyDescent="0.25">
      <c r="C62" s="853"/>
      <c r="D62" s="18" t="s">
        <v>1679</v>
      </c>
      <c r="E62" s="275">
        <f>+E60*365*C9/1000</f>
        <v>484.35644851669059</v>
      </c>
      <c r="F62" s="365" t="s">
        <v>59</v>
      </c>
    </row>
    <row r="63" spans="3:11" x14ac:dyDescent="0.25">
      <c r="C63" s="853"/>
      <c r="D63" s="18"/>
      <c r="E63" s="275"/>
      <c r="F63" s="365"/>
    </row>
    <row r="64" spans="3:11" x14ac:dyDescent="0.25">
      <c r="C64" s="70" t="s">
        <v>1718</v>
      </c>
      <c r="D64" s="18" t="s">
        <v>1713</v>
      </c>
      <c r="E64" s="868">
        <f>+E60/E59</f>
        <v>0.872</v>
      </c>
      <c r="F64" s="365"/>
    </row>
    <row r="65" spans="1:9" x14ac:dyDescent="0.25">
      <c r="C65" s="70" t="s">
        <v>1717</v>
      </c>
      <c r="D65" s="18" t="s">
        <v>1714</v>
      </c>
      <c r="E65" s="868">
        <v>0.9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1720</v>
      </c>
      <c r="D67" s="18" t="s">
        <v>1716</v>
      </c>
      <c r="E67" s="871">
        <v>4.8099999999999996</v>
      </c>
      <c r="F67" s="870" t="s">
        <v>1719</v>
      </c>
    </row>
    <row r="68" spans="1:9" x14ac:dyDescent="0.25">
      <c r="A68" s="872">
        <v>8.2176851262728707</v>
      </c>
      <c r="C68" s="853"/>
      <c r="D68" s="18" t="s">
        <v>1721</v>
      </c>
      <c r="E68" s="871">
        <f>+E67/A68</f>
        <v>0.58532298647241721</v>
      </c>
      <c r="F68" s="870" t="s">
        <v>849</v>
      </c>
    </row>
    <row r="70" spans="1:9" x14ac:dyDescent="0.25">
      <c r="D70" s="851" t="s">
        <v>1677</v>
      </c>
    </row>
    <row r="71" spans="1:9" x14ac:dyDescent="0.25">
      <c r="E71" s="863" t="s">
        <v>662</v>
      </c>
      <c r="F71" s="286" t="s">
        <v>59</v>
      </c>
    </row>
    <row r="72" spans="1:9" x14ac:dyDescent="0.25">
      <c r="C72" s="70" t="s">
        <v>1741</v>
      </c>
      <c r="D72" s="883" t="s">
        <v>1735</v>
      </c>
      <c r="E72" s="812">
        <f>+(F72/C21)/365</f>
        <v>0.15388448185699619</v>
      </c>
      <c r="F72" s="839">
        <f>+E82*J59</f>
        <v>6.745757088924214</v>
      </c>
    </row>
    <row r="73" spans="1:9" x14ac:dyDescent="0.25">
      <c r="C73" s="70" t="s">
        <v>1718</v>
      </c>
      <c r="D73" s="883" t="s">
        <v>1738</v>
      </c>
      <c r="E73" s="839">
        <f>+F73*E17</f>
        <v>35.54706415898611</v>
      </c>
      <c r="F73" s="839">
        <f>+E83*J59</f>
        <v>13.004534319337711</v>
      </c>
      <c r="I73" s="899"/>
    </row>
    <row r="74" spans="1:9" x14ac:dyDescent="0.25">
      <c r="C74" s="70" t="s">
        <v>1718</v>
      </c>
      <c r="D74" s="883" t="s">
        <v>1739</v>
      </c>
      <c r="E74" s="839">
        <f>+F74*E7</f>
        <v>58.960930528934362</v>
      </c>
      <c r="F74" s="839">
        <f>+E84*J59</f>
        <v>21.726420759325691</v>
      </c>
    </row>
    <row r="75" spans="1:9" x14ac:dyDescent="0.25">
      <c r="C75" s="70" t="s">
        <v>1718</v>
      </c>
      <c r="D75" s="883" t="s">
        <v>1740</v>
      </c>
      <c r="E75" s="858">
        <f>+F75*E15</f>
        <v>3.4528026945575578</v>
      </c>
      <c r="F75" s="839">
        <f>+E85*J59</f>
        <v>6.8821246913333587</v>
      </c>
    </row>
    <row r="76" spans="1:9" x14ac:dyDescent="0.25">
      <c r="C76" s="856" t="s">
        <v>1684</v>
      </c>
      <c r="D76" s="857" t="s">
        <v>1694</v>
      </c>
      <c r="E76">
        <v>651</v>
      </c>
      <c r="F76" s="812">
        <f>+(E76/E14)/1000</f>
        <v>0.9638296566055029</v>
      </c>
      <c r="H76" s="898"/>
    </row>
    <row r="77" spans="1:9" x14ac:dyDescent="0.25">
      <c r="C77" s="856"/>
      <c r="D77" s="821"/>
    </row>
    <row r="79" spans="1:9" x14ac:dyDescent="0.25">
      <c r="A79" s="812"/>
      <c r="B79" s="822"/>
      <c r="C79" s="821"/>
      <c r="D79" s="821"/>
      <c r="E79" s="812"/>
      <c r="F79" s="821"/>
    </row>
    <row r="80" spans="1:9" x14ac:dyDescent="0.25">
      <c r="A80" s="812"/>
      <c r="B80" s="839"/>
      <c r="C80" s="821"/>
      <c r="D80" s="851" t="s">
        <v>1695</v>
      </c>
      <c r="E80" s="812"/>
      <c r="F80" s="821"/>
    </row>
    <row r="82" spans="3:11" x14ac:dyDescent="0.25">
      <c r="C82" s="856" t="s">
        <v>1741</v>
      </c>
      <c r="D82" s="857" t="s">
        <v>1696</v>
      </c>
      <c r="E82" s="807">
        <f>+J93/J59</f>
        <v>1.2443205671721023E-2</v>
      </c>
      <c r="F82" s="857" t="s">
        <v>609</v>
      </c>
      <c r="I82" s="812"/>
    </row>
    <row r="83" spans="3:11" x14ac:dyDescent="0.25">
      <c r="C83" s="856" t="s">
        <v>1737</v>
      </c>
      <c r="D83" s="857" t="s">
        <v>1697</v>
      </c>
      <c r="E83">
        <f>291/J61</f>
        <v>2.3988129585359824E-2</v>
      </c>
      <c r="F83" s="857" t="s">
        <v>609</v>
      </c>
      <c r="I83" s="812"/>
    </row>
    <row r="84" spans="3:11" x14ac:dyDescent="0.25">
      <c r="C84" s="856" t="s">
        <v>1737</v>
      </c>
      <c r="D84" s="857" t="s">
        <v>1698</v>
      </c>
      <c r="E84">
        <f>+((642-(289*68.8%))+43)/J61</f>
        <v>4.0076498227681147E-2</v>
      </c>
      <c r="F84" s="857" t="s">
        <v>609</v>
      </c>
      <c r="I84" s="812"/>
    </row>
    <row r="85" spans="3:11" x14ac:dyDescent="0.25">
      <c r="C85" s="856" t="s">
        <v>1737</v>
      </c>
      <c r="D85" s="857" t="s">
        <v>1699</v>
      </c>
      <c r="E85">
        <f>154/J61</f>
        <v>1.2694748990190421E-2</v>
      </c>
      <c r="F85" s="857" t="s">
        <v>609</v>
      </c>
      <c r="I85" s="897"/>
    </row>
    <row r="86" spans="3:11" x14ac:dyDescent="0.25">
      <c r="C86" s="856" t="s">
        <v>1684</v>
      </c>
      <c r="D86" s="857" t="s">
        <v>1700</v>
      </c>
      <c r="E86">
        <f>+F76/E62</f>
        <v>1.9899180852390157E-3</v>
      </c>
      <c r="F86" s="857" t="s">
        <v>609</v>
      </c>
      <c r="I86" s="812"/>
    </row>
    <row r="87" spans="3:11" x14ac:dyDescent="0.25">
      <c r="E87" s="864">
        <f>+SUM(E82:E86)</f>
        <v>9.1192500560191431E-2</v>
      </c>
      <c r="F87" s="857" t="s">
        <v>609</v>
      </c>
      <c r="H87" s="812"/>
      <c r="I87" s="882"/>
    </row>
    <row r="90" spans="3:11" ht="18.75" x14ac:dyDescent="0.3">
      <c r="D90" s="835" t="s">
        <v>1702</v>
      </c>
    </row>
    <row r="91" spans="3:11" ht="18.75" x14ac:dyDescent="0.3">
      <c r="D91" s="835"/>
    </row>
    <row r="92" spans="3:11" x14ac:dyDescent="0.25">
      <c r="D92" s="883" t="s">
        <v>1742</v>
      </c>
      <c r="E92" s="812">
        <f>289*68.8%</f>
        <v>198.83199999999999</v>
      </c>
      <c r="F92" s="883" t="s">
        <v>1743</v>
      </c>
    </row>
    <row r="93" spans="3:11" x14ac:dyDescent="0.25">
      <c r="D93" s="883" t="s">
        <v>1744</v>
      </c>
      <c r="E93" s="812">
        <f>+E92/J58</f>
        <v>8.8856273806960679</v>
      </c>
      <c r="F93" s="883" t="s">
        <v>59</v>
      </c>
      <c r="H93" s="885" t="s">
        <v>1745</v>
      </c>
      <c r="I93" s="885"/>
      <c r="J93" s="885">
        <f>+E93*(1/G97)</f>
        <v>6.745757088924214</v>
      </c>
      <c r="K93" s="885" t="s">
        <v>59</v>
      </c>
    </row>
    <row r="94" spans="3:11" x14ac:dyDescent="0.25">
      <c r="D94" s="883"/>
      <c r="E94" s="812"/>
      <c r="F94" s="883"/>
    </row>
    <row r="96" spans="3:11" x14ac:dyDescent="0.25">
      <c r="E96" s="391"/>
      <c r="F96" s="392" t="s">
        <v>662</v>
      </c>
      <c r="G96" s="392" t="s">
        <v>1069</v>
      </c>
    </row>
    <row r="97" spans="2:13" x14ac:dyDescent="0.25">
      <c r="B97" s="856" t="s">
        <v>1705</v>
      </c>
      <c r="C97" s="856" t="s">
        <v>1704</v>
      </c>
      <c r="E97" s="393" t="s">
        <v>1120</v>
      </c>
      <c r="F97" s="394">
        <f>394.77/299.7</f>
        <v>1.3172172172172172</v>
      </c>
      <c r="G97" s="395">
        <f>+F97</f>
        <v>1.3172172172172172</v>
      </c>
      <c r="H97" s="12" t="s">
        <v>1121</v>
      </c>
      <c r="K97" s="883"/>
    </row>
    <row r="98" spans="2:13" x14ac:dyDescent="0.25">
      <c r="B98" s="856"/>
      <c r="C98" s="856"/>
      <c r="E98" s="393"/>
      <c r="F98" s="394"/>
      <c r="G98" s="395"/>
      <c r="H98" s="12"/>
    </row>
    <row r="100" spans="2:13" ht="18.75" x14ac:dyDescent="0.3">
      <c r="D100" s="835" t="s">
        <v>1703</v>
      </c>
    </row>
    <row r="101" spans="2:13" ht="18.75" x14ac:dyDescent="0.3">
      <c r="D101" s="835"/>
    </row>
    <row r="102" spans="2:13" x14ac:dyDescent="0.25">
      <c r="C102" s="856" t="s">
        <v>1011</v>
      </c>
      <c r="D102" s="883" t="s">
        <v>1748</v>
      </c>
      <c r="E102">
        <f>+'4. Refinerys Data'!D32/1000</f>
        <v>222</v>
      </c>
      <c r="F102" s="883" t="s">
        <v>589</v>
      </c>
      <c r="G102" s="839">
        <f>+E102/E8</f>
        <v>493.24372280140039</v>
      </c>
      <c r="H102" s="883" t="s">
        <v>59</v>
      </c>
    </row>
    <row r="103" spans="2:13" x14ac:dyDescent="0.25">
      <c r="C103" s="856" t="s">
        <v>1011</v>
      </c>
      <c r="D103" s="883" t="s">
        <v>1750</v>
      </c>
      <c r="E103">
        <v>180</v>
      </c>
      <c r="F103" s="883" t="s">
        <v>589</v>
      </c>
      <c r="G103" s="839"/>
      <c r="H103" s="883"/>
    </row>
    <row r="104" spans="2:13" x14ac:dyDescent="0.25">
      <c r="D104" s="883"/>
      <c r="F104" s="883"/>
    </row>
    <row r="105" spans="2:13" x14ac:dyDescent="0.25">
      <c r="E105" s="865" t="s">
        <v>662</v>
      </c>
      <c r="F105" s="865" t="s">
        <v>1069</v>
      </c>
      <c r="H105" s="857" t="s">
        <v>1731</v>
      </c>
      <c r="I105" s="883" t="s">
        <v>1749</v>
      </c>
    </row>
    <row r="106" spans="2:13" x14ac:dyDescent="0.25">
      <c r="C106" s="856" t="s">
        <v>1011</v>
      </c>
      <c r="D106" s="883" t="s">
        <v>1747</v>
      </c>
      <c r="E106" s="900">
        <f>+SUM(E107:E111)</f>
        <v>180</v>
      </c>
      <c r="F106" s="901">
        <f>+SUM(F107:F112)</f>
        <v>365.44421422349302</v>
      </c>
      <c r="G106" s="883" t="s">
        <v>59</v>
      </c>
      <c r="H106" s="836">
        <f>+SUM(H107:H112)</f>
        <v>1</v>
      </c>
      <c r="I106" s="820">
        <f>+SUM(I107:I112)</f>
        <v>0.99999999999999989</v>
      </c>
    </row>
    <row r="107" spans="2:13" x14ac:dyDescent="0.25">
      <c r="C107" s="856" t="s">
        <v>1011</v>
      </c>
      <c r="D107" s="857" t="s">
        <v>1035</v>
      </c>
      <c r="E107" s="839">
        <f>+$E$103*I107</f>
        <v>58.32</v>
      </c>
      <c r="F107" s="839">
        <f>+E107/E11</f>
        <v>113.47777518091667</v>
      </c>
      <c r="G107" s="883" t="s">
        <v>59</v>
      </c>
      <c r="H107" s="844">
        <f>+F107/$F$106</f>
        <v>0.31052010338168218</v>
      </c>
      <c r="I107" s="820">
        <v>0.32400000000000001</v>
      </c>
      <c r="J107" s="844"/>
    </row>
    <row r="108" spans="2:13" x14ac:dyDescent="0.25">
      <c r="C108" s="856" t="s">
        <v>1011</v>
      </c>
      <c r="D108" s="857" t="s">
        <v>1096</v>
      </c>
      <c r="E108" s="839">
        <f>+$E$103*I108</f>
        <v>59.220000000000006</v>
      </c>
      <c r="F108" s="839">
        <f>+E108/E12</f>
        <v>122.57712054787665</v>
      </c>
      <c r="G108" s="883" t="s">
        <v>59</v>
      </c>
      <c r="H108" s="844">
        <f t="shared" ref="H108:H112" si="7">+F108/$F$106</f>
        <v>0.33541951350449545</v>
      </c>
      <c r="I108" s="820">
        <v>0.32900000000000001</v>
      </c>
      <c r="J108" s="844"/>
    </row>
    <row r="109" spans="2:13" x14ac:dyDescent="0.25">
      <c r="C109" s="856" t="s">
        <v>1011</v>
      </c>
      <c r="D109" s="857" t="s">
        <v>1706</v>
      </c>
      <c r="E109" s="839">
        <f>+$E$103*I109</f>
        <v>17.82</v>
      </c>
      <c r="F109" s="839">
        <f>+E109/E13</f>
        <v>30.646926896511573</v>
      </c>
      <c r="G109" s="883" t="s">
        <v>59</v>
      </c>
      <c r="H109" s="844">
        <f t="shared" si="7"/>
        <v>8.3862120957725647E-2</v>
      </c>
      <c r="I109" s="820">
        <v>9.9000000000000005E-2</v>
      </c>
      <c r="J109" s="844"/>
    </row>
    <row r="110" spans="2:13" x14ac:dyDescent="0.25">
      <c r="C110" s="856" t="s">
        <v>1011</v>
      </c>
      <c r="D110" s="857" t="s">
        <v>858</v>
      </c>
      <c r="E110" s="839">
        <f>+E103-(E107+E108+E109+E111)</f>
        <v>40.609999999999985</v>
      </c>
      <c r="F110" s="839">
        <f>+E110/E15</f>
        <v>80.943832717571652</v>
      </c>
      <c r="G110" s="883" t="s">
        <v>59</v>
      </c>
      <c r="H110" s="844">
        <f t="shared" si="7"/>
        <v>0.22149436101913275</v>
      </c>
      <c r="I110" s="867">
        <f>+E110/E106</f>
        <v>0.22561111111111104</v>
      </c>
      <c r="J110" s="844"/>
      <c r="M110" s="883" t="s">
        <v>1752</v>
      </c>
    </row>
    <row r="111" spans="2:13" x14ac:dyDescent="0.25">
      <c r="C111" s="856" t="s">
        <v>1684</v>
      </c>
      <c r="D111" s="857" t="s">
        <v>22</v>
      </c>
      <c r="E111" s="857">
        <f>4030/1000</f>
        <v>4.03</v>
      </c>
      <c r="F111" s="839">
        <f>+E111/E14</f>
        <v>5.9665645408912091</v>
      </c>
      <c r="G111" s="883" t="s">
        <v>59</v>
      </c>
      <c r="H111" s="844">
        <f t="shared" si="7"/>
        <v>1.6326881938927798E-2</v>
      </c>
      <c r="I111" s="902">
        <f>+E111/E103</f>
        <v>2.2388888888888889E-2</v>
      </c>
      <c r="J111" s="844"/>
      <c r="K111" s="883" t="s">
        <v>1751</v>
      </c>
      <c r="L111" s="883" t="s">
        <v>22</v>
      </c>
      <c r="M111">
        <v>4.4279999999999999</v>
      </c>
    </row>
    <row r="112" spans="2:13" x14ac:dyDescent="0.25">
      <c r="C112" s="856" t="s">
        <v>1718</v>
      </c>
      <c r="D112" s="857" t="s">
        <v>1709</v>
      </c>
      <c r="E112" s="812">
        <f>+F112*E17</f>
        <v>32.342000997110311</v>
      </c>
      <c r="F112" s="839">
        <f>+E83*$G$102</f>
        <v>11.831994339725293</v>
      </c>
      <c r="G112" s="883" t="s">
        <v>59</v>
      </c>
      <c r="H112" s="844">
        <f t="shared" si="7"/>
        <v>3.2377019198036219E-2</v>
      </c>
      <c r="J112" s="844"/>
    </row>
    <row r="113" spans="3:10" x14ac:dyDescent="0.25">
      <c r="C113" s="856" t="s">
        <v>1102</v>
      </c>
      <c r="D113" s="883" t="s">
        <v>102</v>
      </c>
      <c r="H113" s="836"/>
      <c r="J113" s="844"/>
    </row>
    <row r="114" spans="3:10" x14ac:dyDescent="0.25">
      <c r="J114" s="844"/>
    </row>
    <row r="115" spans="3:10" x14ac:dyDescent="0.25">
      <c r="D115" s="851" t="s">
        <v>1708</v>
      </c>
      <c r="J115" s="844"/>
    </row>
    <row r="116" spans="3:10" x14ac:dyDescent="0.25">
      <c r="D116" s="857" t="s">
        <v>1035</v>
      </c>
      <c r="E116" s="811">
        <f>+F107/$E$61</f>
        <v>0.20429710445849361</v>
      </c>
      <c r="F116" s="857" t="s">
        <v>609</v>
      </c>
    </row>
    <row r="117" spans="3:10" x14ac:dyDescent="0.25">
      <c r="D117" s="857" t="s">
        <v>1096</v>
      </c>
      <c r="E117" s="811">
        <f t="shared" ref="E117:E120" si="8">+F108/$E$61</f>
        <v>0.22067890175733909</v>
      </c>
      <c r="F117" s="857" t="s">
        <v>609</v>
      </c>
    </row>
    <row r="118" spans="3:10" x14ac:dyDescent="0.25">
      <c r="D118" s="857" t="s">
        <v>1706</v>
      </c>
      <c r="E118" s="811">
        <f t="shared" si="8"/>
        <v>5.5174490472045805E-2</v>
      </c>
      <c r="F118" s="857" t="s">
        <v>609</v>
      </c>
    </row>
    <row r="119" spans="3:10" x14ac:dyDescent="0.25">
      <c r="D119" s="857" t="s">
        <v>858</v>
      </c>
      <c r="E119" s="811">
        <f t="shared" si="8"/>
        <v>0.14572536888045629</v>
      </c>
      <c r="F119" s="857" t="s">
        <v>609</v>
      </c>
    </row>
    <row r="120" spans="3:10" x14ac:dyDescent="0.25">
      <c r="D120" s="857" t="s">
        <v>22</v>
      </c>
      <c r="E120" s="811">
        <f t="shared" si="8"/>
        <v>1.0741767340128326E-2</v>
      </c>
      <c r="F120" s="857" t="s">
        <v>609</v>
      </c>
    </row>
    <row r="121" spans="3:10" x14ac:dyDescent="0.25">
      <c r="D121" s="857" t="s">
        <v>1709</v>
      </c>
      <c r="E121" s="811">
        <f>+F112/$E$61</f>
        <v>2.1301459071799516E-2</v>
      </c>
      <c r="F121" s="857" t="s">
        <v>609</v>
      </c>
    </row>
    <row r="122" spans="3:10" x14ac:dyDescent="0.25">
      <c r="D122" s="857"/>
      <c r="E122" s="811"/>
      <c r="F122" s="857"/>
    </row>
    <row r="124" spans="3:10" x14ac:dyDescent="0.25">
      <c r="C124" s="856" t="s">
        <v>1722</v>
      </c>
      <c r="D124" s="857" t="s">
        <v>1711</v>
      </c>
      <c r="E124" s="867">
        <f>+F106/G102</f>
        <v>0.74089987835615179</v>
      </c>
      <c r="F124" s="857"/>
    </row>
    <row r="125" spans="3:10" x14ac:dyDescent="0.25">
      <c r="C125" s="856"/>
    </row>
    <row r="129" spans="1:6" x14ac:dyDescent="0.25">
      <c r="A129" s="327" t="s">
        <v>310</v>
      </c>
      <c r="B129" s="1"/>
      <c r="C129" s="1"/>
      <c r="D129" s="1"/>
      <c r="E129" s="1"/>
      <c r="F129" s="1"/>
    </row>
    <row r="130" spans="1:6" x14ac:dyDescent="0.25">
      <c r="A130" s="331" t="s">
        <v>311</v>
      </c>
      <c r="B130" s="332" t="s">
        <v>42</v>
      </c>
      <c r="C130" s="332" t="s">
        <v>312</v>
      </c>
      <c r="D130" s="332" t="s">
        <v>313</v>
      </c>
      <c r="E130" s="332" t="s">
        <v>314</v>
      </c>
      <c r="F130" s="333" t="s">
        <v>315</v>
      </c>
    </row>
    <row r="131" spans="1:6" x14ac:dyDescent="0.25">
      <c r="A131" s="1" t="s">
        <v>329</v>
      </c>
      <c r="B131" s="1"/>
      <c r="C131" s="17" t="s">
        <v>1155</v>
      </c>
      <c r="D131" s="1" t="s">
        <v>1156</v>
      </c>
      <c r="E131" s="1" t="s">
        <v>59</v>
      </c>
      <c r="F131" s="1" t="s">
        <v>328</v>
      </c>
    </row>
    <row r="132" spans="1:6" x14ac:dyDescent="0.25">
      <c r="A132" s="1"/>
      <c r="B132" s="1"/>
      <c r="C132" s="338" t="s">
        <v>1157</v>
      </c>
      <c r="D132" s="328" t="s">
        <v>1158</v>
      </c>
      <c r="E132" s="1" t="s">
        <v>59</v>
      </c>
      <c r="F132" s="1" t="s">
        <v>328</v>
      </c>
    </row>
    <row r="133" spans="1:6" x14ac:dyDescent="0.25">
      <c r="A133" s="1"/>
      <c r="B133" s="1"/>
      <c r="C133" s="342" t="s">
        <v>1159</v>
      </c>
      <c r="D133" s="328" t="s">
        <v>1160</v>
      </c>
      <c r="E133" s="1" t="s">
        <v>59</v>
      </c>
      <c r="F133" s="1" t="s">
        <v>328</v>
      </c>
    </row>
    <row r="134" spans="1:6" x14ac:dyDescent="0.25">
      <c r="A134" s="1"/>
      <c r="B134" s="1"/>
      <c r="C134" s="17" t="s">
        <v>1161</v>
      </c>
      <c r="D134" s="328" t="s">
        <v>1162</v>
      </c>
      <c r="E134" s="1" t="s">
        <v>59</v>
      </c>
      <c r="F134" s="1" t="s">
        <v>328</v>
      </c>
    </row>
    <row r="135" spans="1:6" x14ac:dyDescent="0.25">
      <c r="A135" s="328"/>
      <c r="B135" s="328"/>
      <c r="C135" s="18" t="s">
        <v>1163</v>
      </c>
      <c r="D135" s="883" t="s">
        <v>1164</v>
      </c>
      <c r="E135" s="1" t="s">
        <v>59</v>
      </c>
      <c r="F135" s="1" t="s">
        <v>328</v>
      </c>
    </row>
    <row r="136" spans="1:6" x14ac:dyDescent="0.25">
      <c r="A136" s="328"/>
      <c r="B136" s="328"/>
      <c r="C136" s="18" t="s">
        <v>1165</v>
      </c>
      <c r="D136" s="883" t="s">
        <v>1166</v>
      </c>
      <c r="E136" s="12" t="s">
        <v>59</v>
      </c>
      <c r="F136" s="344" t="s">
        <v>328</v>
      </c>
    </row>
    <row r="137" spans="1:6" x14ac:dyDescent="0.25">
      <c r="A137" s="328"/>
      <c r="B137" s="328"/>
      <c r="C137" s="18" t="s">
        <v>1167</v>
      </c>
      <c r="D137" s="328" t="s">
        <v>1168</v>
      </c>
      <c r="E137" s="328" t="s">
        <v>59</v>
      </c>
      <c r="F137" s="344" t="s">
        <v>328</v>
      </c>
    </row>
    <row r="138" spans="1:6" ht="15.75" customHeight="1" x14ac:dyDescent="0.25">
      <c r="A138" s="328"/>
      <c r="B138" s="328"/>
      <c r="C138" s="1" t="s">
        <v>1753</v>
      </c>
      <c r="D138" s="1" t="s">
        <v>1755</v>
      </c>
      <c r="E138" s="328" t="s">
        <v>59</v>
      </c>
      <c r="F138" s="344" t="s">
        <v>328</v>
      </c>
    </row>
    <row r="139" spans="1:6" x14ac:dyDescent="0.25">
      <c r="A139" s="328"/>
      <c r="B139" s="328"/>
      <c r="C139" s="1" t="s">
        <v>1754</v>
      </c>
      <c r="D139" s="1" t="s">
        <v>1756</v>
      </c>
      <c r="E139" s="328" t="s">
        <v>59</v>
      </c>
      <c r="F139" s="344" t="s">
        <v>328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990</v>
      </c>
      <c r="D145" s="1" t="s">
        <v>1174</v>
      </c>
      <c r="E145" s="1" t="s">
        <v>59</v>
      </c>
      <c r="F145" s="328"/>
    </row>
    <row r="146" spans="1:6" x14ac:dyDescent="0.25">
      <c r="A146" s="1"/>
      <c r="B146" s="1"/>
      <c r="C146" s="883" t="s">
        <v>1173</v>
      </c>
      <c r="D146" s="883" t="s">
        <v>1176</v>
      </c>
      <c r="E146" s="12" t="s">
        <v>59</v>
      </c>
      <c r="F146" s="328"/>
    </row>
    <row r="147" spans="1:6" x14ac:dyDescent="0.25">
      <c r="A147" s="1"/>
      <c r="B147" s="328"/>
      <c r="C147" s="883" t="s">
        <v>1175</v>
      </c>
      <c r="D147" s="883" t="s">
        <v>1177</v>
      </c>
      <c r="E147" s="12" t="s">
        <v>59</v>
      </c>
      <c r="F147" s="328"/>
    </row>
    <row r="148" spans="1:6" x14ac:dyDescent="0.25">
      <c r="A148" s="1"/>
      <c r="B148" s="328"/>
      <c r="C148" s="18" t="s">
        <v>1178</v>
      </c>
      <c r="D148" s="883" t="s">
        <v>1179</v>
      </c>
      <c r="E148" s="12" t="s">
        <v>59</v>
      </c>
      <c r="F148" s="328"/>
    </row>
    <row r="149" spans="1:6" x14ac:dyDescent="0.25">
      <c r="C149" s="18" t="s">
        <v>988</v>
      </c>
      <c r="D149" s="18" t="s">
        <v>1180</v>
      </c>
      <c r="E149" s="344" t="s">
        <v>59</v>
      </c>
    </row>
    <row r="150" spans="1:6" x14ac:dyDescent="0.25">
      <c r="A150" s="1"/>
      <c r="B150" s="1"/>
      <c r="C150" s="18" t="s">
        <v>989</v>
      </c>
      <c r="D150" s="18" t="s">
        <v>1181</v>
      </c>
      <c r="E150" s="344" t="s">
        <v>59</v>
      </c>
    </row>
    <row r="151" spans="1:6" x14ac:dyDescent="0.25">
      <c r="A151" s="1"/>
      <c r="B151" s="1"/>
      <c r="C151" s="18" t="s">
        <v>1759</v>
      </c>
      <c r="D151" s="883" t="s">
        <v>1757</v>
      </c>
      <c r="E151" s="344" t="s">
        <v>59</v>
      </c>
      <c r="F151" s="328"/>
    </row>
    <row r="152" spans="1:6" x14ac:dyDescent="0.25">
      <c r="A152" s="1"/>
      <c r="B152" s="1"/>
      <c r="C152" s="1" t="s">
        <v>1760</v>
      </c>
      <c r="D152" s="1" t="s">
        <v>1758</v>
      </c>
      <c r="E152" s="344" t="s">
        <v>59</v>
      </c>
      <c r="F152" s="328"/>
    </row>
    <row r="153" spans="1:6" x14ac:dyDescent="0.25">
      <c r="A153" s="877"/>
      <c r="B153" s="877"/>
      <c r="C153" s="877"/>
      <c r="D153" s="877"/>
      <c r="E153" s="877"/>
      <c r="F153" s="328"/>
    </row>
    <row r="154" spans="1:6" x14ac:dyDescent="0.25">
      <c r="A154" s="336" t="s">
        <v>880</v>
      </c>
      <c r="B154" s="328"/>
      <c r="C154" s="1"/>
      <c r="D154" s="1"/>
    </row>
    <row r="155" spans="1:6" x14ac:dyDescent="0.25">
      <c r="A155" s="360" t="s">
        <v>312</v>
      </c>
      <c r="B155" s="360" t="s">
        <v>881</v>
      </c>
      <c r="C155" s="360" t="s">
        <v>882</v>
      </c>
      <c r="D155" s="360" t="s">
        <v>930</v>
      </c>
    </row>
    <row r="156" spans="1:6" x14ac:dyDescent="0.25">
      <c r="A156" s="16" t="str">
        <f>+C136</f>
        <v>FTE-GAS-REF2</v>
      </c>
      <c r="B156" s="16" t="s">
        <v>7</v>
      </c>
      <c r="C156" s="16" t="str">
        <f>+C149</f>
        <v>GAS-REF2</v>
      </c>
      <c r="D156" s="292">
        <v>1</v>
      </c>
    </row>
    <row r="157" spans="1:6" x14ac:dyDescent="0.25">
      <c r="A157" s="16" t="str">
        <f>+C137</f>
        <v>FTE-HFO-REF2</v>
      </c>
      <c r="B157" s="16" t="s">
        <v>26</v>
      </c>
      <c r="C157" s="16" t="str">
        <f>+C150</f>
        <v>HFO-REF2</v>
      </c>
      <c r="D157" s="322">
        <v>1</v>
      </c>
      <c r="F157" s="1"/>
    </row>
    <row r="158" spans="1:6" x14ac:dyDescent="0.25">
      <c r="A158" s="813" t="str">
        <f>+C138</f>
        <v>FTE-LPG-REF2</v>
      </c>
      <c r="B158" s="2" t="s">
        <v>22</v>
      </c>
      <c r="C158" s="2" t="str">
        <f>+C151</f>
        <v>LPG-REF2</v>
      </c>
      <c r="D158" s="400">
        <v>1</v>
      </c>
      <c r="E158" s="1"/>
      <c r="F158" s="1"/>
    </row>
    <row r="159" spans="1:6" x14ac:dyDescent="0.25">
      <c r="A159" s="813" t="str">
        <f>+C139</f>
        <v>FTE-RFG2</v>
      </c>
      <c r="B159" s="2" t="s">
        <v>125</v>
      </c>
      <c r="C159" s="2" t="str">
        <f>+C152</f>
        <v>RFG2-REF2</v>
      </c>
      <c r="D159" s="400">
        <v>1</v>
      </c>
      <c r="E159" s="1"/>
      <c r="F159" s="1"/>
    </row>
    <row r="162" spans="3:7" ht="18.75" x14ac:dyDescent="0.3">
      <c r="C162" s="835" t="s">
        <v>1662</v>
      </c>
    </row>
    <row r="165" spans="3:7" x14ac:dyDescent="0.25">
      <c r="C165" s="329" t="s">
        <v>880</v>
      </c>
      <c r="D165" s="1"/>
      <c r="E165" s="1"/>
      <c r="F165" s="1"/>
      <c r="G165" s="1"/>
    </row>
    <row r="166" spans="3:7" x14ac:dyDescent="0.25">
      <c r="C166" s="334" t="s">
        <v>312</v>
      </c>
      <c r="D166" s="209" t="s">
        <v>881</v>
      </c>
      <c r="E166" s="209" t="s">
        <v>882</v>
      </c>
      <c r="F166" s="209" t="s">
        <v>1050</v>
      </c>
      <c r="G166" s="335" t="s">
        <v>930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x14ac:dyDescent="0.25">
      <c r="C171" s="336"/>
      <c r="D171" s="207"/>
      <c r="E171" s="207"/>
    </row>
    <row r="172" spans="3:7" x14ac:dyDescent="0.25">
      <c r="C172" s="337" t="s">
        <v>312</v>
      </c>
      <c r="D172" s="337" t="s">
        <v>882</v>
      </c>
      <c r="E172" s="337" t="s">
        <v>1054</v>
      </c>
    </row>
    <row r="173" spans="3:7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6" spans="3:7" ht="18.75" x14ac:dyDescent="0.3">
      <c r="C176" s="835" t="s">
        <v>1676</v>
      </c>
    </row>
    <row r="179" spans="3:11" x14ac:dyDescent="0.25">
      <c r="C179" s="336" t="s">
        <v>1084</v>
      </c>
      <c r="D179" s="328"/>
      <c r="E179" s="1"/>
      <c r="G179" s="283" t="s">
        <v>986</v>
      </c>
    </row>
    <row r="180" spans="3:11" ht="15.75" thickBot="1" x14ac:dyDescent="0.3">
      <c r="C180" s="354" t="s">
        <v>312</v>
      </c>
      <c r="D180" s="355" t="s">
        <v>881</v>
      </c>
      <c r="E180" s="356" t="s">
        <v>974</v>
      </c>
      <c r="G180" s="284" t="s">
        <v>43</v>
      </c>
      <c r="H180" s="285" t="s">
        <v>988</v>
      </c>
      <c r="I180" s="285" t="s">
        <v>989</v>
      </c>
      <c r="J180" s="285" t="str">
        <f>+C159</f>
        <v>RFG2-REF2</v>
      </c>
      <c r="K180" s="285" t="str">
        <f>+C158</f>
        <v>LPG-REF2</v>
      </c>
    </row>
    <row r="181" spans="3:11" ht="15.75" thickBot="1" x14ac:dyDescent="0.3">
      <c r="C181" s="357" t="s">
        <v>1157</v>
      </c>
      <c r="D181" s="1" t="str">
        <f>+E167</f>
        <v>OIL-REF2</v>
      </c>
      <c r="E181" s="879">
        <f>1/(1+SUM($E$82:$E$86))</f>
        <v>0.91642858568641605</v>
      </c>
      <c r="G181" s="211" t="s">
        <v>935</v>
      </c>
      <c r="H181" s="212" t="s">
        <v>556</v>
      </c>
      <c r="I181" s="212" t="s">
        <v>556</v>
      </c>
      <c r="J181" s="212" t="s">
        <v>556</v>
      </c>
      <c r="K181" s="212"/>
    </row>
    <row r="182" spans="3:11" s="874" customFormat="1" x14ac:dyDescent="0.25">
      <c r="C182" s="16"/>
      <c r="D182" s="873" t="str">
        <f>+C147</f>
        <v>H2-REF2</v>
      </c>
      <c r="E182" s="879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4" customFormat="1" x14ac:dyDescent="0.25">
      <c r="C183" s="1"/>
      <c r="D183" s="875" t="str">
        <f>+C156</f>
        <v>GAS-REF2</v>
      </c>
      <c r="E183" s="879">
        <f>E84/(1+SUM($E$82:$E$86))</f>
        <v>3.6727248590057993E-2</v>
      </c>
    </row>
    <row r="184" spans="3:11" s="874" customFormat="1" x14ac:dyDescent="0.25">
      <c r="C184" s="1"/>
      <c r="D184" s="876" t="str">
        <f>+C159</f>
        <v>RFG2-REF2</v>
      </c>
      <c r="E184" s="879">
        <f>E83/(1+SUM($E$82:$E$86))</f>
        <v>2.1983407669173775E-2</v>
      </c>
      <c r="G184" s="878"/>
    </row>
    <row r="185" spans="3:11" s="874" customFormat="1" x14ac:dyDescent="0.25">
      <c r="D185" s="874" t="str">
        <f>+C158</f>
        <v>LPG-REF2</v>
      </c>
      <c r="E185" s="879">
        <f>E86/(1+SUM($E$82:$E$86))</f>
        <v>1.8236178164874122E-3</v>
      </c>
    </row>
    <row r="186" spans="3:11" x14ac:dyDescent="0.25">
      <c r="D186" t="str">
        <f>+C157</f>
        <v>HFO-REF2</v>
      </c>
      <c r="E186" s="844">
        <f>E85/(1+SUM($E$82:$E$86))</f>
        <v>1.1633830862724267E-2</v>
      </c>
    </row>
    <row r="187" spans="3:11" x14ac:dyDescent="0.25">
      <c r="G187" s="903"/>
    </row>
    <row r="188" spans="3:11" ht="18.75" x14ac:dyDescent="0.3">
      <c r="C188" s="835" t="s">
        <v>1702</v>
      </c>
    </row>
    <row r="190" spans="3:11" x14ac:dyDescent="0.25">
      <c r="C190" s="329" t="s">
        <v>880</v>
      </c>
      <c r="D190" s="1"/>
      <c r="E190" s="1"/>
      <c r="F190" s="397"/>
      <c r="G190" s="1"/>
    </row>
    <row r="191" spans="3:11" x14ac:dyDescent="0.25">
      <c r="C191" s="355" t="s">
        <v>312</v>
      </c>
      <c r="D191" s="355" t="s">
        <v>928</v>
      </c>
      <c r="E191" s="355" t="s">
        <v>1114</v>
      </c>
      <c r="F191" s="355" t="s">
        <v>973</v>
      </c>
      <c r="G191" s="398" t="s">
        <v>974</v>
      </c>
    </row>
    <row r="192" spans="3:11" x14ac:dyDescent="0.25">
      <c r="C192" s="389" t="str">
        <f>+C133</f>
        <v>SMR-REF2</v>
      </c>
      <c r="D192" s="389" t="s">
        <v>1115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930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880</v>
      </c>
      <c r="D196" s="328"/>
      <c r="E196" s="1"/>
      <c r="F196" s="1"/>
      <c r="G196" s="1"/>
    </row>
    <row r="197" spans="3:7" x14ac:dyDescent="0.25">
      <c r="C197" s="355" t="s">
        <v>312</v>
      </c>
      <c r="D197" s="355" t="s">
        <v>881</v>
      </c>
      <c r="E197" s="355" t="s">
        <v>882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5" t="s">
        <v>1703</v>
      </c>
    </row>
    <row r="203" spans="3:7" x14ac:dyDescent="0.25">
      <c r="C203" s="336" t="s">
        <v>1101</v>
      </c>
      <c r="D203" s="269"/>
      <c r="E203" s="207"/>
    </row>
    <row r="204" spans="3:7" x14ac:dyDescent="0.25">
      <c r="C204" s="334" t="s">
        <v>312</v>
      </c>
      <c r="D204" s="371" t="s">
        <v>882</v>
      </c>
      <c r="E204" s="372" t="s">
        <v>973</v>
      </c>
    </row>
    <row r="205" spans="3:7" x14ac:dyDescent="0.25">
      <c r="C205" s="349" t="s">
        <v>1157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80">
        <f>+H112</f>
        <v>3.2377019198036219E-2</v>
      </c>
    </row>
    <row r="211" spans="3:7" x14ac:dyDescent="0.25">
      <c r="D211" s="1"/>
      <c r="E211" s="266"/>
      <c r="G211" s="820">
        <f>+SUM(E205:E210)</f>
        <v>1</v>
      </c>
    </row>
    <row r="212" spans="3:7" x14ac:dyDescent="0.25">
      <c r="E212" s="374"/>
    </row>
    <row r="216" spans="3:7" ht="18.75" x14ac:dyDescent="0.3">
      <c r="C216" s="835" t="s">
        <v>1712</v>
      </c>
    </row>
    <row r="218" spans="3:7" x14ac:dyDescent="0.25">
      <c r="C218" s="381" t="s">
        <v>880</v>
      </c>
      <c r="D218" s="16"/>
      <c r="E218" s="16"/>
      <c r="F218" s="336"/>
      <c r="G218" s="16"/>
    </row>
    <row r="219" spans="3:7" x14ac:dyDescent="0.25">
      <c r="C219" s="354" t="s">
        <v>312</v>
      </c>
      <c r="D219" s="355" t="s">
        <v>928</v>
      </c>
      <c r="E219" s="355" t="s">
        <v>1114</v>
      </c>
      <c r="F219" s="355" t="s">
        <v>973</v>
      </c>
      <c r="G219" s="382" t="s">
        <v>974</v>
      </c>
    </row>
    <row r="220" spans="3:7" x14ac:dyDescent="0.25">
      <c r="C220" s="384" t="str">
        <f>+C205</f>
        <v>REF2</v>
      </c>
      <c r="D220" s="385" t="s">
        <v>1115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1115</v>
      </c>
      <c r="E221" s="881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930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1116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19" t="s">
        <v>1043</v>
      </c>
      <c r="M7" s="940"/>
      <c r="N7" s="940"/>
      <c r="O7" s="940"/>
      <c r="P7" s="940"/>
      <c r="Q7" s="940"/>
      <c r="R7" s="940"/>
      <c r="S7" s="940"/>
      <c r="T7" s="940"/>
      <c r="U7" s="920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41" t="s">
        <v>1153</v>
      </c>
      <c r="O9" s="940"/>
      <c r="P9" s="920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1154</v>
      </c>
      <c r="P10" s="321" t="s">
        <v>1046</v>
      </c>
      <c r="R10" s="942"/>
      <c r="S10" s="908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43"/>
      <c r="P12" s="323"/>
      <c r="R12" s="14"/>
      <c r="S12" s="9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44"/>
      <c r="P13" s="325"/>
      <c r="R13" s="14"/>
      <c r="S13" s="908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943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6" t="s">
        <v>1155</v>
      </c>
      <c r="D22" s="2" t="s">
        <v>1156</v>
      </c>
      <c r="E22" s="2" t="s">
        <v>59</v>
      </c>
      <c r="F22" s="2" t="s">
        <v>328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312</v>
      </c>
      <c r="U22" s="337" t="s">
        <v>882</v>
      </c>
      <c r="V22" s="337" t="s">
        <v>1054</v>
      </c>
    </row>
    <row r="23" spans="1:22" ht="15.75" customHeight="1" x14ac:dyDescent="0.25">
      <c r="A23" s="1"/>
      <c r="B23" s="1"/>
      <c r="C23" s="214" t="s">
        <v>1157</v>
      </c>
      <c r="D23" s="14" t="s">
        <v>1158</v>
      </c>
      <c r="E23" s="2" t="s">
        <v>59</v>
      </c>
      <c r="F23" s="2" t="s">
        <v>328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1159</v>
      </c>
      <c r="D24" s="14" t="s">
        <v>1160</v>
      </c>
      <c r="E24" s="2" t="s">
        <v>59</v>
      </c>
      <c r="F24" s="2" t="s">
        <v>328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1161</v>
      </c>
      <c r="D25" s="14" t="s">
        <v>1162</v>
      </c>
      <c r="E25" s="2" t="s">
        <v>59</v>
      </c>
      <c r="F25" s="2" t="s">
        <v>328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1163</v>
      </c>
      <c r="D26" s="14" t="s">
        <v>1164</v>
      </c>
      <c r="E26" s="2" t="s">
        <v>59</v>
      </c>
      <c r="F26" s="2" t="s">
        <v>328</v>
      </c>
      <c r="G26" s="328"/>
      <c r="Q26" s="322"/>
    </row>
    <row r="27" spans="1:22" ht="15.75" customHeight="1" x14ac:dyDescent="0.25">
      <c r="A27" s="328"/>
      <c r="B27" s="328"/>
      <c r="C27" s="214" t="s">
        <v>1165</v>
      </c>
      <c r="D27" s="214" t="s">
        <v>1166</v>
      </c>
      <c r="E27" s="214" t="s">
        <v>59</v>
      </c>
      <c r="F27" s="16" t="s">
        <v>328</v>
      </c>
      <c r="G27" s="328"/>
    </row>
    <row r="28" spans="1:22" ht="15.75" customHeight="1" x14ac:dyDescent="0.25">
      <c r="A28" s="328"/>
      <c r="B28" s="328"/>
      <c r="C28" s="214" t="s">
        <v>1167</v>
      </c>
      <c r="D28" s="214" t="s">
        <v>1168</v>
      </c>
      <c r="E28" s="214" t="s">
        <v>59</v>
      </c>
      <c r="F28" s="16" t="s">
        <v>328</v>
      </c>
      <c r="G28" s="328"/>
      <c r="L28" s="919" t="s">
        <v>1067</v>
      </c>
      <c r="M28" s="940"/>
      <c r="N28" s="940"/>
      <c r="O28" s="940"/>
      <c r="P28" s="940"/>
      <c r="Q28" s="940"/>
      <c r="R28" s="940"/>
      <c r="S28" s="940"/>
      <c r="T28" s="940"/>
      <c r="U28" s="920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1068</v>
      </c>
      <c r="O31" s="345" t="s">
        <v>662</v>
      </c>
      <c r="P31" s="345" t="s">
        <v>1069</v>
      </c>
      <c r="R31" s="13" t="s">
        <v>1070</v>
      </c>
      <c r="S31" s="13" t="s">
        <v>1071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1072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1073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1169</v>
      </c>
      <c r="X33" s="12" t="s">
        <v>1170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1074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928</v>
      </c>
      <c r="X34" s="12" t="s">
        <v>1171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1172</v>
      </c>
      <c r="X35" s="12" t="s">
        <v>1173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990</v>
      </c>
      <c r="D36" s="1" t="s">
        <v>1174</v>
      </c>
      <c r="E36" s="1" t="s">
        <v>59</v>
      </c>
      <c r="F36" s="328"/>
      <c r="G36" s="328"/>
      <c r="L36" s="116"/>
      <c r="N36" s="351" t="s">
        <v>1076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1077</v>
      </c>
      <c r="U36" s="305"/>
      <c r="W36" s="12" t="s">
        <v>1172</v>
      </c>
      <c r="X36" s="12" t="s">
        <v>1175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1173</v>
      </c>
      <c r="D37" s="12" t="s">
        <v>1176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1172</v>
      </c>
      <c r="X37" s="12" t="s">
        <v>990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1175</v>
      </c>
      <c r="D38" s="12" t="s">
        <v>1177</v>
      </c>
      <c r="E38" s="12" t="s">
        <v>59</v>
      </c>
      <c r="F38" s="328"/>
      <c r="G38" s="328"/>
      <c r="W38" s="12" t="s">
        <v>1172</v>
      </c>
      <c r="X38" s="12" t="s">
        <v>1178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1178</v>
      </c>
      <c r="D39" s="12" t="s">
        <v>1179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988</v>
      </c>
      <c r="D40" s="18" t="s">
        <v>1180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989</v>
      </c>
      <c r="D41" s="18" t="s">
        <v>1181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19" t="s">
        <v>1089</v>
      </c>
      <c r="M48" s="940"/>
      <c r="N48" s="940"/>
      <c r="O48" s="940"/>
      <c r="P48" s="940"/>
      <c r="Q48" s="940"/>
      <c r="R48" s="940"/>
      <c r="S48" s="940"/>
      <c r="T48" s="940"/>
      <c r="U48" s="920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1090</v>
      </c>
      <c r="N50" s="345" t="s">
        <v>1091</v>
      </c>
      <c r="O50" s="345" t="s">
        <v>1092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1093</v>
      </c>
      <c r="N54" s="345" t="s">
        <v>1091</v>
      </c>
      <c r="O54" s="345" t="s">
        <v>1092</v>
      </c>
      <c r="P54" s="345" t="s">
        <v>1182</v>
      </c>
      <c r="Q54" s="24" t="s">
        <v>1183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1096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1184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1098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1100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19" t="s">
        <v>1103</v>
      </c>
      <c r="M81" s="940"/>
      <c r="N81" s="940"/>
      <c r="O81" s="940"/>
      <c r="P81" s="940"/>
      <c r="Q81" s="940"/>
      <c r="R81" s="940"/>
      <c r="S81" s="940"/>
      <c r="T81" s="940"/>
      <c r="U81" s="920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1104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1069</v>
      </c>
      <c r="T83" s="299"/>
      <c r="U83" s="305"/>
    </row>
    <row r="84" spans="1:21" ht="15.75" customHeight="1" x14ac:dyDescent="0.25">
      <c r="A84" s="12" t="s">
        <v>1105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1106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1107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1108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1109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1110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1111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1112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1113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1114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1115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930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1116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19" t="s">
        <v>1117</v>
      </c>
      <c r="M104" s="940"/>
      <c r="N104" s="940"/>
      <c r="O104" s="940"/>
      <c r="P104" s="940"/>
      <c r="Q104" s="940"/>
      <c r="R104" s="940"/>
      <c r="S104" s="940"/>
      <c r="T104" s="940"/>
      <c r="U104" s="920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1118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1119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1069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1120</v>
      </c>
      <c r="O108" s="394">
        <f>394.77/299.7</f>
        <v>1.3172172172172172</v>
      </c>
      <c r="P108" s="395">
        <f>+O108</f>
        <v>1.3172172172172172</v>
      </c>
      <c r="Q108" s="12" t="s">
        <v>1121</v>
      </c>
      <c r="U108" s="305"/>
      <c r="X108" s="12">
        <f>+O34*1000000</f>
        <v>5830000</v>
      </c>
      <c r="Y108" s="12" t="s">
        <v>1119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1122</v>
      </c>
      <c r="U110" s="305"/>
      <c r="X110" s="12">
        <f>+X108*X105</f>
        <v>26235000</v>
      </c>
      <c r="Y110" s="12" t="s">
        <v>1123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1124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926481154.5</v>
      </c>
      <c r="Y111" s="12" t="s">
        <v>1125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1126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1114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1115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19" t="s">
        <v>1127</v>
      </c>
      <c r="M128" s="940"/>
      <c r="N128" s="940"/>
      <c r="O128" s="940"/>
      <c r="P128" s="940"/>
      <c r="Q128" s="940"/>
      <c r="R128" s="940"/>
      <c r="S128" s="940"/>
      <c r="T128" s="940"/>
      <c r="U128" s="920"/>
      <c r="W128" s="12" t="s">
        <v>1128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1129</v>
      </c>
    </row>
    <row r="130" spans="2:25" ht="15.75" customHeight="1" x14ac:dyDescent="0.25">
      <c r="B130" s="1"/>
      <c r="C130" s="1"/>
      <c r="D130" s="1" t="s">
        <v>1130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1129</v>
      </c>
      <c r="N130" s="345" t="s">
        <v>1131</v>
      </c>
      <c r="O130" s="345" t="s">
        <v>1069</v>
      </c>
      <c r="P130" s="118"/>
      <c r="Q130" s="118" t="s">
        <v>1132</v>
      </c>
      <c r="R130" s="326"/>
      <c r="S130" s="13"/>
      <c r="T130" s="13"/>
      <c r="U130" s="305"/>
      <c r="W130" s="12" t="s">
        <v>678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1133</v>
      </c>
      <c r="E131" s="1">
        <v>874.27499999999998</v>
      </c>
      <c r="F131" s="1" t="s">
        <v>664</v>
      </c>
      <c r="G131" s="401" t="s">
        <v>1185</v>
      </c>
      <c r="H131" s="1">
        <f>643+289</f>
        <v>932</v>
      </c>
      <c r="I131" s="1"/>
      <c r="L131" s="116"/>
      <c r="M131" s="330" t="s">
        <v>1134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1135</v>
      </c>
      <c r="U131" s="305"/>
      <c r="W131" s="12" t="s">
        <v>1136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1137</v>
      </c>
      <c r="E132" s="1">
        <f>+E130-E131</f>
        <v>686.72500000000002</v>
      </c>
      <c r="F132" s="1" t="s">
        <v>664</v>
      </c>
      <c r="G132" s="401" t="s">
        <v>1186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1138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858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1093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1139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1140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1141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1142</v>
      </c>
      <c r="O137" s="12">
        <v>193</v>
      </c>
      <c r="P137" s="12" t="s">
        <v>1143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1144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1145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1146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1147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1148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1114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1115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19" t="s">
        <v>1149</v>
      </c>
      <c r="M162" s="940"/>
      <c r="N162" s="940"/>
      <c r="O162" s="940"/>
      <c r="P162" s="940"/>
      <c r="Q162" s="940"/>
      <c r="R162" s="940"/>
      <c r="S162" s="940"/>
      <c r="T162" s="940"/>
      <c r="U162" s="920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EXP_IMP'!J51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1054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1150</v>
      </c>
    </row>
    <row r="196" spans="2:16" ht="15.75" customHeight="1" x14ac:dyDescent="0.25">
      <c r="O196" s="12">
        <f>+O195*365</f>
        <v>89425</v>
      </c>
      <c r="P196" s="12" t="s">
        <v>1151</v>
      </c>
    </row>
    <row r="197" spans="2:16" ht="15.75" customHeight="1" x14ac:dyDescent="0.25">
      <c r="O197" s="12">
        <f>+O196/1000</f>
        <v>89.424999999999997</v>
      </c>
      <c r="P197" s="12" t="s">
        <v>1152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1040</v>
      </c>
      <c r="D1" s="12">
        <v>119.96</v>
      </c>
      <c r="E1" s="12" t="s">
        <v>774</v>
      </c>
    </row>
    <row r="2" spans="3:21" x14ac:dyDescent="0.25">
      <c r="C2" s="12" t="s">
        <v>1040</v>
      </c>
      <c r="D2" s="12">
        <v>142500</v>
      </c>
      <c r="E2" s="12" t="s">
        <v>1041</v>
      </c>
      <c r="F2" s="12">
        <v>1.4250000000000001E-7</v>
      </c>
      <c r="G2" s="12" t="s">
        <v>1042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19" t="s">
        <v>1043</v>
      </c>
      <c r="M7" s="940"/>
      <c r="N7" s="940"/>
      <c r="O7" s="940"/>
      <c r="P7" s="940"/>
      <c r="Q7" s="940"/>
      <c r="R7" s="940"/>
      <c r="S7" s="940"/>
      <c r="T7" s="940"/>
      <c r="U7" s="920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41" t="s">
        <v>1044</v>
      </c>
      <c r="O9" s="940"/>
      <c r="P9" s="920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1045</v>
      </c>
      <c r="P10" s="321" t="s">
        <v>1046</v>
      </c>
      <c r="R10" s="942"/>
      <c r="S10" s="908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1047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1048</v>
      </c>
      <c r="O12" s="943"/>
      <c r="P12" s="323"/>
      <c r="R12" s="14"/>
      <c r="S12" s="945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1049</v>
      </c>
      <c r="O13" s="944"/>
      <c r="P13" s="325"/>
      <c r="R13" s="14"/>
      <c r="S13" s="908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600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311</v>
      </c>
      <c r="B21" s="332" t="s">
        <v>42</v>
      </c>
      <c r="C21" s="332" t="s">
        <v>312</v>
      </c>
      <c r="D21" s="332" t="s">
        <v>313</v>
      </c>
      <c r="E21" s="332" t="s">
        <v>314</v>
      </c>
      <c r="F21" s="333" t="s">
        <v>315</v>
      </c>
      <c r="G21" s="328"/>
      <c r="N21" s="334" t="s">
        <v>312</v>
      </c>
      <c r="O21" s="209" t="s">
        <v>881</v>
      </c>
      <c r="P21" s="209" t="s">
        <v>882</v>
      </c>
      <c r="Q21" s="209" t="s">
        <v>1050</v>
      </c>
      <c r="R21" s="335" t="s">
        <v>930</v>
      </c>
      <c r="T21" s="336"/>
      <c r="U21" s="207"/>
      <c r="V21" s="207"/>
    </row>
    <row r="22" spans="1:22" ht="15.75" customHeight="1" x14ac:dyDescent="0.25">
      <c r="A22" s="1" t="s">
        <v>329</v>
      </c>
      <c r="B22" s="1"/>
      <c r="C22" s="17" t="s">
        <v>1051</v>
      </c>
      <c r="D22" s="1" t="s">
        <v>1052</v>
      </c>
      <c r="E22" s="1" t="s">
        <v>59</v>
      </c>
      <c r="F22" s="1" t="s">
        <v>328</v>
      </c>
      <c r="G22" s="328"/>
      <c r="N22" s="16" t="str">
        <f>+C22</f>
        <v>MIX-OIL-REF1</v>
      </c>
      <c r="O22" s="16" t="str">
        <f>+C8</f>
        <v>LOIL</v>
      </c>
      <c r="P22" s="16" t="s">
        <v>1053</v>
      </c>
      <c r="Q22" s="292">
        <v>0.3</v>
      </c>
      <c r="R22" s="322">
        <v>1</v>
      </c>
      <c r="T22" s="337" t="s">
        <v>312</v>
      </c>
      <c r="U22" s="337" t="s">
        <v>882</v>
      </c>
      <c r="V22" s="337" t="s">
        <v>1054</v>
      </c>
    </row>
    <row r="23" spans="1:22" ht="15.75" customHeight="1" x14ac:dyDescent="0.25">
      <c r="A23" s="1"/>
      <c r="B23" s="1"/>
      <c r="C23" s="338" t="s">
        <v>1055</v>
      </c>
      <c r="D23" s="328" t="s">
        <v>1056</v>
      </c>
      <c r="E23" s="1" t="s">
        <v>59</v>
      </c>
      <c r="F23" s="1" t="s">
        <v>328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1057</v>
      </c>
      <c r="D24" s="328" t="s">
        <v>1058</v>
      </c>
      <c r="E24" s="1" t="s">
        <v>59</v>
      </c>
      <c r="F24" s="1" t="s">
        <v>328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1059</v>
      </c>
      <c r="D25" s="328" t="s">
        <v>1060</v>
      </c>
      <c r="E25" s="1" t="s">
        <v>59</v>
      </c>
      <c r="F25" s="1" t="s">
        <v>328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1061</v>
      </c>
      <c r="D26" s="12" t="s">
        <v>1062</v>
      </c>
      <c r="E26" s="1" t="s">
        <v>59</v>
      </c>
      <c r="F26" s="1" t="s">
        <v>328</v>
      </c>
      <c r="G26" s="328"/>
    </row>
    <row r="27" spans="1:22" ht="15.75" customHeight="1" x14ac:dyDescent="0.25">
      <c r="A27" s="328"/>
      <c r="B27" s="328"/>
      <c r="C27" s="18" t="s">
        <v>1063</v>
      </c>
      <c r="D27" s="12" t="s">
        <v>1064</v>
      </c>
      <c r="E27" s="12" t="s">
        <v>59</v>
      </c>
      <c r="F27" s="344" t="s">
        <v>328</v>
      </c>
      <c r="G27" s="328"/>
    </row>
    <row r="28" spans="1:22" ht="15.75" customHeight="1" x14ac:dyDescent="0.25">
      <c r="A28" s="328"/>
      <c r="B28" s="328"/>
      <c r="C28" s="18" t="s">
        <v>1065</v>
      </c>
      <c r="D28" s="328" t="s">
        <v>1066</v>
      </c>
      <c r="E28" s="328" t="s">
        <v>59</v>
      </c>
      <c r="F28" s="344" t="s">
        <v>328</v>
      </c>
      <c r="G28" s="328"/>
      <c r="L28" s="919" t="s">
        <v>1067</v>
      </c>
      <c r="M28" s="940"/>
      <c r="N28" s="940"/>
      <c r="O28" s="940"/>
      <c r="P28" s="940"/>
      <c r="Q28" s="940"/>
      <c r="R28" s="940"/>
      <c r="S28" s="940"/>
      <c r="T28" s="940"/>
      <c r="U28" s="920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1068</v>
      </c>
      <c r="O31" s="345" t="s">
        <v>662</v>
      </c>
      <c r="P31" s="345" t="s">
        <v>1069</v>
      </c>
      <c r="R31" s="13" t="s">
        <v>1070</v>
      </c>
      <c r="S31" s="13" t="s">
        <v>1071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1072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1073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1074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1053</v>
      </c>
      <c r="D36" s="1" t="s">
        <v>1075</v>
      </c>
      <c r="E36" s="1" t="s">
        <v>59</v>
      </c>
      <c r="F36" s="328"/>
      <c r="G36" s="328"/>
      <c r="L36" s="116"/>
      <c r="N36" s="351" t="s">
        <v>1076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1077</v>
      </c>
      <c r="U36" s="305"/>
    </row>
    <row r="37" spans="1:21" ht="15.75" customHeight="1" x14ac:dyDescent="0.25">
      <c r="A37" s="1"/>
      <c r="B37" s="1"/>
      <c r="C37" s="12" t="s">
        <v>1078</v>
      </c>
      <c r="D37" s="12" t="s">
        <v>1079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1080</v>
      </c>
      <c r="D38" s="12" t="s">
        <v>1081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1082</v>
      </c>
      <c r="D39" s="12" t="s">
        <v>1083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1085</v>
      </c>
      <c r="D40" s="18" t="s">
        <v>1086</v>
      </c>
      <c r="E40" s="344" t="s">
        <v>59</v>
      </c>
      <c r="G40" s="328"/>
      <c r="N40" s="354" t="s">
        <v>312</v>
      </c>
      <c r="O40" s="355" t="s">
        <v>881</v>
      </c>
      <c r="P40" s="356" t="s">
        <v>974</v>
      </c>
    </row>
    <row r="41" spans="1:21" ht="15.75" customHeight="1" x14ac:dyDescent="0.25">
      <c r="A41" s="1"/>
      <c r="B41" s="1"/>
      <c r="C41" s="18" t="s">
        <v>1087</v>
      </c>
      <c r="D41" s="18" t="s">
        <v>1088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312</v>
      </c>
      <c r="C45" s="360" t="s">
        <v>881</v>
      </c>
      <c r="D45" s="360" t="s">
        <v>882</v>
      </c>
      <c r="E45" s="360" t="s">
        <v>930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19" t="s">
        <v>1089</v>
      </c>
      <c r="M48" s="940"/>
      <c r="N48" s="940"/>
      <c r="O48" s="940"/>
      <c r="P48" s="940"/>
      <c r="Q48" s="940"/>
      <c r="R48" s="940"/>
      <c r="S48" s="940"/>
      <c r="T48" s="940"/>
      <c r="U48" s="920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1090</v>
      </c>
      <c r="N50" s="345" t="s">
        <v>1091</v>
      </c>
      <c r="O50" s="345" t="s">
        <v>1092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1033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1093</v>
      </c>
      <c r="N54" s="345" t="s">
        <v>1091</v>
      </c>
      <c r="O54" s="345" t="s">
        <v>1092</v>
      </c>
      <c r="P54" s="345" t="s">
        <v>1094</v>
      </c>
      <c r="Q54" s="345" t="s">
        <v>1095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1096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1097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1098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1099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1100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1020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996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312</v>
      </c>
      <c r="O71" s="371" t="s">
        <v>882</v>
      </c>
      <c r="P71" s="372" t="s">
        <v>973</v>
      </c>
      <c r="R71" s="373" t="s">
        <v>1102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19" t="s">
        <v>1103</v>
      </c>
      <c r="M81" s="940"/>
      <c r="N81" s="940"/>
      <c r="O81" s="940"/>
      <c r="P81" s="940"/>
      <c r="Q81" s="940"/>
      <c r="R81" s="940"/>
      <c r="S81" s="940"/>
      <c r="T81" s="940"/>
      <c r="U81" s="920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1104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662</v>
      </c>
      <c r="P83" s="345" t="s">
        <v>1069</v>
      </c>
      <c r="T83" s="299"/>
      <c r="U83" s="305"/>
    </row>
    <row r="84" spans="1:21" ht="15.75" customHeight="1" x14ac:dyDescent="0.25">
      <c r="A84" s="12" t="s">
        <v>1105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1106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1107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1108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1109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1110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1111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1112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1113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312</v>
      </c>
      <c r="O96" s="355" t="s">
        <v>928</v>
      </c>
      <c r="P96" s="355" t="s">
        <v>1114</v>
      </c>
      <c r="Q96" s="355" t="s">
        <v>973</v>
      </c>
      <c r="R96" s="382" t="s">
        <v>974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1115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930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1116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19" t="s">
        <v>1117</v>
      </c>
      <c r="M104" s="940"/>
      <c r="N104" s="940"/>
      <c r="O104" s="940"/>
      <c r="P104" s="940"/>
      <c r="Q104" s="940"/>
      <c r="R104" s="940"/>
      <c r="S104" s="940"/>
      <c r="T104" s="940"/>
      <c r="U104" s="920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1118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1119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662</v>
      </c>
      <c r="P107" s="392" t="s">
        <v>1069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1120</v>
      </c>
      <c r="O108" s="394">
        <f>394.77/299.7</f>
        <v>1.3172172172172172</v>
      </c>
      <c r="P108" s="395">
        <f>+O108</f>
        <v>1.3172172172172172</v>
      </c>
      <c r="Q108" s="12" t="s">
        <v>1121</v>
      </c>
      <c r="U108" s="305"/>
      <c r="X108" s="12">
        <f>+O34*1000000</f>
        <v>74825000</v>
      </c>
      <c r="Y108" s="12" t="s">
        <v>1119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1122</v>
      </c>
      <c r="U110" s="305"/>
      <c r="X110" s="12">
        <f>+X108*X105</f>
        <v>336712500</v>
      </c>
      <c r="Y110" s="12" t="s">
        <v>1123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1124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849</v>
      </c>
      <c r="U111" s="305"/>
      <c r="X111" s="12">
        <f>+X110*35.3147</f>
        <v>11890900923.75</v>
      </c>
      <c r="Y111" s="12" t="s">
        <v>1125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1126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312</v>
      </c>
      <c r="O116" s="355" t="s">
        <v>928</v>
      </c>
      <c r="P116" s="355" t="s">
        <v>1114</v>
      </c>
      <c r="Q116" s="355" t="s">
        <v>973</v>
      </c>
      <c r="R116" s="398" t="s">
        <v>974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1057</v>
      </c>
      <c r="O117" s="389" t="s">
        <v>1115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930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312</v>
      </c>
      <c r="O122" s="355" t="s">
        <v>881</v>
      </c>
      <c r="P122" s="355" t="s">
        <v>882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19" t="s">
        <v>1127</v>
      </c>
      <c r="M128" s="940"/>
      <c r="N128" s="940"/>
      <c r="O128" s="940"/>
      <c r="P128" s="940"/>
      <c r="Q128" s="940"/>
      <c r="R128" s="940"/>
      <c r="S128" s="940"/>
      <c r="T128" s="940"/>
      <c r="U128" s="920"/>
      <c r="W128" s="12" t="s">
        <v>1128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1129</v>
      </c>
    </row>
    <row r="130" spans="2:25" ht="15.75" customHeight="1" x14ac:dyDescent="0.25">
      <c r="B130" s="1"/>
      <c r="C130" s="1"/>
      <c r="D130" s="1" t="s">
        <v>1130</v>
      </c>
      <c r="E130" s="1">
        <v>1561</v>
      </c>
      <c r="F130" s="1" t="s">
        <v>599</v>
      </c>
      <c r="G130" s="1"/>
      <c r="H130" s="1"/>
      <c r="I130" s="1"/>
      <c r="L130" s="116"/>
      <c r="M130" s="364" t="s">
        <v>1129</v>
      </c>
      <c r="N130" s="345" t="s">
        <v>1131</v>
      </c>
      <c r="O130" s="345" t="s">
        <v>1069</v>
      </c>
      <c r="P130" s="118"/>
      <c r="Q130" s="118" t="s">
        <v>1132</v>
      </c>
      <c r="R130" s="326"/>
      <c r="S130" s="13"/>
      <c r="T130" s="13"/>
      <c r="U130" s="305"/>
      <c r="W130" s="12" t="s">
        <v>678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1133</v>
      </c>
      <c r="E131" s="1">
        <v>874.27499999999998</v>
      </c>
      <c r="F131" s="1" t="s">
        <v>664</v>
      </c>
      <c r="G131" s="401">
        <f>+E131/E130</f>
        <v>0.56007367072389491</v>
      </c>
      <c r="H131" s="1"/>
      <c r="I131" s="1"/>
      <c r="L131" s="116"/>
      <c r="M131" s="330" t="s">
        <v>1134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1135</v>
      </c>
      <c r="U131" s="305"/>
      <c r="W131" s="12" t="s">
        <v>1136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1137</v>
      </c>
      <c r="E132" s="1">
        <f>+E130-E131</f>
        <v>686.72500000000002</v>
      </c>
      <c r="F132" s="1" t="s">
        <v>664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1138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1093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1139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1140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1141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1142</v>
      </c>
      <c r="O137" s="12">
        <v>193</v>
      </c>
      <c r="P137" s="12" t="s">
        <v>1143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1144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1145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1146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1147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1148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312</v>
      </c>
      <c r="O144" s="371" t="s">
        <v>928</v>
      </c>
      <c r="P144" s="371" t="s">
        <v>1114</v>
      </c>
      <c r="Q144" s="371" t="s">
        <v>973</v>
      </c>
      <c r="R144" s="405" t="s">
        <v>974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1115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930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312</v>
      </c>
      <c r="O150" s="371" t="s">
        <v>881</v>
      </c>
      <c r="P150" s="371" t="s">
        <v>973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312</v>
      </c>
      <c r="O157" s="371" t="s">
        <v>882</v>
      </c>
      <c r="P157" s="371" t="s">
        <v>974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19" t="s">
        <v>1149</v>
      </c>
      <c r="M162" s="940"/>
      <c r="N162" s="940"/>
      <c r="O162" s="940"/>
      <c r="P162" s="940"/>
      <c r="Q162" s="940"/>
      <c r="R162" s="940"/>
      <c r="S162" s="940"/>
      <c r="T162" s="940"/>
      <c r="U162" s="920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312</v>
      </c>
      <c r="O165" s="209" t="s">
        <v>881</v>
      </c>
      <c r="P165" s="209" t="s">
        <v>882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EXP_IMP'!J51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312</v>
      </c>
      <c r="O169" s="337" t="s">
        <v>882</v>
      </c>
      <c r="P169" s="337" t="s">
        <v>1054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1150</v>
      </c>
    </row>
    <row r="196" spans="2:16" ht="15.75" customHeight="1" x14ac:dyDescent="0.25">
      <c r="O196" s="12">
        <f>+O195*365</f>
        <v>89425</v>
      </c>
      <c r="P196" s="12" t="s">
        <v>1151</v>
      </c>
    </row>
    <row r="197" spans="2:16" ht="15.75" customHeight="1" x14ac:dyDescent="0.25">
      <c r="O197" s="12">
        <f>+O196/1000</f>
        <v>89.424999999999997</v>
      </c>
      <c r="P197" s="12" t="s">
        <v>1152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>
      <selection activeCell="J21" sqref="J21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46" t="s">
        <v>1187</v>
      </c>
      <c r="E2" s="947"/>
      <c r="F2" s="947"/>
      <c r="G2" s="947"/>
      <c r="H2" s="948"/>
    </row>
    <row r="3" spans="1:23" x14ac:dyDescent="0.25">
      <c r="D3" s="426"/>
      <c r="E3" s="949" t="s">
        <v>1188</v>
      </c>
      <c r="F3" s="950"/>
      <c r="G3" s="949" t="s">
        <v>1189</v>
      </c>
      <c r="H3" s="950"/>
    </row>
    <row r="4" spans="1:23" x14ac:dyDescent="0.25">
      <c r="A4" s="12" t="s">
        <v>1190</v>
      </c>
      <c r="D4" s="2"/>
      <c r="E4" s="2" t="s">
        <v>1191</v>
      </c>
      <c r="F4" s="2" t="s">
        <v>1192</v>
      </c>
      <c r="G4" s="2" t="s">
        <v>1191</v>
      </c>
      <c r="H4" s="2" t="s">
        <v>1192</v>
      </c>
    </row>
    <row r="5" spans="1:23" x14ac:dyDescent="0.25">
      <c r="A5" s="12" t="s">
        <v>911</v>
      </c>
      <c r="B5" s="12">
        <v>15</v>
      </c>
      <c r="D5" s="16" t="s">
        <v>1193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1194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1195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1196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51" t="s">
        <v>1197</v>
      </c>
      <c r="O11" s="908"/>
      <c r="P11" s="908"/>
      <c r="Q11" s="908"/>
      <c r="R11" s="908"/>
      <c r="S11" s="908"/>
      <c r="T11" s="908"/>
      <c r="U11" s="908"/>
      <c r="V11" s="99"/>
      <c r="W11" s="99"/>
    </row>
    <row r="12" spans="1:23" ht="37.5" x14ac:dyDescent="0.25">
      <c r="A12" s="12" t="s">
        <v>1198</v>
      </c>
      <c r="C12" s="428" t="s">
        <v>1199</v>
      </c>
      <c r="D12" s="428" t="s">
        <v>1200</v>
      </c>
      <c r="E12" s="428" t="s">
        <v>1201</v>
      </c>
      <c r="F12" s="428" t="s">
        <v>1202</v>
      </c>
      <c r="G12" s="428" t="s">
        <v>1203</v>
      </c>
      <c r="H12" s="428" t="s">
        <v>1204</v>
      </c>
      <c r="I12" s="429"/>
      <c r="J12" s="428" t="s">
        <v>1205</v>
      </c>
      <c r="K12" s="430" t="s">
        <v>1206</v>
      </c>
      <c r="L12" s="430" t="s">
        <v>1207</v>
      </c>
      <c r="M12" s="430" t="s">
        <v>1208</v>
      </c>
      <c r="N12" s="428" t="s">
        <v>1209</v>
      </c>
      <c r="O12" s="428" t="s">
        <v>1210</v>
      </c>
      <c r="P12" s="428" t="s">
        <v>1211</v>
      </c>
      <c r="Q12" s="428" t="s">
        <v>1212</v>
      </c>
      <c r="R12" s="428" t="s">
        <v>1213</v>
      </c>
      <c r="S12" s="428" t="s">
        <v>1214</v>
      </c>
      <c r="T12" s="428" t="s">
        <v>1215</v>
      </c>
      <c r="U12" s="428" t="s">
        <v>1216</v>
      </c>
      <c r="V12" s="428" t="s">
        <v>1217</v>
      </c>
      <c r="W12" s="430" t="s">
        <v>1218</v>
      </c>
    </row>
    <row r="13" spans="1:23" x14ac:dyDescent="0.25">
      <c r="C13" s="431" t="s">
        <v>1219</v>
      </c>
      <c r="D13" s="432" t="s">
        <v>1220</v>
      </c>
      <c r="E13" s="432" t="s">
        <v>1221</v>
      </c>
      <c r="F13" s="432" t="s">
        <v>1222</v>
      </c>
      <c r="G13" s="433" t="s">
        <v>1223</v>
      </c>
      <c r="H13" s="431" t="s">
        <v>1099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1219</v>
      </c>
      <c r="D14" s="432" t="s">
        <v>1220</v>
      </c>
      <c r="E14" s="432" t="s">
        <v>1221</v>
      </c>
      <c r="F14" s="432" t="s">
        <v>1222</v>
      </c>
      <c r="G14" s="433" t="s">
        <v>1224</v>
      </c>
      <c r="H14" s="431" t="s">
        <v>1099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1219</v>
      </c>
      <c r="D15" s="432" t="s">
        <v>1220</v>
      </c>
      <c r="E15" s="432" t="s">
        <v>1225</v>
      </c>
      <c r="F15" s="432" t="s">
        <v>1226</v>
      </c>
      <c r="G15" s="433" t="s">
        <v>1227</v>
      </c>
      <c r="H15" s="431" t="s">
        <v>1099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1219</v>
      </c>
      <c r="D16" s="432" t="s">
        <v>1220</v>
      </c>
      <c r="E16" s="432" t="s">
        <v>1228</v>
      </c>
      <c r="F16" s="432" t="s">
        <v>1226</v>
      </c>
      <c r="G16" s="433" t="s">
        <v>1229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1219</v>
      </c>
      <c r="D17" s="432" t="s">
        <v>1220</v>
      </c>
      <c r="E17" s="432" t="s">
        <v>1230</v>
      </c>
      <c r="F17" s="432" t="s">
        <v>1226</v>
      </c>
      <c r="G17" s="433" t="s">
        <v>1231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1219</v>
      </c>
      <c r="D18" s="432" t="s">
        <v>1220</v>
      </c>
      <c r="E18" s="432" t="s">
        <v>1232</v>
      </c>
      <c r="F18" s="432" t="s">
        <v>1226</v>
      </c>
      <c r="G18" s="433" t="s">
        <v>1233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1219</v>
      </c>
      <c r="D19" s="432" t="s">
        <v>1220</v>
      </c>
      <c r="E19" s="432" t="s">
        <v>1232</v>
      </c>
      <c r="F19" s="432" t="s">
        <v>1226</v>
      </c>
      <c r="G19" s="433" t="s">
        <v>1234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1219</v>
      </c>
      <c r="D20" s="432" t="s">
        <v>1220</v>
      </c>
      <c r="E20" s="432" t="s">
        <v>1235</v>
      </c>
      <c r="F20" s="432" t="s">
        <v>1226</v>
      </c>
      <c r="G20" s="433" t="s">
        <v>1236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1219</v>
      </c>
      <c r="D21" s="432" t="s">
        <v>1220</v>
      </c>
      <c r="E21" s="432" t="s">
        <v>1237</v>
      </c>
      <c r="F21" s="432" t="s">
        <v>1226</v>
      </c>
      <c r="G21" s="433" t="s">
        <v>1238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1219</v>
      </c>
      <c r="D22" s="432" t="s">
        <v>1220</v>
      </c>
      <c r="E22" s="432" t="s">
        <v>1239</v>
      </c>
      <c r="F22" s="432" t="s">
        <v>1226</v>
      </c>
      <c r="G22" s="433" t="s">
        <v>1240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1219</v>
      </c>
      <c r="D23" s="432" t="s">
        <v>1220</v>
      </c>
      <c r="E23" s="432" t="s">
        <v>1239</v>
      </c>
      <c r="F23" s="432" t="s">
        <v>1226</v>
      </c>
      <c r="G23" s="433" t="s">
        <v>1241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1219</v>
      </c>
      <c r="D24" s="432" t="s">
        <v>1220</v>
      </c>
      <c r="E24" s="432" t="s">
        <v>1242</v>
      </c>
      <c r="F24" s="432" t="s">
        <v>1226</v>
      </c>
      <c r="G24" s="433" t="s">
        <v>1243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1219</v>
      </c>
      <c r="D25" s="432" t="s">
        <v>1220</v>
      </c>
      <c r="E25" s="432" t="s">
        <v>1244</v>
      </c>
      <c r="F25" s="432" t="s">
        <v>1245</v>
      </c>
      <c r="G25" s="433" t="s">
        <v>1244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1219</v>
      </c>
      <c r="D26" s="432" t="s">
        <v>1220</v>
      </c>
      <c r="E26" s="432" t="s">
        <v>1246</v>
      </c>
      <c r="F26" s="432" t="s">
        <v>1247</v>
      </c>
      <c r="G26" s="433" t="s">
        <v>1248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1219</v>
      </c>
      <c r="D27" s="432" t="s">
        <v>1220</v>
      </c>
      <c r="E27" s="432" t="s">
        <v>1249</v>
      </c>
      <c r="F27" s="432" t="s">
        <v>1247</v>
      </c>
      <c r="G27" s="433" t="s">
        <v>1250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1219</v>
      </c>
      <c r="D28" s="432" t="s">
        <v>1220</v>
      </c>
      <c r="E28" s="432" t="s">
        <v>1251</v>
      </c>
      <c r="F28" s="432" t="s">
        <v>1247</v>
      </c>
      <c r="G28" s="433" t="s">
        <v>1252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1219</v>
      </c>
      <c r="D29" s="432" t="s">
        <v>1220</v>
      </c>
      <c r="E29" s="432" t="s">
        <v>1253</v>
      </c>
      <c r="F29" s="432" t="s">
        <v>1247</v>
      </c>
      <c r="G29" s="433" t="s">
        <v>1254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1219</v>
      </c>
      <c r="D30" s="432" t="s">
        <v>1220</v>
      </c>
      <c r="E30" s="432" t="s">
        <v>1255</v>
      </c>
      <c r="F30" s="432" t="s">
        <v>1256</v>
      </c>
      <c r="G30" s="433" t="s">
        <v>1257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1219</v>
      </c>
      <c r="D31" s="432" t="s">
        <v>1220</v>
      </c>
      <c r="E31" s="432" t="s">
        <v>1258</v>
      </c>
      <c r="F31" s="432" t="s">
        <v>1256</v>
      </c>
      <c r="G31" s="433" t="s">
        <v>1259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1219</v>
      </c>
      <c r="D32" s="432" t="s">
        <v>1220</v>
      </c>
      <c r="E32" s="432" t="s">
        <v>1260</v>
      </c>
      <c r="F32" s="432" t="s">
        <v>1256</v>
      </c>
      <c r="G32" s="438" t="s">
        <v>1261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1262</v>
      </c>
      <c r="D33" s="242" t="s">
        <v>1220</v>
      </c>
      <c r="E33" s="242" t="s">
        <v>1263</v>
      </c>
      <c r="F33" s="242" t="s">
        <v>1264</v>
      </c>
      <c r="G33" s="440" t="s">
        <v>1265</v>
      </c>
      <c r="H33" s="441" t="s">
        <v>1099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1266</v>
      </c>
      <c r="D34" s="242" t="s">
        <v>1220</v>
      </c>
      <c r="E34" s="242" t="s">
        <v>1267</v>
      </c>
      <c r="F34" s="242" t="s">
        <v>1264</v>
      </c>
      <c r="G34" s="440" t="s">
        <v>1268</v>
      </c>
      <c r="H34" s="441" t="s">
        <v>1099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1266</v>
      </c>
      <c r="D35" s="242" t="s">
        <v>1220</v>
      </c>
      <c r="E35" s="242" t="s">
        <v>1267</v>
      </c>
      <c r="F35" s="242" t="s">
        <v>1264</v>
      </c>
      <c r="G35" s="440" t="s">
        <v>1269</v>
      </c>
      <c r="H35" s="441" t="s">
        <v>1099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1270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07" t="s">
        <v>7</v>
      </c>
      <c r="H59" s="908"/>
      <c r="J59" s="952" t="s">
        <v>686</v>
      </c>
      <c r="K59" s="908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1271</v>
      </c>
      <c r="F61" s="432" t="s">
        <v>1222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1272</v>
      </c>
      <c r="F62" s="432" t="s">
        <v>1226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1245</v>
      </c>
      <c r="F63" s="432" t="s">
        <v>1245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1273</v>
      </c>
      <c r="F64" s="432" t="s">
        <v>1247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1274</v>
      </c>
      <c r="F65" s="432" t="s">
        <v>1256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1220</v>
      </c>
      <c r="L80" s="12" t="s">
        <v>1275</v>
      </c>
    </row>
    <row r="81" spans="5:15" ht="15.75" customHeight="1" x14ac:dyDescent="0.25">
      <c r="E81" s="447" t="s">
        <v>1219</v>
      </c>
      <c r="F81" s="359" t="s">
        <v>1276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1219</v>
      </c>
      <c r="F82" s="359" t="s">
        <v>1277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1278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1279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1219</v>
      </c>
      <c r="F85" s="359" t="s">
        <v>1280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1219</v>
      </c>
      <c r="F86" s="359" t="s">
        <v>1281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1219</v>
      </c>
      <c r="F87" s="359" t="s">
        <v>1282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1219</v>
      </c>
      <c r="F88" s="359" t="s">
        <v>1283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1278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1219</v>
      </c>
      <c r="F90" s="359" t="s">
        <v>1284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1285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1286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1219</v>
      </c>
      <c r="F93" s="359" t="s">
        <v>1287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07" t="s">
        <v>1288</v>
      </c>
      <c r="F103" s="908"/>
    </row>
    <row r="104" spans="5:15" ht="15.75" customHeight="1" x14ac:dyDescent="0.25">
      <c r="E104" s="14"/>
      <c r="F104" s="14" t="s">
        <v>1220</v>
      </c>
      <c r="G104" s="12" t="s">
        <v>1289</v>
      </c>
      <c r="H104" s="12" t="s">
        <v>1290</v>
      </c>
      <c r="I104" s="12" t="s">
        <v>1291</v>
      </c>
      <c r="J104" s="12" t="s">
        <v>1292</v>
      </c>
      <c r="K104" s="12" t="s">
        <v>1293</v>
      </c>
      <c r="L104" s="12" t="s">
        <v>1294</v>
      </c>
      <c r="M104" s="12" t="s">
        <v>1295</v>
      </c>
      <c r="N104" s="12" t="s">
        <v>1296</v>
      </c>
      <c r="O104" s="12" t="s">
        <v>1297</v>
      </c>
    </row>
    <row r="105" spans="5:15" ht="15.75" customHeight="1" x14ac:dyDescent="0.25">
      <c r="E105" s="14" t="s">
        <v>1298</v>
      </c>
      <c r="F105" s="14" t="s">
        <v>1299</v>
      </c>
    </row>
    <row r="106" spans="5:15" ht="15.75" customHeight="1" x14ac:dyDescent="0.25">
      <c r="E106" s="13" t="s">
        <v>1265</v>
      </c>
      <c r="F106" s="14" t="s">
        <v>1300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1301</v>
      </c>
      <c r="F107" s="14" t="s">
        <v>1302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1303</v>
      </c>
      <c r="F108" s="14" t="s">
        <v>1299</v>
      </c>
    </row>
    <row r="109" spans="5:15" ht="15.75" customHeight="1" x14ac:dyDescent="0.25">
      <c r="E109" s="14" t="s">
        <v>1304</v>
      </c>
      <c r="F109" s="14" t="s">
        <v>1299</v>
      </c>
    </row>
    <row r="110" spans="5:15" ht="15.75" customHeight="1" x14ac:dyDescent="0.25">
      <c r="E110" s="14" t="s">
        <v>1305</v>
      </c>
      <c r="F110" s="14" t="s">
        <v>1299</v>
      </c>
    </row>
    <row r="111" spans="5:15" ht="15.75" customHeight="1" x14ac:dyDescent="0.25">
      <c r="E111" s="14" t="s">
        <v>1306</v>
      </c>
      <c r="F111" s="14" t="s">
        <v>1299</v>
      </c>
    </row>
    <row r="112" spans="5:15" ht="15.75" customHeight="1" x14ac:dyDescent="0.25">
      <c r="E112" s="13" t="s">
        <v>1269</v>
      </c>
      <c r="F112" s="14" t="s">
        <v>1300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1307</v>
      </c>
      <c r="F113" s="14" t="s">
        <v>1299</v>
      </c>
    </row>
    <row r="114" spans="5:6" ht="15.75" customHeight="1" x14ac:dyDescent="0.25">
      <c r="E114" s="14" t="s">
        <v>1308</v>
      </c>
      <c r="F114" s="14"/>
    </row>
    <row r="115" spans="5:6" ht="15.75" customHeight="1" x14ac:dyDescent="0.25">
      <c r="E115" s="14" t="s">
        <v>1309</v>
      </c>
      <c r="F115" s="14" t="s">
        <v>1299</v>
      </c>
    </row>
    <row r="116" spans="5:6" ht="15.75" customHeight="1" x14ac:dyDescent="0.25">
      <c r="E116" s="14" t="s">
        <v>1310</v>
      </c>
      <c r="F116" s="14" t="s">
        <v>1299</v>
      </c>
    </row>
    <row r="117" spans="5:6" ht="15.75" customHeight="1" x14ac:dyDescent="0.25">
      <c r="E117" s="14" t="s">
        <v>1311</v>
      </c>
      <c r="F117" s="14" t="s">
        <v>1299</v>
      </c>
    </row>
    <row r="118" spans="5:6" ht="15.75" customHeight="1" x14ac:dyDescent="0.25">
      <c r="E118" s="14" t="s">
        <v>1312</v>
      </c>
      <c r="F118" s="14" t="s">
        <v>1299</v>
      </c>
    </row>
    <row r="119" spans="5:6" ht="15.75" customHeight="1" x14ac:dyDescent="0.25">
      <c r="E119" s="14" t="s">
        <v>1313</v>
      </c>
      <c r="F119" s="14" t="s">
        <v>1299</v>
      </c>
    </row>
    <row r="120" spans="5:6" ht="15.75" customHeight="1" x14ac:dyDescent="0.25">
      <c r="E120" s="14" t="s">
        <v>1314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/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1315</v>
      </c>
      <c r="T1" s="12">
        <v>5.7</v>
      </c>
      <c r="U1" s="12" t="s">
        <v>1316</v>
      </c>
    </row>
    <row r="2" spans="8:61" x14ac:dyDescent="0.25">
      <c r="L2" s="306"/>
      <c r="M2" s="306"/>
      <c r="Q2" s="12">
        <f>+Q1/1000</f>
        <v>6.0871741676095338E-3</v>
      </c>
      <c r="R2" s="12" t="s">
        <v>1317</v>
      </c>
      <c r="T2" s="12">
        <f>+T1/1000</f>
        <v>5.7000000000000002E-3</v>
      </c>
      <c r="U2" s="12" t="s">
        <v>1317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1318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1319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1319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1199</v>
      </c>
      <c r="I5" s="456" t="s">
        <v>1200</v>
      </c>
      <c r="J5" s="426" t="s">
        <v>1201</v>
      </c>
      <c r="K5" s="456" t="s">
        <v>1202</v>
      </c>
      <c r="L5" s="456" t="s">
        <v>1203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1320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1321</v>
      </c>
      <c r="AT5" s="446" t="s">
        <v>1322</v>
      </c>
      <c r="AU5" s="12" t="s">
        <v>1323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1321</v>
      </c>
    </row>
    <row r="6" spans="8:61" ht="15.75" x14ac:dyDescent="0.25">
      <c r="H6" s="431" t="s">
        <v>1219</v>
      </c>
      <c r="I6" s="432" t="s">
        <v>1220</v>
      </c>
      <c r="J6" s="432" t="s">
        <v>1221</v>
      </c>
      <c r="K6" s="432" t="s">
        <v>1222</v>
      </c>
      <c r="L6" s="433" t="s">
        <v>1223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1223</v>
      </c>
      <c r="AS6" s="205"/>
      <c r="AT6" s="472" t="s">
        <v>1324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1219</v>
      </c>
      <c r="I7" s="432" t="s">
        <v>1220</v>
      </c>
      <c r="J7" s="432" t="s">
        <v>1221</v>
      </c>
      <c r="K7" s="432" t="s">
        <v>1222</v>
      </c>
      <c r="L7" s="433" t="s">
        <v>1224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1224</v>
      </c>
      <c r="AT7" s="476" t="s">
        <v>1325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1219</v>
      </c>
      <c r="I8" s="432" t="s">
        <v>1220</v>
      </c>
      <c r="J8" s="432" t="s">
        <v>1225</v>
      </c>
      <c r="K8" s="432" t="s">
        <v>1226</v>
      </c>
      <c r="L8" s="433" t="s">
        <v>1227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1227</v>
      </c>
      <c r="AT8" s="479" t="s">
        <v>1326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1219</v>
      </c>
      <c r="I9" s="432" t="s">
        <v>1220</v>
      </c>
      <c r="J9" s="432" t="s">
        <v>1228</v>
      </c>
      <c r="K9" s="432" t="s">
        <v>1226</v>
      </c>
      <c r="L9" s="433" t="s">
        <v>1229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1229</v>
      </c>
      <c r="AT9" s="479" t="s">
        <v>1327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1219</v>
      </c>
      <c r="I10" s="432" t="s">
        <v>1220</v>
      </c>
      <c r="J10" s="432" t="s">
        <v>1230</v>
      </c>
      <c r="K10" s="432" t="s">
        <v>1226</v>
      </c>
      <c r="L10" s="433" t="s">
        <v>1231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1231</v>
      </c>
      <c r="AT10" s="479" t="s">
        <v>1328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1219</v>
      </c>
      <c r="I11" s="432" t="s">
        <v>1220</v>
      </c>
      <c r="J11" s="432" t="s">
        <v>1232</v>
      </c>
      <c r="K11" s="432" t="s">
        <v>1226</v>
      </c>
      <c r="L11" s="433" t="s">
        <v>1233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1233</v>
      </c>
      <c r="AT11" s="480" t="s">
        <v>1329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1219</v>
      </c>
      <c r="I12" s="432" t="s">
        <v>1220</v>
      </c>
      <c r="J12" s="432" t="s">
        <v>1232</v>
      </c>
      <c r="K12" s="432" t="s">
        <v>1226</v>
      </c>
      <c r="L12" s="433" t="s">
        <v>1234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1234</v>
      </c>
      <c r="AT12" s="484"/>
    </row>
    <row r="13" spans="8:61" x14ac:dyDescent="0.25">
      <c r="H13" s="431" t="s">
        <v>1219</v>
      </c>
      <c r="I13" s="432" t="s">
        <v>1220</v>
      </c>
      <c r="J13" s="432" t="s">
        <v>1235</v>
      </c>
      <c r="K13" s="432" t="s">
        <v>1226</v>
      </c>
      <c r="L13" s="433" t="s">
        <v>1236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1236</v>
      </c>
      <c r="AV13" s="293">
        <f>+SUM(AV6:BH11)</f>
        <v>5175.1741990991441</v>
      </c>
    </row>
    <row r="14" spans="8:61" ht="25.5" x14ac:dyDescent="0.25">
      <c r="H14" s="431" t="s">
        <v>1219</v>
      </c>
      <c r="I14" s="432" t="s">
        <v>1220</v>
      </c>
      <c r="J14" s="432" t="s">
        <v>1237</v>
      </c>
      <c r="K14" s="432" t="s">
        <v>1226</v>
      </c>
      <c r="L14" s="433" t="s">
        <v>1238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1238</v>
      </c>
    </row>
    <row r="15" spans="8:61" x14ac:dyDescent="0.25">
      <c r="H15" s="431" t="s">
        <v>1219</v>
      </c>
      <c r="I15" s="432" t="s">
        <v>1220</v>
      </c>
      <c r="J15" s="432" t="s">
        <v>1239</v>
      </c>
      <c r="K15" s="432" t="s">
        <v>1226</v>
      </c>
      <c r="L15" s="433" t="s">
        <v>1240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1240</v>
      </c>
      <c r="BI15" s="12">
        <f>15*BI11</f>
        <v>-10.906059809289212</v>
      </c>
    </row>
    <row r="16" spans="8:61" x14ac:dyDescent="0.25">
      <c r="H16" s="431" t="s">
        <v>1219</v>
      </c>
      <c r="I16" s="432" t="s">
        <v>1220</v>
      </c>
      <c r="J16" s="432" t="s">
        <v>1239</v>
      </c>
      <c r="K16" s="432" t="s">
        <v>1226</v>
      </c>
      <c r="L16" s="433" t="s">
        <v>1241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1241</v>
      </c>
      <c r="BI16" s="293">
        <f>+AV11+BI15</f>
        <v>11.839307116564433</v>
      </c>
    </row>
    <row r="17" spans="1:61" x14ac:dyDescent="0.25">
      <c r="H17" s="431" t="s">
        <v>1219</v>
      </c>
      <c r="I17" s="432" t="s">
        <v>1220</v>
      </c>
      <c r="J17" s="432" t="s">
        <v>1242</v>
      </c>
      <c r="K17" s="432" t="s">
        <v>1226</v>
      </c>
      <c r="L17" s="433" t="s">
        <v>1243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1243</v>
      </c>
      <c r="BH17" s="293"/>
    </row>
    <row r="18" spans="1:61" x14ac:dyDescent="0.25">
      <c r="H18" s="431" t="s">
        <v>1219</v>
      </c>
      <c r="I18" s="432" t="s">
        <v>1220</v>
      </c>
      <c r="J18" s="432" t="s">
        <v>1244</v>
      </c>
      <c r="K18" s="432" t="s">
        <v>1245</v>
      </c>
      <c r="L18" s="433" t="s">
        <v>1244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1244</v>
      </c>
      <c r="BI18" s="485"/>
    </row>
    <row r="19" spans="1:61" x14ac:dyDescent="0.25">
      <c r="H19" s="431" t="s">
        <v>1219</v>
      </c>
      <c r="I19" s="432" t="s">
        <v>1220</v>
      </c>
      <c r="J19" s="432" t="s">
        <v>1246</v>
      </c>
      <c r="K19" s="432" t="s">
        <v>1247</v>
      </c>
      <c r="L19" s="433" t="s">
        <v>1248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1248</v>
      </c>
    </row>
    <row r="20" spans="1:61" x14ac:dyDescent="0.25">
      <c r="H20" s="431" t="s">
        <v>1219</v>
      </c>
      <c r="I20" s="432" t="s">
        <v>1220</v>
      </c>
      <c r="J20" s="432" t="s">
        <v>1249</v>
      </c>
      <c r="K20" s="432" t="s">
        <v>1247</v>
      </c>
      <c r="L20" s="433" t="s">
        <v>1250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1250</v>
      </c>
    </row>
    <row r="21" spans="1:61" ht="15.75" customHeight="1" x14ac:dyDescent="0.25">
      <c r="H21" s="431" t="s">
        <v>1219</v>
      </c>
      <c r="I21" s="432" t="s">
        <v>1220</v>
      </c>
      <c r="J21" s="432" t="s">
        <v>1251</v>
      </c>
      <c r="K21" s="432" t="s">
        <v>1247</v>
      </c>
      <c r="L21" s="433" t="s">
        <v>1252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1252</v>
      </c>
    </row>
    <row r="22" spans="1:61" ht="15.75" customHeight="1" x14ac:dyDescent="0.25">
      <c r="H22" s="431" t="s">
        <v>1219</v>
      </c>
      <c r="I22" s="432" t="s">
        <v>1220</v>
      </c>
      <c r="J22" s="432" t="s">
        <v>1253</v>
      </c>
      <c r="K22" s="432" t="s">
        <v>1247</v>
      </c>
      <c r="L22" s="433" t="s">
        <v>1254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1254</v>
      </c>
    </row>
    <row r="23" spans="1:61" ht="15.75" customHeight="1" x14ac:dyDescent="0.25">
      <c r="H23" s="431" t="s">
        <v>1219</v>
      </c>
      <c r="I23" s="432" t="s">
        <v>1220</v>
      </c>
      <c r="J23" s="432" t="s">
        <v>1255</v>
      </c>
      <c r="K23" s="432" t="s">
        <v>1256</v>
      </c>
      <c r="L23" s="433" t="s">
        <v>1257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1257</v>
      </c>
    </row>
    <row r="24" spans="1:61" ht="15.75" customHeight="1" x14ac:dyDescent="0.25">
      <c r="H24" s="431" t="s">
        <v>1219</v>
      </c>
      <c r="I24" s="432" t="s">
        <v>1220</v>
      </c>
      <c r="J24" s="432" t="s">
        <v>1258</v>
      </c>
      <c r="K24" s="432" t="s">
        <v>1256</v>
      </c>
      <c r="L24" s="433" t="s">
        <v>1259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1259</v>
      </c>
    </row>
    <row r="25" spans="1:61" ht="15.75" customHeight="1" x14ac:dyDescent="0.25">
      <c r="H25" s="431" t="s">
        <v>1219</v>
      </c>
      <c r="I25" s="432" t="s">
        <v>1220</v>
      </c>
      <c r="J25" s="432" t="s">
        <v>1260</v>
      </c>
      <c r="K25" s="432" t="s">
        <v>1256</v>
      </c>
      <c r="L25" s="438" t="s">
        <v>1261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1261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1265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1265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1268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1268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1269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1269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1323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743</v>
      </c>
      <c r="L33" s="306"/>
      <c r="M33" s="306"/>
    </row>
    <row r="34" spans="1:43" ht="15.75" customHeight="1" x14ac:dyDescent="0.25">
      <c r="I34" s="491">
        <v>5800000</v>
      </c>
      <c r="J34" s="12" t="s">
        <v>651</v>
      </c>
      <c r="L34" s="306"/>
      <c r="M34" s="306"/>
    </row>
    <row r="35" spans="1:43" ht="15.75" customHeight="1" x14ac:dyDescent="0.25">
      <c r="I35" s="12">
        <v>5.7</v>
      </c>
      <c r="J35" s="12" t="s">
        <v>1330</v>
      </c>
      <c r="L35" s="306"/>
      <c r="M35" s="306"/>
    </row>
    <row r="36" spans="1:43" ht="15.75" customHeight="1" x14ac:dyDescent="0.25">
      <c r="I36" s="12">
        <v>1</v>
      </c>
      <c r="J36" s="12" t="s">
        <v>1331</v>
      </c>
      <c r="L36" s="306"/>
      <c r="M36" s="306"/>
    </row>
    <row r="37" spans="1:43" ht="15.75" customHeight="1" x14ac:dyDescent="0.25">
      <c r="D37" s="14" t="s">
        <v>1323</v>
      </c>
      <c r="E37" s="14" t="s">
        <v>1323</v>
      </c>
      <c r="L37" s="306"/>
      <c r="M37" s="492"/>
      <c r="N37" s="953" t="s">
        <v>1332</v>
      </c>
      <c r="O37" s="905"/>
      <c r="P37" s="905"/>
      <c r="Q37" s="905"/>
      <c r="R37" s="905"/>
      <c r="S37" s="905"/>
      <c r="T37" s="905"/>
      <c r="U37" s="905"/>
      <c r="V37" s="905"/>
      <c r="W37" s="906"/>
      <c r="X37" s="492"/>
      <c r="Y37" s="492"/>
      <c r="Z37" s="492"/>
      <c r="AE37" s="954" t="s">
        <v>1333</v>
      </c>
      <c r="AF37" s="905"/>
      <c r="AG37" s="905"/>
      <c r="AH37" s="905"/>
      <c r="AI37" s="905"/>
      <c r="AJ37" s="905"/>
      <c r="AK37" s="905"/>
      <c r="AL37" s="905"/>
      <c r="AM37" s="905"/>
      <c r="AN37" s="906"/>
      <c r="AO37" s="216"/>
      <c r="AP37" s="216"/>
      <c r="AQ37" s="216"/>
    </row>
    <row r="38" spans="1:43" ht="15.75" customHeight="1" x14ac:dyDescent="0.25">
      <c r="D38" s="12" t="s">
        <v>1334</v>
      </c>
      <c r="E38" s="493" t="str">
        <f>"-RR2050"</f>
        <v>-RR2050</v>
      </c>
      <c r="F38" s="446" t="s">
        <v>1335</v>
      </c>
      <c r="G38" s="446" t="s">
        <v>1336</v>
      </c>
      <c r="H38" s="446" t="s">
        <v>1337</v>
      </c>
      <c r="I38" s="446" t="s">
        <v>1338</v>
      </c>
      <c r="J38" s="446" t="s">
        <v>1339</v>
      </c>
      <c r="K38" s="446" t="s">
        <v>1340</v>
      </c>
      <c r="L38" s="494" t="s">
        <v>1341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1342</v>
      </c>
      <c r="AB38" s="466" t="s">
        <v>1343</v>
      </c>
      <c r="AC38" s="499" t="s">
        <v>1344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1345</v>
      </c>
      <c r="C39" s="12" t="s">
        <v>1241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1241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1345</v>
      </c>
      <c r="C40" s="12" t="s">
        <v>1243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1243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1345</v>
      </c>
      <c r="C41" s="12" t="s">
        <v>1346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1346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1345</v>
      </c>
      <c r="C42" s="12" t="s">
        <v>1224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1224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1345</v>
      </c>
      <c r="C43" s="12" t="s">
        <v>1248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1248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1345</v>
      </c>
      <c r="C44" s="1" t="s">
        <v>1347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1347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1345</v>
      </c>
      <c r="C45" s="1" t="s">
        <v>1348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1348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628</v>
      </c>
      <c r="C46" s="1" t="s">
        <v>1349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1349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628</v>
      </c>
      <c r="C47" s="1" t="s">
        <v>1350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1350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628</v>
      </c>
      <c r="C48" s="1" t="s">
        <v>1240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1240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628</v>
      </c>
      <c r="C49" s="1" t="s">
        <v>1351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1351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628</v>
      </c>
      <c r="C50" s="1" t="s">
        <v>1223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1223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628</v>
      </c>
      <c r="C51" s="1" t="s">
        <v>1352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1352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1353</v>
      </c>
      <c r="C52" s="1" t="s">
        <v>1354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1354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628</v>
      </c>
      <c r="C53" s="1" t="s">
        <v>1355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1355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1353</v>
      </c>
      <c r="C54" s="1" t="s">
        <v>1356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1356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628</v>
      </c>
      <c r="C55" s="1" t="s">
        <v>1357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1357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1353</v>
      </c>
      <c r="C56" s="1" t="s">
        <v>1358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1358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1353</v>
      </c>
      <c r="C57" s="1" t="s">
        <v>1359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1359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628</v>
      </c>
      <c r="C58" s="1" t="s">
        <v>1360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1360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1353</v>
      </c>
      <c r="C59" s="1" t="s">
        <v>1361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1361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628</v>
      </c>
      <c r="C60" s="1" t="s">
        <v>1362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1362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628</v>
      </c>
      <c r="C61" s="1" t="s">
        <v>1227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1227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628</v>
      </c>
      <c r="C62" s="1" t="s">
        <v>1363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1363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628</v>
      </c>
      <c r="C63" s="1" t="s">
        <v>1254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1254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628</v>
      </c>
      <c r="C64" s="1" t="s">
        <v>1244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1244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628</v>
      </c>
      <c r="C65" s="1" t="s">
        <v>1364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1364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628</v>
      </c>
      <c r="C66" s="1" t="s">
        <v>1365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1365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628</v>
      </c>
      <c r="C67" s="1" t="s">
        <v>1236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1236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628</v>
      </c>
      <c r="C68" s="1" t="s">
        <v>1259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1259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628</v>
      </c>
      <c r="C69" s="1" t="s">
        <v>1366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1366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628</v>
      </c>
      <c r="C70" s="1" t="s">
        <v>1261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1261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628</v>
      </c>
      <c r="C71" s="12" t="s">
        <v>1252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1367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1265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1265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1268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1268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1269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1269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1368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1369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1370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1371</v>
      </c>
      <c r="M79" s="306"/>
    </row>
    <row r="80" spans="2:43" ht="15.75" customHeight="1" x14ac:dyDescent="0.25">
      <c r="F80" s="12" t="s">
        <v>1372</v>
      </c>
      <c r="G80" s="12">
        <f>+G65*N65*I33/1000000</f>
        <v>209.39642547425473</v>
      </c>
      <c r="H80" s="12" t="s">
        <v>746</v>
      </c>
      <c r="L80" s="306"/>
      <c r="M80" s="306"/>
    </row>
    <row r="81" spans="3:26" ht="15.75" customHeight="1" x14ac:dyDescent="0.25">
      <c r="F81" s="12" t="s">
        <v>1373</v>
      </c>
      <c r="G81" s="12">
        <f>+(H51*N51)*I33/1000000</f>
        <v>177.17312143246573</v>
      </c>
      <c r="H81" s="12" t="s">
        <v>746</v>
      </c>
      <c r="L81" s="306"/>
      <c r="M81" s="306"/>
    </row>
    <row r="82" spans="3:26" ht="15.75" customHeight="1" x14ac:dyDescent="0.25">
      <c r="F82" s="12" t="s">
        <v>1354</v>
      </c>
      <c r="G82" s="12">
        <f>+(H52*N52)*I33/1000000</f>
        <v>0</v>
      </c>
      <c r="H82" s="12" t="s">
        <v>746</v>
      </c>
      <c r="L82" s="306"/>
      <c r="M82" s="306"/>
    </row>
    <row r="83" spans="3:26" ht="15.75" customHeight="1" x14ac:dyDescent="0.25">
      <c r="F83" s="12" t="s">
        <v>1355</v>
      </c>
      <c r="G83" s="12">
        <f>+(H53*N53)*I33/1000000</f>
        <v>59.792875880758814</v>
      </c>
      <c r="H83" s="12" t="s">
        <v>746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53" t="s">
        <v>1332</v>
      </c>
      <c r="O86" s="905"/>
      <c r="P86" s="905"/>
      <c r="Q86" s="905"/>
      <c r="R86" s="905"/>
      <c r="S86" s="905"/>
      <c r="T86" s="905"/>
      <c r="U86" s="905"/>
      <c r="V86" s="905"/>
      <c r="W86" s="906"/>
      <c r="X86" s="492"/>
      <c r="Y86" s="492"/>
      <c r="Z86" s="492"/>
    </row>
    <row r="87" spans="3:26" ht="15.75" customHeight="1" x14ac:dyDescent="0.25">
      <c r="H87" s="456" t="s">
        <v>1199</v>
      </c>
      <c r="I87" s="456" t="s">
        <v>1200</v>
      </c>
      <c r="J87" s="426" t="s">
        <v>1201</v>
      </c>
      <c r="K87" s="456" t="s">
        <v>1202</v>
      </c>
      <c r="L87" s="456" t="s">
        <v>1203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1219</v>
      </c>
      <c r="I88" s="432" t="s">
        <v>1220</v>
      </c>
      <c r="J88" s="432" t="s">
        <v>1221</v>
      </c>
      <c r="K88" s="432" t="s">
        <v>1222</v>
      </c>
      <c r="L88" s="389" t="s">
        <v>1223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1219</v>
      </c>
      <c r="I89" s="432" t="s">
        <v>1220</v>
      </c>
      <c r="J89" s="432" t="s">
        <v>1221</v>
      </c>
      <c r="K89" s="432" t="s">
        <v>1222</v>
      </c>
      <c r="L89" s="389" t="s">
        <v>1224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1219</v>
      </c>
      <c r="I90" s="432" t="s">
        <v>1220</v>
      </c>
      <c r="J90" s="432" t="s">
        <v>1225</v>
      </c>
      <c r="K90" s="432" t="s">
        <v>1226</v>
      </c>
      <c r="L90" s="389" t="s">
        <v>1227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1219</v>
      </c>
      <c r="I91" s="432" t="s">
        <v>1220</v>
      </c>
      <c r="J91" s="432" t="s">
        <v>1228</v>
      </c>
      <c r="K91" s="432" t="s">
        <v>1226</v>
      </c>
      <c r="L91" s="389" t="s">
        <v>1229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1219</v>
      </c>
      <c r="I92" s="432" t="s">
        <v>1220</v>
      </c>
      <c r="J92" s="432" t="s">
        <v>1230</v>
      </c>
      <c r="K92" s="432" t="s">
        <v>1226</v>
      </c>
      <c r="L92" s="389" t="s">
        <v>1231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1219</v>
      </c>
      <c r="I93" s="432" t="s">
        <v>1220</v>
      </c>
      <c r="J93" s="432" t="s">
        <v>1232</v>
      </c>
      <c r="K93" s="432" t="s">
        <v>1226</v>
      </c>
      <c r="L93" s="389" t="s">
        <v>1233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1219</v>
      </c>
      <c r="I94" s="432" t="s">
        <v>1220</v>
      </c>
      <c r="J94" s="432" t="s">
        <v>1232</v>
      </c>
      <c r="K94" s="432" t="s">
        <v>1226</v>
      </c>
      <c r="L94" s="389" t="s">
        <v>1234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1219</v>
      </c>
      <c r="I95" s="432" t="s">
        <v>1220</v>
      </c>
      <c r="J95" s="432" t="s">
        <v>1235</v>
      </c>
      <c r="K95" s="432" t="s">
        <v>1226</v>
      </c>
      <c r="L95" s="389" t="s">
        <v>1236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1219</v>
      </c>
      <c r="I96" s="432" t="s">
        <v>1220</v>
      </c>
      <c r="J96" s="432" t="s">
        <v>1237</v>
      </c>
      <c r="K96" s="432" t="s">
        <v>1226</v>
      </c>
      <c r="L96" s="389" t="s">
        <v>1238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1219</v>
      </c>
      <c r="I97" s="432" t="s">
        <v>1220</v>
      </c>
      <c r="J97" s="432" t="s">
        <v>1239</v>
      </c>
      <c r="K97" s="432" t="s">
        <v>1226</v>
      </c>
      <c r="L97" s="389" t="s">
        <v>1240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1219</v>
      </c>
      <c r="I98" s="432" t="s">
        <v>1220</v>
      </c>
      <c r="J98" s="432" t="s">
        <v>1239</v>
      </c>
      <c r="K98" s="432" t="s">
        <v>1226</v>
      </c>
      <c r="L98" s="389" t="s">
        <v>1241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1219</v>
      </c>
      <c r="I99" s="432" t="s">
        <v>1220</v>
      </c>
      <c r="J99" s="432" t="s">
        <v>1242</v>
      </c>
      <c r="K99" s="432" t="s">
        <v>1226</v>
      </c>
      <c r="L99" s="389" t="s">
        <v>1243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1219</v>
      </c>
      <c r="I100" s="432" t="s">
        <v>1220</v>
      </c>
      <c r="J100" s="432" t="s">
        <v>1244</v>
      </c>
      <c r="K100" s="432" t="s">
        <v>1245</v>
      </c>
      <c r="L100" s="389" t="s">
        <v>1244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1219</v>
      </c>
      <c r="I101" s="432" t="s">
        <v>1220</v>
      </c>
      <c r="J101" s="432" t="s">
        <v>1246</v>
      </c>
      <c r="K101" s="432" t="s">
        <v>1247</v>
      </c>
      <c r="L101" s="389" t="s">
        <v>1248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1219</v>
      </c>
      <c r="I102" s="432" t="s">
        <v>1220</v>
      </c>
      <c r="J102" s="432" t="s">
        <v>1249</v>
      </c>
      <c r="K102" s="432" t="s">
        <v>1247</v>
      </c>
      <c r="L102" s="389" t="s">
        <v>1250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1219</v>
      </c>
      <c r="I103" s="432" t="s">
        <v>1220</v>
      </c>
      <c r="J103" s="432" t="s">
        <v>1251</v>
      </c>
      <c r="K103" s="432" t="s">
        <v>1247</v>
      </c>
      <c r="L103" s="389" t="s">
        <v>1252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1219</v>
      </c>
      <c r="I104" s="432" t="s">
        <v>1220</v>
      </c>
      <c r="J104" s="432" t="s">
        <v>1253</v>
      </c>
      <c r="K104" s="432" t="s">
        <v>1247</v>
      </c>
      <c r="L104" s="389" t="s">
        <v>1254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1219</v>
      </c>
      <c r="I105" s="432" t="s">
        <v>1220</v>
      </c>
      <c r="J105" s="432" t="s">
        <v>1255</v>
      </c>
      <c r="K105" s="432" t="s">
        <v>1256</v>
      </c>
      <c r="L105" s="389" t="s">
        <v>1257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1219</v>
      </c>
      <c r="I106" s="432" t="s">
        <v>1220</v>
      </c>
      <c r="J106" s="432" t="s">
        <v>1258</v>
      </c>
      <c r="K106" s="432" t="s">
        <v>1256</v>
      </c>
      <c r="L106" s="389" t="s">
        <v>1259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1219</v>
      </c>
      <c r="I107" s="432" t="s">
        <v>1220</v>
      </c>
      <c r="J107" s="432" t="s">
        <v>1260</v>
      </c>
      <c r="K107" s="432" t="s">
        <v>1256</v>
      </c>
      <c r="L107" s="389" t="s">
        <v>1261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1265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1268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1269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53" t="s">
        <v>1332</v>
      </c>
      <c r="O115" s="905"/>
      <c r="P115" s="905"/>
      <c r="Q115" s="905"/>
      <c r="R115" s="905"/>
      <c r="S115" s="905"/>
      <c r="T115" s="905"/>
      <c r="U115" s="905"/>
      <c r="V115" s="905"/>
      <c r="W115" s="906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1203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1223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1224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1227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1229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1231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1233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1234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1236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1238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1240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1241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1243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1244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1248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1250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1252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1254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1257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1259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1261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1265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1268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1269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G41" workbookViewId="0">
      <selection activeCell="M67" sqref="M67:M89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1374</v>
      </c>
      <c r="O3" s="14" t="s">
        <v>1374</v>
      </c>
      <c r="P3" s="14" t="s">
        <v>1374</v>
      </c>
      <c r="Q3" s="14" t="s">
        <v>1374</v>
      </c>
      <c r="R3" s="14" t="s">
        <v>1374</v>
      </c>
      <c r="S3" s="14" t="s">
        <v>1374</v>
      </c>
      <c r="T3" s="14" t="s">
        <v>1374</v>
      </c>
      <c r="U3" s="14" t="s">
        <v>1374</v>
      </c>
      <c r="V3" s="14" t="s">
        <v>1374</v>
      </c>
      <c r="W3" s="14" t="s">
        <v>1374</v>
      </c>
      <c r="X3" s="14" t="s">
        <v>1374</v>
      </c>
      <c r="Y3" s="14" t="s">
        <v>1375</v>
      </c>
      <c r="Z3" s="14" t="s">
        <v>1374</v>
      </c>
      <c r="AA3" s="1"/>
      <c r="AB3" s="964">
        <v>2019</v>
      </c>
      <c r="AC3" s="905"/>
      <c r="AD3" s="905"/>
      <c r="AE3" s="905"/>
      <c r="AF3" s="906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553</v>
      </c>
      <c r="E4" s="14" t="s">
        <v>554</v>
      </c>
      <c r="I4" s="428" t="s">
        <v>1202</v>
      </c>
      <c r="J4" s="428" t="s">
        <v>1203</v>
      </c>
      <c r="K4" s="428" t="s">
        <v>1204</v>
      </c>
      <c r="L4" s="429"/>
      <c r="M4" s="428" t="str">
        <f>+'5. ANH'!J12</f>
        <v>Type of Oil producing</v>
      </c>
      <c r="N4" s="430" t="s">
        <v>1376</v>
      </c>
      <c r="O4" s="430" t="s">
        <v>1377</v>
      </c>
      <c r="P4" s="430" t="s">
        <v>1378</v>
      </c>
      <c r="Q4" s="428" t="s">
        <v>1379</v>
      </c>
      <c r="R4" s="428" t="s">
        <v>1380</v>
      </c>
      <c r="S4" s="428" t="s">
        <v>1381</v>
      </c>
      <c r="T4" s="428" t="s">
        <v>1382</v>
      </c>
      <c r="U4" s="428" t="s">
        <v>1383</v>
      </c>
      <c r="V4" s="428" t="s">
        <v>1384</v>
      </c>
      <c r="W4" s="428" t="s">
        <v>1385</v>
      </c>
      <c r="X4" s="428" t="s">
        <v>1386</v>
      </c>
      <c r="Y4" s="428" t="s">
        <v>1387</v>
      </c>
      <c r="Z4" s="430" t="s">
        <v>1388</v>
      </c>
      <c r="AA4" s="1"/>
      <c r="AB4" s="426" t="s">
        <v>1389</v>
      </c>
      <c r="AC4" s="214" t="s">
        <v>1390</v>
      </c>
      <c r="AD4" s="426" t="s">
        <v>1391</v>
      </c>
      <c r="AE4" s="426" t="s">
        <v>1392</v>
      </c>
      <c r="AF4" s="426" t="s">
        <v>1393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556</v>
      </c>
      <c r="I5" s="432" t="s">
        <v>1222</v>
      </c>
      <c r="J5" s="433" t="s">
        <v>1223</v>
      </c>
      <c r="K5" s="431" t="s">
        <v>1099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557</v>
      </c>
      <c r="D6" s="14" t="s">
        <v>561</v>
      </c>
      <c r="E6" s="14" t="s">
        <v>562</v>
      </c>
      <c r="I6" s="432" t="s">
        <v>1222</v>
      </c>
      <c r="J6" s="433" t="s">
        <v>1224</v>
      </c>
      <c r="K6" s="431" t="s">
        <v>1099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563</v>
      </c>
      <c r="D7" s="315">
        <v>1.0095573442026637</v>
      </c>
      <c r="E7" s="316">
        <v>55.539114956987063</v>
      </c>
      <c r="I7" s="432" t="s">
        <v>1226</v>
      </c>
      <c r="J7" s="433" t="s">
        <v>1227</v>
      </c>
      <c r="K7" s="431" t="s">
        <v>1099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566</v>
      </c>
      <c r="D8" s="315">
        <v>6.0871741676095334</v>
      </c>
      <c r="E8" s="316">
        <v>77.841777688967127</v>
      </c>
      <c r="I8" s="432" t="s">
        <v>1226</v>
      </c>
      <c r="J8" s="433" t="s">
        <v>1229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569</v>
      </c>
      <c r="D9" s="222">
        <v>6.0871741676095334</v>
      </c>
      <c r="E9" s="317">
        <v>77.841777688967127</v>
      </c>
      <c r="I9" s="432" t="s">
        <v>1226</v>
      </c>
      <c r="J9" s="433" t="s">
        <v>1231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571</v>
      </c>
      <c r="D10" s="318">
        <v>6.0871741676095334</v>
      </c>
      <c r="E10" s="319">
        <v>77.841777688967127</v>
      </c>
      <c r="I10" s="432" t="s">
        <v>1226</v>
      </c>
      <c r="J10" s="433" t="s">
        <v>1233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573</v>
      </c>
      <c r="D11" s="315">
        <v>5.3308987344700309</v>
      </c>
      <c r="E11" s="316">
        <v>69.193827140333724</v>
      </c>
      <c r="I11" s="432" t="s">
        <v>1226</v>
      </c>
      <c r="J11" s="433" t="s">
        <v>1234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576</v>
      </c>
      <c r="D12" s="222">
        <v>5.6708498400612823</v>
      </c>
      <c r="E12" s="317">
        <v>75.166375708662926</v>
      </c>
      <c r="I12" s="432" t="s">
        <v>1226</v>
      </c>
      <c r="J12" s="433" t="s">
        <v>1236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1226</v>
      </c>
      <c r="J13" s="433" t="s">
        <v>1238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581</v>
      </c>
      <c r="D14" s="315">
        <v>4.0562660463586173</v>
      </c>
      <c r="E14" s="316">
        <v>47.28933824683137</v>
      </c>
      <c r="I14" s="432" t="s">
        <v>1226</v>
      </c>
      <c r="J14" s="433" t="s">
        <v>1240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586</v>
      </c>
      <c r="D15" s="222">
        <v>5.4608206169323079</v>
      </c>
      <c r="E15" s="317">
        <v>78.281203343664757</v>
      </c>
      <c r="I15" s="432" t="s">
        <v>1226</v>
      </c>
      <c r="J15" s="433" t="s">
        <v>1241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604</v>
      </c>
      <c r="D16" s="222">
        <v>4.7615165047769556</v>
      </c>
      <c r="E16" s="317">
        <v>56.337812381502502</v>
      </c>
      <c r="I16" s="432" t="s">
        <v>1226</v>
      </c>
      <c r="J16" s="433" t="s">
        <v>1243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1245</v>
      </c>
      <c r="J17" s="433" t="s">
        <v>1244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600</v>
      </c>
      <c r="I18" s="432" t="s">
        <v>1247</v>
      </c>
      <c r="J18" s="433" t="s">
        <v>1248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1247</v>
      </c>
      <c r="J19" s="433" t="s">
        <v>1250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1331</v>
      </c>
      <c r="D20" s="343">
        <v>6117863200</v>
      </c>
      <c r="E20" s="12" t="s">
        <v>1394</v>
      </c>
      <c r="I20" s="432" t="s">
        <v>1247</v>
      </c>
      <c r="J20" s="433" t="s">
        <v>1252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1331</v>
      </c>
      <c r="D21" s="343">
        <f>+D20*1000/(1000000000000)</f>
        <v>6.1178632000000004</v>
      </c>
      <c r="E21" s="12" t="s">
        <v>1315</v>
      </c>
      <c r="I21" s="432" t="s">
        <v>1247</v>
      </c>
      <c r="J21" s="433" t="s">
        <v>1254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1395</v>
      </c>
      <c r="I22" s="432" t="s">
        <v>1256</v>
      </c>
      <c r="J22" s="433" t="s">
        <v>1257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1256</v>
      </c>
      <c r="J23" s="433" t="s">
        <v>1259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1256</v>
      </c>
      <c r="J24" s="438" t="s">
        <v>1261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1264</v>
      </c>
      <c r="J25" s="438" t="s">
        <v>1265</v>
      </c>
      <c r="K25" s="431" t="s">
        <v>1099</v>
      </c>
      <c r="L25" s="434" t="s">
        <v>7</v>
      </c>
      <c r="M25" s="434" t="s">
        <v>1396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1264</v>
      </c>
      <c r="J26" s="438" t="s">
        <v>1268</v>
      </c>
      <c r="K26" s="431" t="s">
        <v>1099</v>
      </c>
      <c r="L26" s="434" t="s">
        <v>7</v>
      </c>
      <c r="M26" s="434" t="s">
        <v>1396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1264</v>
      </c>
      <c r="J27" s="438" t="s">
        <v>1269</v>
      </c>
      <c r="K27" s="431" t="s">
        <v>1099</v>
      </c>
      <c r="L27" s="434" t="s">
        <v>7</v>
      </c>
      <c r="M27" s="434" t="s">
        <v>1396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64"/>
      <c r="AB33" s="905"/>
      <c r="AC33" s="905"/>
      <c r="AD33" s="905"/>
      <c r="AE33" s="905"/>
      <c r="AF33" s="905"/>
      <c r="AG33" s="905"/>
      <c r="AH33" s="905"/>
      <c r="AI33" s="905"/>
      <c r="AJ33" s="905"/>
      <c r="AK33" s="905"/>
      <c r="AL33" s="905"/>
      <c r="AM33" s="906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1202</v>
      </c>
      <c r="J34" s="428" t="s">
        <v>1203</v>
      </c>
      <c r="K34" s="428" t="s">
        <v>1204</v>
      </c>
      <c r="L34" s="429"/>
      <c r="M34" s="428" t="str">
        <f>+'5. ANH'!J12</f>
        <v>Type of Oil producing</v>
      </c>
      <c r="N34" s="430" t="s">
        <v>1397</v>
      </c>
      <c r="O34" s="430" t="s">
        <v>1398</v>
      </c>
      <c r="P34" s="430" t="s">
        <v>1399</v>
      </c>
      <c r="Q34" s="428" t="s">
        <v>1400</v>
      </c>
      <c r="R34" s="428" t="s">
        <v>1401</v>
      </c>
      <c r="S34" s="428" t="s">
        <v>1402</v>
      </c>
      <c r="T34" s="428" t="s">
        <v>1403</v>
      </c>
      <c r="U34" s="428" t="s">
        <v>1404</v>
      </c>
      <c r="V34" s="428" t="s">
        <v>1405</v>
      </c>
      <c r="W34" s="428" t="s">
        <v>1406</v>
      </c>
      <c r="X34" s="428" t="s">
        <v>1407</v>
      </c>
      <c r="Y34" s="428" t="s">
        <v>1408</v>
      </c>
      <c r="Z34" s="430" t="s">
        <v>1409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1222</v>
      </c>
      <c r="J35" s="433" t="s">
        <v>1223</v>
      </c>
      <c r="K35" s="431" t="s">
        <v>1099</v>
      </c>
      <c r="L35" s="434" t="s">
        <v>7</v>
      </c>
      <c r="M35" s="434" t="str">
        <f>+'5. ANH'!J13</f>
        <v>Doesn't Apply</v>
      </c>
      <c r="N35" s="435">
        <f t="shared" ref="N35:X35" si="8">+N5*365*$D$7/1000</f>
        <v>60.04622961587031</v>
      </c>
      <c r="O35" s="435">
        <f t="shared" si="8"/>
        <v>2.4898308957132613</v>
      </c>
      <c r="P35" s="435">
        <f t="shared" si="8"/>
        <v>57.556398720157048</v>
      </c>
      <c r="Q35" s="436">
        <f t="shared" si="8"/>
        <v>60.04621952029688</v>
      </c>
      <c r="R35" s="436">
        <f t="shared" si="8"/>
        <v>0</v>
      </c>
      <c r="S35" s="436">
        <f t="shared" si="8"/>
        <v>0</v>
      </c>
      <c r="T35" s="436">
        <f t="shared" si="8"/>
        <v>2.4069462377542221</v>
      </c>
      <c r="U35" s="436">
        <f t="shared" si="8"/>
        <v>8.2884657959038696E-2</v>
      </c>
      <c r="V35" s="436">
        <f t="shared" si="8"/>
        <v>4.8961411123406373</v>
      </c>
      <c r="W35" s="436">
        <f t="shared" si="8"/>
        <v>0</v>
      </c>
      <c r="X35" s="436">
        <f t="shared" si="8"/>
        <v>52.660257607816412</v>
      </c>
      <c r="Y35" s="436">
        <f t="shared" ref="Y35:Y57" si="9">+Y5*365*(0.001)*$D$8/1000</f>
        <v>0</v>
      </c>
      <c r="Z35" s="437">
        <f t="shared" ref="Z35:Z57" si="10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1222</v>
      </c>
      <c r="J36" s="433" t="s">
        <v>1224</v>
      </c>
      <c r="K36" s="431" t="s">
        <v>1099</v>
      </c>
      <c r="L36" s="434" t="s">
        <v>7</v>
      </c>
      <c r="M36" s="434" t="str">
        <f>+'5. ANH'!J14</f>
        <v>Doesn't Apply</v>
      </c>
      <c r="N36" s="435">
        <f t="shared" ref="N36:X36" si="11">+N6*365*$D$7/1000</f>
        <v>8.539502325113304</v>
      </c>
      <c r="O36" s="435">
        <f t="shared" si="11"/>
        <v>5.3052238437849987E-2</v>
      </c>
      <c r="P36" s="435">
        <f t="shared" si="11"/>
        <v>8.4864500866754558</v>
      </c>
      <c r="Q36" s="436">
        <f t="shared" si="11"/>
        <v>8.5394619428195373</v>
      </c>
      <c r="R36" s="436">
        <f t="shared" si="11"/>
        <v>0</v>
      </c>
      <c r="S36" s="436">
        <f t="shared" si="11"/>
        <v>0</v>
      </c>
      <c r="T36" s="436">
        <f t="shared" si="11"/>
        <v>4.3098003024011712E-2</v>
      </c>
      <c r="U36" s="436">
        <f t="shared" si="11"/>
        <v>9.9542354138382663E-3</v>
      </c>
      <c r="V36" s="436">
        <f t="shared" si="11"/>
        <v>0.72254019124584645</v>
      </c>
      <c r="W36" s="436">
        <f t="shared" si="11"/>
        <v>0</v>
      </c>
      <c r="X36" s="436">
        <f t="shared" si="11"/>
        <v>7.7639098954296077</v>
      </c>
      <c r="Y36" s="436">
        <f t="shared" si="9"/>
        <v>0</v>
      </c>
      <c r="Z36" s="437">
        <f t="shared" si="10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1226</v>
      </c>
      <c r="J37" s="433" t="s">
        <v>1227</v>
      </c>
      <c r="K37" s="431" t="s">
        <v>1099</v>
      </c>
      <c r="L37" s="434" t="s">
        <v>7</v>
      </c>
      <c r="M37" s="434" t="str">
        <f>+'5. ANH'!J15</f>
        <v>Doesn't Apply</v>
      </c>
      <c r="N37" s="435">
        <f t="shared" ref="N37:X37" si="12">+N7*365*$D$7/1000</f>
        <v>13.106881088314344</v>
      </c>
      <c r="O37" s="435">
        <f t="shared" si="12"/>
        <v>0</v>
      </c>
      <c r="P37" s="435">
        <f t="shared" si="12"/>
        <v>11.790499076061607</v>
      </c>
      <c r="Q37" s="436">
        <f t="shared" si="12"/>
        <v>13.106881088314344</v>
      </c>
      <c r="R37" s="436">
        <f t="shared" si="12"/>
        <v>0</v>
      </c>
      <c r="S37" s="436">
        <f t="shared" si="12"/>
        <v>0</v>
      </c>
      <c r="T37" s="436">
        <f t="shared" si="12"/>
        <v>0</v>
      </c>
      <c r="U37" s="436">
        <f t="shared" si="12"/>
        <v>0</v>
      </c>
      <c r="V37" s="436">
        <f t="shared" si="12"/>
        <v>13.106881088314344</v>
      </c>
      <c r="W37" s="436">
        <f t="shared" si="12"/>
        <v>1.3163820122527377</v>
      </c>
      <c r="X37" s="436">
        <f t="shared" si="12"/>
        <v>0</v>
      </c>
      <c r="Y37" s="436">
        <f t="shared" si="9"/>
        <v>0</v>
      </c>
      <c r="Z37" s="437">
        <f t="shared" si="10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1226</v>
      </c>
      <c r="J38" s="433" t="s">
        <v>1229</v>
      </c>
      <c r="K38" s="431">
        <v>48</v>
      </c>
      <c r="L38" s="434"/>
      <c r="M38" s="434" t="str">
        <f>+'5. ANH'!J16</f>
        <v>Light Oil</v>
      </c>
      <c r="N38" s="435">
        <f t="shared" ref="N38:X38" si="13">+N8*365*$D$7/1000</f>
        <v>239.32819800561739</v>
      </c>
      <c r="O38" s="435">
        <f t="shared" si="13"/>
        <v>160.99168674237271</v>
      </c>
      <c r="P38" s="435">
        <f t="shared" si="13"/>
        <v>75.291444019366878</v>
      </c>
      <c r="Q38" s="436">
        <f t="shared" si="13"/>
        <v>239.32817781447051</v>
      </c>
      <c r="R38" s="436">
        <f t="shared" si="13"/>
        <v>0</v>
      </c>
      <c r="S38" s="436">
        <f t="shared" si="13"/>
        <v>146.06287770612269</v>
      </c>
      <c r="T38" s="436">
        <f t="shared" si="13"/>
        <v>14.103990590462988</v>
      </c>
      <c r="U38" s="436">
        <f t="shared" si="13"/>
        <v>0.82481844578701846</v>
      </c>
      <c r="V38" s="436">
        <f t="shared" si="13"/>
        <v>6.0840367613967006</v>
      </c>
      <c r="W38" s="436">
        <f t="shared" si="13"/>
        <v>3.0450672438778423</v>
      </c>
      <c r="X38" s="436">
        <f t="shared" si="13"/>
        <v>72.252474501848027</v>
      </c>
      <c r="Y38" s="436">
        <f t="shared" si="9"/>
        <v>22.733323234776581</v>
      </c>
      <c r="Z38" s="437">
        <f t="shared" si="10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1226</v>
      </c>
      <c r="J39" s="433" t="s">
        <v>1231</v>
      </c>
      <c r="K39" s="431">
        <v>52</v>
      </c>
      <c r="L39" s="434"/>
      <c r="M39" s="434" t="str">
        <f>+'5. ANH'!J17</f>
        <v>Light Oil</v>
      </c>
      <c r="N39" s="435">
        <f t="shared" ref="N39:X39" si="14">+N9*365*$D$7/1000</f>
        <v>102.2089585250658</v>
      </c>
      <c r="O39" s="435">
        <f t="shared" si="14"/>
        <v>30.216717619832895</v>
      </c>
      <c r="P39" s="435">
        <f t="shared" si="14"/>
        <v>60.807849771910249</v>
      </c>
      <c r="Q39" s="436">
        <f t="shared" si="14"/>
        <v>102.20910995866744</v>
      </c>
      <c r="R39" s="436">
        <f t="shared" si="14"/>
        <v>0</v>
      </c>
      <c r="S39" s="436">
        <f t="shared" si="14"/>
        <v>18.608807085043786</v>
      </c>
      <c r="T39" s="436">
        <f t="shared" si="14"/>
        <v>11.187076555858232</v>
      </c>
      <c r="U39" s="436">
        <f t="shared" si="14"/>
        <v>0.42083397893088031</v>
      </c>
      <c r="V39" s="436">
        <f t="shared" si="14"/>
        <v>11.193699252036202</v>
      </c>
      <c r="W39" s="436">
        <f t="shared" si="14"/>
        <v>11.184391133322654</v>
      </c>
      <c r="X39" s="436">
        <f t="shared" si="14"/>
        <v>60.798541653196693</v>
      </c>
      <c r="Y39" s="436">
        <f t="shared" si="9"/>
        <v>7.0712088472532377</v>
      </c>
      <c r="Z39" s="437">
        <f t="shared" si="10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1226</v>
      </c>
      <c r="J40" s="433" t="s">
        <v>1233</v>
      </c>
      <c r="K40" s="431">
        <v>46</v>
      </c>
      <c r="L40" s="434"/>
      <c r="M40" s="434" t="str">
        <f>+'5. ANH'!J18</f>
        <v>Light Oil</v>
      </c>
      <c r="N40" s="435">
        <f t="shared" ref="N40:X40" si="15">+N10*365*$D$7/1000</f>
        <v>160.44027661654269</v>
      </c>
      <c r="O40" s="435">
        <f t="shared" si="15"/>
        <v>86.793482275469458</v>
      </c>
      <c r="P40" s="435">
        <f t="shared" si="15"/>
        <v>73.646794341073218</v>
      </c>
      <c r="Q40" s="436">
        <f t="shared" si="15"/>
        <v>160.44018575638168</v>
      </c>
      <c r="R40" s="436">
        <f t="shared" si="15"/>
        <v>0</v>
      </c>
      <c r="S40" s="436">
        <f t="shared" si="15"/>
        <v>82.998717747786728</v>
      </c>
      <c r="T40" s="436">
        <f t="shared" si="15"/>
        <v>3.345117782148316</v>
      </c>
      <c r="U40" s="436">
        <f t="shared" si="15"/>
        <v>0.44964674553442446</v>
      </c>
      <c r="V40" s="436">
        <f t="shared" si="15"/>
        <v>52.360166687252182</v>
      </c>
      <c r="W40" s="436">
        <f t="shared" si="15"/>
        <v>0</v>
      </c>
      <c r="X40" s="436">
        <f t="shared" si="15"/>
        <v>21.286627653821029</v>
      </c>
      <c r="Y40" s="436">
        <f t="shared" si="9"/>
        <v>60.007782289723188</v>
      </c>
      <c r="Z40" s="437">
        <f t="shared" si="10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1226</v>
      </c>
      <c r="J41" s="433" t="s">
        <v>1234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6">+N11*365*$D$7/1000</f>
        <v>61.393403127121232</v>
      </c>
      <c r="O41" s="435">
        <f t="shared" si="16"/>
        <v>61.393403127121232</v>
      </c>
      <c r="P41" s="435">
        <f t="shared" si="16"/>
        <v>0</v>
      </c>
      <c r="Q41" s="436">
        <f t="shared" si="16"/>
        <v>61.3933728404009</v>
      </c>
      <c r="R41" s="436">
        <f t="shared" si="16"/>
        <v>0</v>
      </c>
      <c r="S41" s="436">
        <f t="shared" si="16"/>
        <v>59.623921683216899</v>
      </c>
      <c r="T41" s="436">
        <f t="shared" si="16"/>
        <v>0.2018105131061125</v>
      </c>
      <c r="U41" s="436">
        <f t="shared" si="16"/>
        <v>1.5676709307982222</v>
      </c>
      <c r="V41" s="436">
        <f t="shared" si="16"/>
        <v>0</v>
      </c>
      <c r="W41" s="436">
        <f t="shared" si="16"/>
        <v>0</v>
      </c>
      <c r="X41" s="436">
        <f t="shared" si="16"/>
        <v>0</v>
      </c>
      <c r="Y41" s="436">
        <f t="shared" si="9"/>
        <v>17.796808939248596</v>
      </c>
      <c r="Z41" s="437">
        <f t="shared" si="10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1226</v>
      </c>
      <c r="J42" s="433" t="s">
        <v>1236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7">+N12*365*$D$7/1000</f>
        <v>0</v>
      </c>
      <c r="O42" s="435">
        <f t="shared" si="17"/>
        <v>0</v>
      </c>
      <c r="P42" s="435">
        <f t="shared" si="17"/>
        <v>0</v>
      </c>
      <c r="Q42" s="436">
        <f t="shared" si="17"/>
        <v>0</v>
      </c>
      <c r="R42" s="436">
        <f t="shared" si="17"/>
        <v>0</v>
      </c>
      <c r="S42" s="436">
        <f t="shared" si="17"/>
        <v>0</v>
      </c>
      <c r="T42" s="436">
        <f t="shared" si="17"/>
        <v>0</v>
      </c>
      <c r="U42" s="436">
        <f t="shared" si="17"/>
        <v>0</v>
      </c>
      <c r="V42" s="436">
        <f t="shared" si="17"/>
        <v>0</v>
      </c>
      <c r="W42" s="436">
        <f t="shared" si="17"/>
        <v>0</v>
      </c>
      <c r="X42" s="436">
        <f t="shared" si="17"/>
        <v>0</v>
      </c>
      <c r="Y42" s="436">
        <f t="shared" si="9"/>
        <v>265.08224689210181</v>
      </c>
      <c r="Z42" s="437">
        <f t="shared" si="10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1226</v>
      </c>
      <c r="J43" s="433" t="s">
        <v>1238</v>
      </c>
      <c r="K43" s="431">
        <v>13.7</v>
      </c>
      <c r="L43" s="434"/>
      <c r="M43" s="434" t="str">
        <f>+'5. ANH'!J21</f>
        <v>Heavy Oil</v>
      </c>
      <c r="N43" s="435">
        <f t="shared" ref="N43:X43" si="18">+N13*365*$D$7/1000</f>
        <v>0</v>
      </c>
      <c r="O43" s="435">
        <f t="shared" si="18"/>
        <v>0</v>
      </c>
      <c r="P43" s="435">
        <f t="shared" si="18"/>
        <v>0</v>
      </c>
      <c r="Q43" s="436">
        <f t="shared" si="18"/>
        <v>0</v>
      </c>
      <c r="R43" s="436">
        <f t="shared" si="18"/>
        <v>0</v>
      </c>
      <c r="S43" s="436">
        <f t="shared" si="18"/>
        <v>0</v>
      </c>
      <c r="T43" s="436">
        <f t="shared" si="18"/>
        <v>0</v>
      </c>
      <c r="U43" s="436">
        <f t="shared" si="18"/>
        <v>0</v>
      </c>
      <c r="V43" s="436">
        <f t="shared" si="18"/>
        <v>0</v>
      </c>
      <c r="W43" s="436">
        <f t="shared" si="18"/>
        <v>0</v>
      </c>
      <c r="X43" s="436">
        <f t="shared" si="18"/>
        <v>0</v>
      </c>
      <c r="Y43" s="436">
        <f t="shared" si="9"/>
        <v>253.41187670697005</v>
      </c>
      <c r="Z43" s="437">
        <f t="shared" si="10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1226</v>
      </c>
      <c r="J44" s="433" t="s">
        <v>1240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19">+N14*365*$D$7/1000</f>
        <v>1.3978936722236606</v>
      </c>
      <c r="O44" s="435">
        <f t="shared" si="19"/>
        <v>1.3978936722236606</v>
      </c>
      <c r="P44" s="435">
        <f t="shared" si="19"/>
        <v>0</v>
      </c>
      <c r="Q44" s="436">
        <f t="shared" si="19"/>
        <v>1.3978835766502182</v>
      </c>
      <c r="R44" s="436">
        <f t="shared" si="19"/>
        <v>0</v>
      </c>
      <c r="S44" s="436">
        <f t="shared" si="19"/>
        <v>0</v>
      </c>
      <c r="T44" s="436">
        <f t="shared" si="19"/>
        <v>0.32109980889709927</v>
      </c>
      <c r="U44" s="436">
        <f t="shared" si="19"/>
        <v>1.0767938633265612</v>
      </c>
      <c r="V44" s="436">
        <f t="shared" si="19"/>
        <v>0</v>
      </c>
      <c r="W44" s="436">
        <f t="shared" si="19"/>
        <v>0</v>
      </c>
      <c r="X44" s="436">
        <f t="shared" si="19"/>
        <v>0</v>
      </c>
      <c r="Y44" s="436">
        <f t="shared" si="9"/>
        <v>153.50718826671843</v>
      </c>
      <c r="Z44" s="437">
        <f t="shared" si="10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1226</v>
      </c>
      <c r="J45" s="433" t="s">
        <v>1241</v>
      </c>
      <c r="K45" s="431">
        <v>8</v>
      </c>
      <c r="L45" s="434"/>
      <c r="M45" s="434" t="str">
        <f>+'5. ANH'!J23</f>
        <v>Heavy Oil</v>
      </c>
      <c r="N45" s="435">
        <f t="shared" ref="N45:X45" si="20">+N15*365*$D$7/1000</f>
        <v>0.21448045777585595</v>
      </c>
      <c r="O45" s="435">
        <f t="shared" si="20"/>
        <v>0.21448045777585595</v>
      </c>
      <c r="P45" s="435">
        <f t="shared" si="20"/>
        <v>0</v>
      </c>
      <c r="Q45" s="436">
        <f t="shared" si="20"/>
        <v>0.21448045777585595</v>
      </c>
      <c r="R45" s="436">
        <f t="shared" si="20"/>
        <v>0</v>
      </c>
      <c r="S45" s="436">
        <f t="shared" si="20"/>
        <v>0</v>
      </c>
      <c r="T45" s="436">
        <f t="shared" si="20"/>
        <v>0</v>
      </c>
      <c r="U45" s="436">
        <f t="shared" si="20"/>
        <v>0.21448045777585595</v>
      </c>
      <c r="V45" s="436">
        <f t="shared" si="20"/>
        <v>0</v>
      </c>
      <c r="W45" s="436">
        <f t="shared" si="20"/>
        <v>0</v>
      </c>
      <c r="X45" s="436">
        <f t="shared" si="20"/>
        <v>0</v>
      </c>
      <c r="Y45" s="436">
        <f t="shared" si="9"/>
        <v>43.895597705669182</v>
      </c>
      <c r="Z45" s="437">
        <f t="shared" si="10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1226</v>
      </c>
      <c r="J46" s="433" t="s">
        <v>1243</v>
      </c>
      <c r="K46" s="431">
        <v>13.5</v>
      </c>
      <c r="L46" s="434"/>
      <c r="M46" s="434" t="str">
        <f>+'5. ANH'!J24</f>
        <v>Heavy Oil</v>
      </c>
      <c r="N46" s="435">
        <f t="shared" ref="N46:X46" si="21">+N16*365*$D$7/1000</f>
        <v>0.43874352621703561</v>
      </c>
      <c r="O46" s="435">
        <f t="shared" si="21"/>
        <v>5.7140945681870784E-3</v>
      </c>
      <c r="P46" s="435">
        <f t="shared" si="21"/>
        <v>0.23786180586758957</v>
      </c>
      <c r="Q46" s="436">
        <f t="shared" si="21"/>
        <v>0.4388141952311298</v>
      </c>
      <c r="R46" s="436">
        <f t="shared" si="21"/>
        <v>0</v>
      </c>
      <c r="S46" s="436">
        <f t="shared" si="21"/>
        <v>0</v>
      </c>
      <c r="T46" s="436">
        <f t="shared" si="21"/>
        <v>5.7140945681870784E-3</v>
      </c>
      <c r="U46" s="436">
        <f t="shared" si="21"/>
        <v>0</v>
      </c>
      <c r="V46" s="436">
        <f t="shared" si="21"/>
        <v>0.4330294316488485</v>
      </c>
      <c r="W46" s="436">
        <f t="shared" si="21"/>
        <v>0.19516762578125896</v>
      </c>
      <c r="X46" s="436">
        <f t="shared" si="21"/>
        <v>0</v>
      </c>
      <c r="Y46" s="436">
        <f t="shared" si="9"/>
        <v>8.7564836170076354</v>
      </c>
      <c r="Z46" s="437">
        <f t="shared" si="10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1245</v>
      </c>
      <c r="J47" s="433" t="s">
        <v>1244</v>
      </c>
      <c r="K47" s="431">
        <v>35</v>
      </c>
      <c r="L47" s="434"/>
      <c r="M47" s="434" t="str">
        <f>+'5. ANH'!J25</f>
        <v>Light Oil</v>
      </c>
      <c r="N47" s="435">
        <f t="shared" ref="N47:X47" si="22">+N17*365*$D$7/1000</f>
        <v>1.2759391450439788</v>
      </c>
      <c r="O47" s="435">
        <f t="shared" si="22"/>
        <v>1.2759391450439788</v>
      </c>
      <c r="P47" s="435">
        <f t="shared" si="22"/>
        <v>0</v>
      </c>
      <c r="Q47" s="436">
        <f t="shared" si="22"/>
        <v>1.2759391450439788</v>
      </c>
      <c r="R47" s="436">
        <f t="shared" si="22"/>
        <v>0</v>
      </c>
      <c r="S47" s="436">
        <f t="shared" si="22"/>
        <v>0</v>
      </c>
      <c r="T47" s="436">
        <f t="shared" si="22"/>
        <v>0</v>
      </c>
      <c r="U47" s="436">
        <f t="shared" si="22"/>
        <v>1.2759391450439788</v>
      </c>
      <c r="V47" s="436">
        <f t="shared" si="22"/>
        <v>0</v>
      </c>
      <c r="W47" s="436">
        <f t="shared" si="22"/>
        <v>0</v>
      </c>
      <c r="X47" s="436">
        <f t="shared" si="22"/>
        <v>0</v>
      </c>
      <c r="Y47" s="436">
        <f t="shared" si="9"/>
        <v>4.3593517548323124</v>
      </c>
      <c r="Z47" s="437">
        <f t="shared" si="10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1247</v>
      </c>
      <c r="J48" s="433" t="s">
        <v>1248</v>
      </c>
      <c r="K48" s="431">
        <v>21</v>
      </c>
      <c r="L48" s="434"/>
      <c r="M48" s="434" t="str">
        <f>+'5. ANH'!J26</f>
        <v>Medium Oil</v>
      </c>
      <c r="N48" s="435">
        <f t="shared" ref="N48:X48" si="23">+N18*365*$D$7/1000</f>
        <v>0.43827912983870243</v>
      </c>
      <c r="O48" s="435">
        <f t="shared" si="23"/>
        <v>0.43827912983870243</v>
      </c>
      <c r="P48" s="435">
        <f t="shared" si="23"/>
        <v>0</v>
      </c>
      <c r="Q48" s="436">
        <f t="shared" si="23"/>
        <v>0.43830941655902855</v>
      </c>
      <c r="R48" s="436">
        <f t="shared" si="23"/>
        <v>0</v>
      </c>
      <c r="S48" s="436">
        <f t="shared" si="23"/>
        <v>0</v>
      </c>
      <c r="T48" s="436">
        <f t="shared" si="23"/>
        <v>0.35206293264379496</v>
      </c>
      <c r="U48" s="436">
        <f t="shared" si="23"/>
        <v>8.621619719490746E-2</v>
      </c>
      <c r="V48" s="436">
        <f t="shared" si="23"/>
        <v>0</v>
      </c>
      <c r="W48" s="436">
        <f t="shared" si="23"/>
        <v>0</v>
      </c>
      <c r="X48" s="436">
        <f t="shared" si="23"/>
        <v>0</v>
      </c>
      <c r="Y48" s="436">
        <f t="shared" si="9"/>
        <v>26.927100382560717</v>
      </c>
      <c r="Z48" s="437">
        <f t="shared" si="10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1247</v>
      </c>
      <c r="J49" s="433" t="s">
        <v>1250</v>
      </c>
      <c r="K49" s="431">
        <v>12.5</v>
      </c>
      <c r="L49" s="434"/>
      <c r="M49" s="434" t="str">
        <f>+'5. ANH'!J27</f>
        <v>Heavy Oil</v>
      </c>
      <c r="N49" s="435">
        <f t="shared" ref="N49:X49" si="24">+N19*365*$D$7/1000</f>
        <v>8.7791106651863626E-2</v>
      </c>
      <c r="O49" s="435">
        <f t="shared" si="24"/>
        <v>8.7791106651863626E-2</v>
      </c>
      <c r="P49" s="435">
        <f t="shared" si="24"/>
        <v>0</v>
      </c>
      <c r="Q49" s="436">
        <f t="shared" si="24"/>
        <v>8.7801202225305658E-2</v>
      </c>
      <c r="R49" s="436">
        <f t="shared" si="24"/>
        <v>0</v>
      </c>
      <c r="S49" s="436">
        <f t="shared" si="24"/>
        <v>0</v>
      </c>
      <c r="T49" s="436">
        <f t="shared" si="24"/>
        <v>3.6990181091585597E-2</v>
      </c>
      <c r="U49" s="436">
        <f t="shared" si="24"/>
        <v>5.0800925560278022E-2</v>
      </c>
      <c r="V49" s="436">
        <f t="shared" si="24"/>
        <v>0</v>
      </c>
      <c r="W49" s="436">
        <f t="shared" si="24"/>
        <v>0</v>
      </c>
      <c r="X49" s="436">
        <f t="shared" si="24"/>
        <v>0</v>
      </c>
      <c r="Y49" s="436">
        <f t="shared" si="9"/>
        <v>3.2805677744000978</v>
      </c>
      <c r="Z49" s="437">
        <f t="shared" si="10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1247</v>
      </c>
      <c r="J50" s="433" t="s">
        <v>1252</v>
      </c>
      <c r="K50" s="431">
        <v>21</v>
      </c>
      <c r="L50" s="434"/>
      <c r="M50" s="434" t="str">
        <f>+'5. ANH'!J28</f>
        <v>Medium Oil</v>
      </c>
      <c r="N50" s="435">
        <f t="shared" ref="N50:X50" si="25">+N20*365*$D$7/1000</f>
        <v>1.8634611370761611</v>
      </c>
      <c r="O50" s="435">
        <f t="shared" si="25"/>
        <v>0.96320856653031961</v>
      </c>
      <c r="P50" s="435">
        <f t="shared" si="25"/>
        <v>0.90025257054584151</v>
      </c>
      <c r="Q50" s="436">
        <f t="shared" si="25"/>
        <v>1.8635217105168129</v>
      </c>
      <c r="R50" s="436">
        <f t="shared" si="25"/>
        <v>0</v>
      </c>
      <c r="S50" s="436">
        <f t="shared" si="25"/>
        <v>0</v>
      </c>
      <c r="T50" s="436">
        <f t="shared" si="25"/>
        <v>0.8853716952922942</v>
      </c>
      <c r="U50" s="436">
        <f t="shared" si="25"/>
        <v>7.7836871238025379E-2</v>
      </c>
      <c r="V50" s="436">
        <f t="shared" si="25"/>
        <v>0</v>
      </c>
      <c r="W50" s="436">
        <f t="shared" si="25"/>
        <v>0</v>
      </c>
      <c r="X50" s="436">
        <f t="shared" si="25"/>
        <v>0.90025257054584151</v>
      </c>
      <c r="Y50" s="436">
        <f t="shared" si="9"/>
        <v>39.659458817161386</v>
      </c>
      <c r="Z50" s="437">
        <f t="shared" si="10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1247</v>
      </c>
      <c r="J51" s="433" t="s">
        <v>1254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6">+N21*365*$D$7/1000</f>
        <v>2.497140090885289</v>
      </c>
      <c r="O51" s="435">
        <f t="shared" si="26"/>
        <v>1.1205177919039784</v>
      </c>
      <c r="P51" s="435">
        <f t="shared" si="26"/>
        <v>1.3766222989813104</v>
      </c>
      <c r="Q51" s="436">
        <f t="shared" si="26"/>
        <v>2.497140090885289</v>
      </c>
      <c r="R51" s="436">
        <f t="shared" si="26"/>
        <v>0</v>
      </c>
      <c r="S51" s="436">
        <f t="shared" si="26"/>
        <v>0</v>
      </c>
      <c r="T51" s="436">
        <f t="shared" si="26"/>
        <v>0.51468242964795996</v>
      </c>
      <c r="U51" s="436">
        <f t="shared" si="26"/>
        <v>0.60583536225601842</v>
      </c>
      <c r="V51" s="436">
        <f t="shared" si="26"/>
        <v>1.3766222989813104</v>
      </c>
      <c r="W51" s="436">
        <f t="shared" si="26"/>
        <v>0</v>
      </c>
      <c r="X51" s="436">
        <f t="shared" si="26"/>
        <v>0</v>
      </c>
      <c r="Y51" s="436">
        <f t="shared" si="9"/>
        <v>94.059349180277351</v>
      </c>
      <c r="Z51" s="437">
        <f t="shared" si="10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1256</v>
      </c>
      <c r="J52" s="433" t="s">
        <v>1257</v>
      </c>
      <c r="K52" s="431">
        <v>23</v>
      </c>
      <c r="L52" s="434"/>
      <c r="M52" s="434" t="str">
        <f>+'5. ANH'!J30</f>
        <v>Medium Oil</v>
      </c>
      <c r="N52" s="435">
        <f t="shared" ref="N52:X52" si="27">+N22*365*$D$7/1000</f>
        <v>0.71025387836690013</v>
      </c>
      <c r="O52" s="435">
        <f t="shared" si="27"/>
        <v>0.12213624750163826</v>
      </c>
      <c r="P52" s="435">
        <f t="shared" si="27"/>
        <v>0.38201649904628793</v>
      </c>
      <c r="Q52" s="436">
        <f t="shared" si="27"/>
        <v>0.71027406951378402</v>
      </c>
      <c r="R52" s="436">
        <f t="shared" si="27"/>
        <v>0</v>
      </c>
      <c r="S52" s="436">
        <f t="shared" si="27"/>
        <v>0</v>
      </c>
      <c r="T52" s="436">
        <f t="shared" si="27"/>
        <v>3.8100694170208539E-2</v>
      </c>
      <c r="U52" s="436">
        <f t="shared" si="27"/>
        <v>8.403555333142973E-2</v>
      </c>
      <c r="V52" s="436">
        <f t="shared" si="27"/>
        <v>0.58683549303812432</v>
      </c>
      <c r="W52" s="436">
        <f t="shared" si="27"/>
        <v>0.2061011318189738</v>
      </c>
      <c r="X52" s="436">
        <f t="shared" si="27"/>
        <v>1.2821378271373829E-3</v>
      </c>
      <c r="Y52" s="436">
        <f t="shared" si="9"/>
        <v>10.408512554584734</v>
      </c>
      <c r="Z52" s="437">
        <f t="shared" si="10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1256</v>
      </c>
      <c r="J53" s="433" t="s">
        <v>1259</v>
      </c>
      <c r="K53" s="431">
        <v>25.5</v>
      </c>
      <c r="L53" s="434"/>
      <c r="M53" s="434" t="str">
        <f>+'5. ANH'!J31</f>
        <v>Medium Oil</v>
      </c>
      <c r="N53" s="435">
        <f t="shared" ref="N53:X53" si="28">+N23*365*$D$7/1000</f>
        <v>0.31949461271981699</v>
      </c>
      <c r="O53" s="435">
        <f t="shared" si="28"/>
        <v>0.31949461271981699</v>
      </c>
      <c r="P53" s="435">
        <f t="shared" si="28"/>
        <v>0</v>
      </c>
      <c r="Q53" s="436">
        <f t="shared" si="28"/>
        <v>0.31951480386670106</v>
      </c>
      <c r="R53" s="436">
        <f t="shared" si="28"/>
        <v>0</v>
      </c>
      <c r="S53" s="436">
        <f t="shared" si="28"/>
        <v>0</v>
      </c>
      <c r="T53" s="436">
        <f t="shared" si="28"/>
        <v>0.16765718815173636</v>
      </c>
      <c r="U53" s="436">
        <f t="shared" si="28"/>
        <v>0.15183742456808058</v>
      </c>
      <c r="V53" s="436">
        <f t="shared" si="28"/>
        <v>0</v>
      </c>
      <c r="W53" s="436">
        <f t="shared" si="28"/>
        <v>0</v>
      </c>
      <c r="X53" s="436">
        <f t="shared" si="28"/>
        <v>0</v>
      </c>
      <c r="Y53" s="436">
        <f t="shared" si="9"/>
        <v>9.2296903712167389</v>
      </c>
      <c r="Z53" s="437">
        <f t="shared" si="10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1256</v>
      </c>
      <c r="J54" s="438" t="s">
        <v>1261</v>
      </c>
      <c r="K54" s="431">
        <v>21</v>
      </c>
      <c r="L54" s="434"/>
      <c r="M54" s="434" t="str">
        <f>+'5. ANH'!J32</f>
        <v>Medium Oil</v>
      </c>
      <c r="N54" s="435">
        <f t="shared" ref="N54:X54" si="29">+N24*365*$D$7/1000</f>
        <v>0.43874352621703561</v>
      </c>
      <c r="O54" s="435">
        <f t="shared" si="29"/>
        <v>5.7140945681870784E-3</v>
      </c>
      <c r="P54" s="435">
        <f t="shared" si="29"/>
        <v>0.23786180586758957</v>
      </c>
      <c r="Q54" s="436">
        <f t="shared" si="29"/>
        <v>0.4388141952311298</v>
      </c>
      <c r="R54" s="436">
        <f t="shared" si="29"/>
        <v>0</v>
      </c>
      <c r="S54" s="436">
        <f t="shared" si="29"/>
        <v>0</v>
      </c>
      <c r="T54" s="436">
        <f t="shared" si="29"/>
        <v>0</v>
      </c>
      <c r="U54" s="436">
        <f t="shared" si="29"/>
        <v>5.7140945681870784E-3</v>
      </c>
      <c r="V54" s="436">
        <f t="shared" si="29"/>
        <v>0.4330294316488485</v>
      </c>
      <c r="W54" s="436">
        <f t="shared" si="29"/>
        <v>0.19516762578125896</v>
      </c>
      <c r="X54" s="436">
        <f t="shared" si="29"/>
        <v>0</v>
      </c>
      <c r="Y54" s="436">
        <f t="shared" si="9"/>
        <v>8.7564836170076354</v>
      </c>
      <c r="Z54" s="437">
        <f t="shared" si="10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1264</v>
      </c>
      <c r="J55" s="440" t="s">
        <v>1265</v>
      </c>
      <c r="K55" s="431" t="s">
        <v>1099</v>
      </c>
      <c r="L55" s="434" t="s">
        <v>7</v>
      </c>
      <c r="M55" s="434" t="s">
        <v>1396</v>
      </c>
      <c r="N55" s="435">
        <f t="shared" ref="N55:X55" si="30">+N25*365*$D$7/1000</f>
        <v>1.0840525806313783</v>
      </c>
      <c r="O55" s="435">
        <f t="shared" si="30"/>
        <v>0</v>
      </c>
      <c r="P55" s="435">
        <f t="shared" si="30"/>
        <v>1.0840525806313783</v>
      </c>
      <c r="Q55" s="436">
        <f t="shared" si="30"/>
        <v>1.0840525806313783</v>
      </c>
      <c r="R55" s="436">
        <f t="shared" si="30"/>
        <v>0</v>
      </c>
      <c r="S55" s="436">
        <f t="shared" si="30"/>
        <v>0</v>
      </c>
      <c r="T55" s="436">
        <f t="shared" si="30"/>
        <v>0</v>
      </c>
      <c r="U55" s="436">
        <f t="shared" si="30"/>
        <v>0</v>
      </c>
      <c r="V55" s="436">
        <f t="shared" si="30"/>
        <v>0</v>
      </c>
      <c r="W55" s="436">
        <f t="shared" si="30"/>
        <v>0</v>
      </c>
      <c r="X55" s="436">
        <f t="shared" si="30"/>
        <v>1.0840525806313783</v>
      </c>
      <c r="Y55" s="436">
        <f t="shared" si="9"/>
        <v>0</v>
      </c>
      <c r="Z55" s="437">
        <f t="shared" si="10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1264</v>
      </c>
      <c r="J56" s="440" t="s">
        <v>1268</v>
      </c>
      <c r="K56" s="431" t="s">
        <v>1099</v>
      </c>
      <c r="L56" s="434" t="s">
        <v>7</v>
      </c>
      <c r="M56" s="434" t="s">
        <v>1396</v>
      </c>
      <c r="N56" s="435">
        <f t="shared" ref="N56:X56" si="31">+N26*365*$D$7/1000</f>
        <v>2.2925734862295029</v>
      </c>
      <c r="O56" s="435">
        <f t="shared" si="31"/>
        <v>4.8539517109264067E-2</v>
      </c>
      <c r="P56" s="435">
        <f t="shared" si="31"/>
        <v>2.2440339691202391</v>
      </c>
      <c r="Q56" s="436">
        <f t="shared" si="31"/>
        <v>2.292583581802945</v>
      </c>
      <c r="R56" s="436">
        <f t="shared" si="31"/>
        <v>0</v>
      </c>
      <c r="S56" s="436">
        <f t="shared" si="31"/>
        <v>0</v>
      </c>
      <c r="T56" s="436">
        <f t="shared" si="31"/>
        <v>4.2906187128613207E-3</v>
      </c>
      <c r="U56" s="436">
        <f t="shared" si="31"/>
        <v>4.4248898396402753E-2</v>
      </c>
      <c r="V56" s="436">
        <f t="shared" si="31"/>
        <v>0</v>
      </c>
      <c r="W56" s="436">
        <f t="shared" si="31"/>
        <v>0</v>
      </c>
      <c r="X56" s="436">
        <f t="shared" si="31"/>
        <v>2.2440339691202391</v>
      </c>
      <c r="Y56" s="537">
        <f t="shared" si="9"/>
        <v>1.3579511620070052E-2</v>
      </c>
      <c r="Z56" s="437">
        <f t="shared" si="10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1264</v>
      </c>
      <c r="J57" s="440" t="s">
        <v>1269</v>
      </c>
      <c r="K57" s="431" t="s">
        <v>1099</v>
      </c>
      <c r="L57" s="434" t="s">
        <v>7</v>
      </c>
      <c r="M57" s="434" t="s">
        <v>1396</v>
      </c>
      <c r="N57" s="435">
        <f t="shared" ref="N57:X57" si="32">+N27*365*$D$7/1000</f>
        <v>10.354312893772342</v>
      </c>
      <c r="O57" s="435">
        <f t="shared" si="32"/>
        <v>0.21674186622686989</v>
      </c>
      <c r="P57" s="435">
        <f t="shared" si="32"/>
        <v>10.137571027545471</v>
      </c>
      <c r="Q57" s="436">
        <f t="shared" si="32"/>
        <v>10.35427251147857</v>
      </c>
      <c r="R57" s="436">
        <f t="shared" si="32"/>
        <v>0</v>
      </c>
      <c r="S57" s="436">
        <f t="shared" si="32"/>
        <v>0</v>
      </c>
      <c r="T57" s="436">
        <f t="shared" si="32"/>
        <v>1.8616237427097122E-2</v>
      </c>
      <c r="U57" s="436">
        <f t="shared" si="32"/>
        <v>0.19812562879977277</v>
      </c>
      <c r="V57" s="436">
        <f t="shared" si="32"/>
        <v>0</v>
      </c>
      <c r="W57" s="436">
        <f t="shared" si="32"/>
        <v>0</v>
      </c>
      <c r="X57" s="436">
        <f t="shared" si="32"/>
        <v>10.137571027545471</v>
      </c>
      <c r="Y57" s="537">
        <f t="shared" si="9"/>
        <v>6.1343436802343387E-2</v>
      </c>
      <c r="Z57" s="437">
        <f t="shared" si="10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1410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60" t="s">
        <v>1411</v>
      </c>
      <c r="S64" s="905"/>
      <c r="T64" s="905"/>
      <c r="U64" s="905"/>
      <c r="V64" s="906"/>
      <c r="W64" s="962" t="s">
        <v>1412</v>
      </c>
      <c r="X64" s="905"/>
      <c r="Y64" s="905"/>
      <c r="Z64" s="906"/>
      <c r="AA64" s="541" t="s">
        <v>1413</v>
      </c>
      <c r="AB64" s="12" t="s">
        <v>1414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3">Y33</f>
        <v>PJ</v>
      </c>
      <c r="O65" s="14" t="str">
        <f t="shared" si="33"/>
        <v>PJ</v>
      </c>
      <c r="P65" s="542" t="s">
        <v>1415</v>
      </c>
      <c r="Q65" s="542" t="s">
        <v>59</v>
      </c>
      <c r="R65" s="543" t="str">
        <f t="shared" ref="R65:V65" si="34">T33</f>
        <v>PJ</v>
      </c>
      <c r="S65" s="543" t="str">
        <f t="shared" si="34"/>
        <v>PJ</v>
      </c>
      <c r="T65" s="543" t="str">
        <f t="shared" si="34"/>
        <v>PJ</v>
      </c>
      <c r="U65" s="543" t="str">
        <f t="shared" si="34"/>
        <v>PJ</v>
      </c>
      <c r="V65" s="543" t="str">
        <f t="shared" si="34"/>
        <v>PJ</v>
      </c>
      <c r="W65" s="544" t="s">
        <v>1415</v>
      </c>
      <c r="X65" s="544" t="s">
        <v>1415</v>
      </c>
      <c r="Y65" s="544" t="s">
        <v>1415</v>
      </c>
      <c r="Z65" s="544" t="s">
        <v>1415</v>
      </c>
      <c r="AA65" s="263" t="s">
        <v>1415</v>
      </c>
      <c r="AB65" s="439" t="s">
        <v>59</v>
      </c>
      <c r="AC65" s="439" t="s">
        <v>1416</v>
      </c>
      <c r="AD65" s="542" t="s">
        <v>59</v>
      </c>
      <c r="AE65" s="542" t="s">
        <v>1416</v>
      </c>
      <c r="AF65" s="542" t="s">
        <v>59</v>
      </c>
      <c r="AG65" s="542" t="s">
        <v>1416</v>
      </c>
      <c r="AH65" s="14" t="s">
        <v>59</v>
      </c>
      <c r="AI65" s="961" t="s">
        <v>1417</v>
      </c>
      <c r="AJ65" s="940"/>
      <c r="AK65" s="940"/>
      <c r="AL65" s="940"/>
      <c r="AM65" s="940"/>
      <c r="AN65" s="940"/>
      <c r="AO65" s="940"/>
      <c r="AP65" s="940"/>
      <c r="AQ65" s="940"/>
      <c r="AR65" s="940"/>
      <c r="AS65" s="940"/>
      <c r="AT65" s="940"/>
      <c r="AU65" s="940"/>
      <c r="AV65" s="920"/>
      <c r="AW65" s="961" t="s">
        <v>1418</v>
      </c>
      <c r="AX65" s="940"/>
      <c r="AY65" s="940"/>
      <c r="AZ65" s="940"/>
      <c r="BA65" s="940"/>
      <c r="BB65" s="940"/>
      <c r="BC65" s="940"/>
      <c r="BD65" s="940"/>
      <c r="BE65" s="940"/>
      <c r="BF65" s="940"/>
      <c r="BG65" s="940"/>
      <c r="BH65" s="940"/>
      <c r="BI65" s="940"/>
      <c r="BJ65" s="920"/>
      <c r="BK65" s="961" t="s">
        <v>1419</v>
      </c>
      <c r="BL65" s="940"/>
      <c r="BM65" s="940"/>
      <c r="BN65" s="940"/>
      <c r="BO65" s="940"/>
      <c r="BP65" s="940"/>
      <c r="BQ65" s="940"/>
      <c r="BR65" s="940"/>
      <c r="BS65" s="940"/>
      <c r="BT65" s="940"/>
      <c r="BU65" s="940"/>
      <c r="BV65" s="940"/>
      <c r="BW65" s="940"/>
      <c r="BX65" s="920"/>
      <c r="BY65" s="545"/>
      <c r="BZ65" s="545"/>
      <c r="CA65" s="545"/>
      <c r="CB65" s="546" t="s">
        <v>1417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1418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1419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1202</v>
      </c>
      <c r="J66" s="428" t="s">
        <v>1203</v>
      </c>
      <c r="K66" s="428" t="s">
        <v>1204</v>
      </c>
      <c r="L66" s="429"/>
      <c r="M66" s="428" t="str">
        <f t="shared" ref="M66:M86" si="35">M34</f>
        <v>Type of Oil producing</v>
      </c>
      <c r="N66" s="428" t="s">
        <v>1420</v>
      </c>
      <c r="O66" s="428" t="s">
        <v>1421</v>
      </c>
      <c r="P66" s="549" t="s">
        <v>1422</v>
      </c>
      <c r="Q66" s="549" t="s">
        <v>1423</v>
      </c>
      <c r="R66" s="430" t="s">
        <v>1424</v>
      </c>
      <c r="S66" s="430" t="s">
        <v>1425</v>
      </c>
      <c r="T66" s="430" t="s">
        <v>1426</v>
      </c>
      <c r="U66" s="430" t="s">
        <v>1427</v>
      </c>
      <c r="V66" s="430" t="s">
        <v>1428</v>
      </c>
      <c r="W66" s="550" t="s">
        <v>1429</v>
      </c>
      <c r="X66" s="550" t="s">
        <v>1430</v>
      </c>
      <c r="Y66" s="550" t="s">
        <v>1431</v>
      </c>
      <c r="Z66" s="550" t="s">
        <v>1432</v>
      </c>
      <c r="AA66" s="551" t="s">
        <v>1433</v>
      </c>
      <c r="AB66" s="552" t="s">
        <v>1434</v>
      </c>
      <c r="AC66" s="552" t="s">
        <v>1435</v>
      </c>
      <c r="AD66" s="549" t="s">
        <v>1436</v>
      </c>
      <c r="AE66" s="549" t="s">
        <v>1437</v>
      </c>
      <c r="AF66" s="549" t="s">
        <v>1438</v>
      </c>
      <c r="AG66" s="549" t="s">
        <v>1439</v>
      </c>
      <c r="AH66" s="553" t="s">
        <v>1440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1222</v>
      </c>
      <c r="J67" s="433" t="s">
        <v>1223</v>
      </c>
      <c r="K67" s="431" t="s">
        <v>1099</v>
      </c>
      <c r="L67" s="434" t="s">
        <v>7</v>
      </c>
      <c r="M67" s="434" t="str">
        <f t="shared" si="35"/>
        <v>Doesn't Apply</v>
      </c>
      <c r="N67" s="436">
        <f t="shared" ref="N67:O67" si="36">Y35</f>
        <v>0</v>
      </c>
      <c r="O67" s="556">
        <f t="shared" si="36"/>
        <v>60.04622961587031</v>
      </c>
      <c r="P67" s="557">
        <f>+O67/(N67+O67)</f>
        <v>1</v>
      </c>
      <c r="Q67" s="558">
        <f t="shared" ref="Q67:Q89" si="37">+V67+T67-U67</f>
        <v>57.556398720157048</v>
      </c>
      <c r="R67" s="435">
        <f t="shared" ref="R67:V67" si="38">T35</f>
        <v>2.4069462377542221</v>
      </c>
      <c r="S67" s="435">
        <f t="shared" si="38"/>
        <v>8.2884657959038696E-2</v>
      </c>
      <c r="T67" s="435">
        <f t="shared" si="38"/>
        <v>4.8961411123406373</v>
      </c>
      <c r="U67" s="435">
        <f t="shared" si="38"/>
        <v>0</v>
      </c>
      <c r="V67" s="435">
        <f t="shared" si="38"/>
        <v>52.660257607816412</v>
      </c>
      <c r="W67" s="559">
        <f t="shared" ref="W67:Y67" si="39">+IF($O67=0,"-",R67/$O67)</f>
        <v>4.0084885481603369E-2</v>
      </c>
      <c r="X67" s="559">
        <f t="shared" si="39"/>
        <v>1.3803474171362818E-3</v>
      </c>
      <c r="Y67" s="559">
        <f t="shared" si="39"/>
        <v>8.1539526189444198E-2</v>
      </c>
      <c r="Z67" s="559">
        <f t="shared" ref="Z67:Z89" si="40">+IF($O67=0,"-",V67/$O67)</f>
        <v>0.87699524091181613</v>
      </c>
      <c r="AA67" s="560">
        <f t="shared" ref="AA67:AA89" si="41">+IF($T67=0,"-",U67/$T67)</f>
        <v>0</v>
      </c>
      <c r="AB67" s="561">
        <f>+'5. GlobalData'!M6*1000*$D$21/1000</f>
        <v>175.46031657600003</v>
      </c>
      <c r="AC67" s="562">
        <f t="shared" ref="AC67:AC89" si="42">+AB67/(Q67+N67)</f>
        <v>3.0484936597423249</v>
      </c>
      <c r="AD67" s="563">
        <f t="shared" ref="AD67:AD89" si="43">+AB67*(N67/(N67+O67))</f>
        <v>0</v>
      </c>
      <c r="AE67" s="564" t="str">
        <f t="shared" ref="AE67:AE89" si="44">+IF(N67=0,"-",AD67/N67)</f>
        <v>-</v>
      </c>
      <c r="AF67" s="563">
        <f t="shared" ref="AF67:AF89" si="45">+AB67*(O67/(O67+N67))</f>
        <v>175.46031657600003</v>
      </c>
      <c r="AG67" s="565">
        <f t="shared" ref="AG67:AG89" si="46">+IF(O67=0,"-",AF67/O67)</f>
        <v>2.9220871601507783</v>
      </c>
      <c r="AH67" s="402">
        <f t="shared" ref="AH67:AH89" si="47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8">+IF(AI67="","",AI67*$AH67)</f>
        <v>60.04622961587031</v>
      </c>
      <c r="AX67" s="570">
        <f t="shared" si="48"/>
        <v>49.301323530347688</v>
      </c>
      <c r="AY67" s="570">
        <f t="shared" si="48"/>
        <v>39.114888797984648</v>
      </c>
      <c r="AZ67" s="570">
        <f t="shared" si="48"/>
        <v>32.323932309742631</v>
      </c>
      <c r="BA67" s="570">
        <f t="shared" si="48"/>
        <v>25.328171386386028</v>
      </c>
      <c r="BB67" s="570">
        <f t="shared" si="48"/>
        <v>14.834530001351803</v>
      </c>
      <c r="BC67" s="570">
        <f t="shared" si="48"/>
        <v>4.3408886163168008</v>
      </c>
      <c r="BD67" s="570">
        <f t="shared" si="48"/>
        <v>0</v>
      </c>
      <c r="BE67" s="570">
        <f t="shared" si="48"/>
        <v>0</v>
      </c>
      <c r="BF67" s="570">
        <f t="shared" si="48"/>
        <v>0</v>
      </c>
      <c r="BG67" s="570">
        <f t="shared" si="48"/>
        <v>0</v>
      </c>
      <c r="BH67" s="570">
        <f t="shared" si="48"/>
        <v>0</v>
      </c>
      <c r="BI67" s="570">
        <f t="shared" si="48"/>
        <v>0</v>
      </c>
      <c r="BJ67" s="571">
        <f t="shared" si="48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49">+IF(CB67="","",CB67*$AH67)</f>
        <v/>
      </c>
      <c r="CQ67" s="570" t="str">
        <f t="shared" si="49"/>
        <v/>
      </c>
      <c r="CR67" s="570" t="str">
        <f t="shared" si="49"/>
        <v/>
      </c>
      <c r="CS67" s="570" t="str">
        <f t="shared" si="49"/>
        <v/>
      </c>
      <c r="CT67" s="570" t="str">
        <f t="shared" si="49"/>
        <v/>
      </c>
      <c r="CU67" s="570" t="str">
        <f t="shared" si="49"/>
        <v/>
      </c>
      <c r="CV67" s="570" t="str">
        <f t="shared" si="49"/>
        <v/>
      </c>
      <c r="CW67" s="570" t="str">
        <f t="shared" si="49"/>
        <v/>
      </c>
      <c r="CX67" s="570" t="str">
        <f t="shared" si="49"/>
        <v/>
      </c>
      <c r="CY67" s="570" t="str">
        <f t="shared" si="49"/>
        <v/>
      </c>
      <c r="CZ67" s="570" t="str">
        <f t="shared" si="49"/>
        <v/>
      </c>
      <c r="DA67" s="570" t="str">
        <f t="shared" si="49"/>
        <v/>
      </c>
      <c r="DB67" s="570" t="str">
        <f t="shared" si="49"/>
        <v/>
      </c>
      <c r="DC67" s="571" t="str">
        <f t="shared" si="49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1441</v>
      </c>
      <c r="DJ67" s="573" t="s">
        <v>1441</v>
      </c>
      <c r="DK67" s="573" t="s">
        <v>1441</v>
      </c>
      <c r="DL67" s="573" t="s">
        <v>1441</v>
      </c>
      <c r="DM67" s="573" t="s">
        <v>1441</v>
      </c>
      <c r="DN67" s="573" t="s">
        <v>1441</v>
      </c>
      <c r="DO67" s="573" t="s">
        <v>1441</v>
      </c>
      <c r="DP67" s="573" t="s">
        <v>1441</v>
      </c>
      <c r="DQ67" s="574" t="s">
        <v>1441</v>
      </c>
    </row>
    <row r="68" spans="1:121" ht="15.75" customHeight="1" x14ac:dyDescent="0.25">
      <c r="I68" s="432" t="s">
        <v>1222</v>
      </c>
      <c r="J68" s="433" t="s">
        <v>1224</v>
      </c>
      <c r="K68" s="431" t="s">
        <v>1099</v>
      </c>
      <c r="L68" s="434" t="s">
        <v>7</v>
      </c>
      <c r="M68" s="434" t="str">
        <f t="shared" si="35"/>
        <v>Doesn't Apply</v>
      </c>
      <c r="N68" s="436">
        <f t="shared" ref="N68:O68" si="50">Y36</f>
        <v>0</v>
      </c>
      <c r="O68" s="556">
        <f t="shared" si="50"/>
        <v>8.539502325113304</v>
      </c>
      <c r="P68" s="557">
        <f t="shared" ref="P68:P89" si="51">+O68/(N68+O68)</f>
        <v>1</v>
      </c>
      <c r="Q68" s="558">
        <f t="shared" si="37"/>
        <v>8.486450086675454</v>
      </c>
      <c r="R68" s="435">
        <f t="shared" ref="R68:V68" si="52">T36</f>
        <v>4.3098003024011712E-2</v>
      </c>
      <c r="S68" s="435">
        <f t="shared" si="52"/>
        <v>9.9542354138382663E-3</v>
      </c>
      <c r="T68" s="435">
        <f t="shared" si="52"/>
        <v>0.72254019124584645</v>
      </c>
      <c r="U68" s="435">
        <f t="shared" si="52"/>
        <v>0</v>
      </c>
      <c r="V68" s="435">
        <f t="shared" si="52"/>
        <v>7.7639098954296077</v>
      </c>
      <c r="W68" s="559">
        <f t="shared" ref="W68:Y68" si="53">+IF($O68=0,"-",R68/$O68)</f>
        <v>5.046898681351419E-3</v>
      </c>
      <c r="X68" s="559">
        <f t="shared" si="53"/>
        <v>1.1656692667632936E-3</v>
      </c>
      <c r="Y68" s="559">
        <f t="shared" si="53"/>
        <v>8.4611510570232168E-2</v>
      </c>
      <c r="Z68" s="559">
        <f t="shared" si="40"/>
        <v>0.90917592148165316</v>
      </c>
      <c r="AA68" s="560">
        <f t="shared" si="41"/>
        <v>0</v>
      </c>
      <c r="AB68" s="561">
        <f>+'5. GlobalData'!M7*1000*$D$21/1000</f>
        <v>91.278518944000012</v>
      </c>
      <c r="AC68" s="562">
        <f t="shared" si="42"/>
        <v>10.755795180757158</v>
      </c>
      <c r="AD68" s="563">
        <f t="shared" si="43"/>
        <v>0</v>
      </c>
      <c r="AE68" s="564" t="str">
        <f t="shared" si="44"/>
        <v>-</v>
      </c>
      <c r="AF68" s="563">
        <f t="shared" si="45"/>
        <v>91.278518944000012</v>
      </c>
      <c r="AG68" s="565">
        <f t="shared" si="46"/>
        <v>10.688974072360699</v>
      </c>
      <c r="AH68" s="402">
        <f t="shared" si="47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4">+IF(AI68="","",AI68*$AH68)</f>
        <v>8.539502325113304</v>
      </c>
      <c r="AX68" s="570">
        <f t="shared" si="54"/>
        <v>6.1215702962567402</v>
      </c>
      <c r="AY68" s="570">
        <f t="shared" si="54"/>
        <v>9.1861642860328487</v>
      </c>
      <c r="AZ68" s="570">
        <f t="shared" si="54"/>
        <v>6.5979294250014515</v>
      </c>
      <c r="BA68" s="570">
        <f t="shared" si="54"/>
        <v>5.7975648334218421</v>
      </c>
      <c r="BB68" s="570">
        <f t="shared" si="54"/>
        <v>5.2673740760556509</v>
      </c>
      <c r="BC68" s="570">
        <f t="shared" si="54"/>
        <v>3.6668988156729534</v>
      </c>
      <c r="BD68" s="570">
        <f t="shared" si="54"/>
        <v>2.86729599242289</v>
      </c>
      <c r="BE68" s="570">
        <f t="shared" si="54"/>
        <v>2.3371052350566992</v>
      </c>
      <c r="BF68" s="570">
        <f t="shared" si="54"/>
        <v>1.5418190990073675</v>
      </c>
      <c r="BG68" s="570">
        <f t="shared" si="54"/>
        <v>0.74653296295810601</v>
      </c>
      <c r="BH68" s="570">
        <f t="shared" si="54"/>
        <v>0.21634220559186546</v>
      </c>
      <c r="BI68" s="570">
        <f t="shared" si="54"/>
        <v>0</v>
      </c>
      <c r="BJ68" s="571">
        <f t="shared" si="54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5">+IF(CB68="","",CB68*$AH68)</f>
        <v/>
      </c>
      <c r="CQ68" s="570" t="str">
        <f t="shared" si="55"/>
        <v/>
      </c>
      <c r="CR68" s="570" t="str">
        <f t="shared" si="55"/>
        <v/>
      </c>
      <c r="CS68" s="570" t="str">
        <f t="shared" si="55"/>
        <v/>
      </c>
      <c r="CT68" s="570" t="str">
        <f t="shared" si="55"/>
        <v/>
      </c>
      <c r="CU68" s="570" t="str">
        <f t="shared" si="55"/>
        <v/>
      </c>
      <c r="CV68" s="570" t="str">
        <f t="shared" si="55"/>
        <v/>
      </c>
      <c r="CW68" s="570" t="str">
        <f t="shared" si="55"/>
        <v/>
      </c>
      <c r="CX68" s="570" t="str">
        <f t="shared" si="55"/>
        <v/>
      </c>
      <c r="CY68" s="570" t="str">
        <f t="shared" si="55"/>
        <v/>
      </c>
      <c r="CZ68" s="570" t="str">
        <f t="shared" si="55"/>
        <v/>
      </c>
      <c r="DA68" s="570" t="str">
        <f t="shared" si="55"/>
        <v/>
      </c>
      <c r="DB68" s="570" t="str">
        <f t="shared" si="55"/>
        <v/>
      </c>
      <c r="DC68" s="571" t="str">
        <f t="shared" si="55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1441</v>
      </c>
      <c r="DN68" s="573" t="s">
        <v>1441</v>
      </c>
      <c r="DO68" s="573" t="s">
        <v>1441</v>
      </c>
      <c r="DP68" s="573" t="s">
        <v>1441</v>
      </c>
      <c r="DQ68" s="574" t="s">
        <v>1441</v>
      </c>
    </row>
    <row r="69" spans="1:121" ht="15.75" customHeight="1" x14ac:dyDescent="0.25">
      <c r="I69" s="432" t="s">
        <v>1226</v>
      </c>
      <c r="J69" s="433" t="s">
        <v>1227</v>
      </c>
      <c r="K69" s="431" t="s">
        <v>1099</v>
      </c>
      <c r="L69" s="434" t="s">
        <v>7</v>
      </c>
      <c r="M69" s="434" t="str">
        <f t="shared" si="35"/>
        <v>Doesn't Apply</v>
      </c>
      <c r="N69" s="436">
        <f t="shared" ref="N69:O69" si="56">Y37</f>
        <v>0</v>
      </c>
      <c r="O69" s="556">
        <f t="shared" si="56"/>
        <v>13.106881088314344</v>
      </c>
      <c r="P69" s="557">
        <f t="shared" si="51"/>
        <v>1</v>
      </c>
      <c r="Q69" s="558">
        <f t="shared" si="37"/>
        <v>11.790499076061606</v>
      </c>
      <c r="R69" s="435">
        <f t="shared" ref="R69:V69" si="57">T37</f>
        <v>0</v>
      </c>
      <c r="S69" s="435">
        <f t="shared" si="57"/>
        <v>0</v>
      </c>
      <c r="T69" s="435">
        <f t="shared" si="57"/>
        <v>13.106881088314344</v>
      </c>
      <c r="U69" s="435">
        <f t="shared" si="57"/>
        <v>1.3163820122527377</v>
      </c>
      <c r="V69" s="435">
        <f t="shared" si="57"/>
        <v>0</v>
      </c>
      <c r="W69" s="559">
        <f t="shared" ref="W69:Y69" si="58">+IF($O69=0,"-",R69/$O69)</f>
        <v>0</v>
      </c>
      <c r="X69" s="559">
        <f t="shared" si="58"/>
        <v>0</v>
      </c>
      <c r="Y69" s="559">
        <f t="shared" si="58"/>
        <v>1</v>
      </c>
      <c r="Z69" s="559">
        <f t="shared" si="40"/>
        <v>0</v>
      </c>
      <c r="AA69" s="560">
        <f t="shared" si="41"/>
        <v>0.10043442092614846</v>
      </c>
      <c r="AB69" s="561">
        <f>+'5. GlobalData'!M8*1000*$D$21/1000</f>
        <v>23.492594688000001</v>
      </c>
      <c r="AC69" s="562">
        <f t="shared" si="42"/>
        <v>1.9925021440099429</v>
      </c>
      <c r="AD69" s="563">
        <f t="shared" si="43"/>
        <v>0</v>
      </c>
      <c r="AE69" s="564" t="str">
        <f t="shared" si="44"/>
        <v>-</v>
      </c>
      <c r="AF69" s="563">
        <f t="shared" si="45"/>
        <v>23.492594688000001</v>
      </c>
      <c r="AG69" s="565">
        <f t="shared" si="46"/>
        <v>1.7923863449821951</v>
      </c>
      <c r="AH69" s="402">
        <f t="shared" si="47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59">+IF(AI69="","",AI69*$AH69)</f>
        <v>13.106881088314344</v>
      </c>
      <c r="AX69" s="570">
        <f t="shared" si="59"/>
        <v>12.559113345881718</v>
      </c>
      <c r="AY69" s="570">
        <f t="shared" si="59"/>
        <v>3.9984115958317328</v>
      </c>
      <c r="AZ69" s="570">
        <f t="shared" si="59"/>
        <v>2.1529908592940092</v>
      </c>
      <c r="BA69" s="570">
        <f t="shared" si="59"/>
        <v>1.0764954296470057</v>
      </c>
      <c r="BB69" s="570">
        <f t="shared" si="59"/>
        <v>0</v>
      </c>
      <c r="BC69" s="570">
        <f t="shared" si="59"/>
        <v>0</v>
      </c>
      <c r="BD69" s="570">
        <f t="shared" si="59"/>
        <v>0</v>
      </c>
      <c r="BE69" s="570">
        <f t="shared" si="59"/>
        <v>0</v>
      </c>
      <c r="BF69" s="570">
        <f t="shared" si="59"/>
        <v>0</v>
      </c>
      <c r="BG69" s="570">
        <f t="shared" si="59"/>
        <v>0</v>
      </c>
      <c r="BH69" s="570">
        <f t="shared" si="59"/>
        <v>0</v>
      </c>
      <c r="BI69" s="570">
        <f t="shared" si="59"/>
        <v>0</v>
      </c>
      <c r="BJ69" s="571">
        <f t="shared" si="59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0">+IF(CB69="","",CB69*$AH69)</f>
        <v/>
      </c>
      <c r="CQ69" s="570" t="str">
        <f t="shared" si="60"/>
        <v/>
      </c>
      <c r="CR69" s="570" t="str">
        <f t="shared" si="60"/>
        <v/>
      </c>
      <c r="CS69" s="570" t="str">
        <f t="shared" si="60"/>
        <v/>
      </c>
      <c r="CT69" s="570" t="str">
        <f t="shared" si="60"/>
        <v/>
      </c>
      <c r="CU69" s="570" t="str">
        <f t="shared" si="60"/>
        <v/>
      </c>
      <c r="CV69" s="570" t="str">
        <f t="shared" si="60"/>
        <v/>
      </c>
      <c r="CW69" s="570" t="str">
        <f t="shared" si="60"/>
        <v/>
      </c>
      <c r="CX69" s="570" t="str">
        <f t="shared" si="60"/>
        <v/>
      </c>
      <c r="CY69" s="570" t="str">
        <f t="shared" si="60"/>
        <v/>
      </c>
      <c r="CZ69" s="570" t="str">
        <f t="shared" si="60"/>
        <v/>
      </c>
      <c r="DA69" s="570" t="str">
        <f t="shared" si="60"/>
        <v/>
      </c>
      <c r="DB69" s="570" t="str">
        <f t="shared" si="60"/>
        <v/>
      </c>
      <c r="DC69" s="571" t="str">
        <f t="shared" si="60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1441</v>
      </c>
      <c r="DJ69" s="573" t="s">
        <v>1441</v>
      </c>
      <c r="DK69" s="573" t="s">
        <v>1441</v>
      </c>
      <c r="DL69" s="573" t="s">
        <v>1441</v>
      </c>
      <c r="DM69" s="573" t="s">
        <v>1441</v>
      </c>
      <c r="DN69" s="573" t="s">
        <v>1441</v>
      </c>
      <c r="DO69" s="573" t="s">
        <v>1441</v>
      </c>
      <c r="DP69" s="573" t="s">
        <v>1441</v>
      </c>
      <c r="DQ69" s="574" t="s">
        <v>1441</v>
      </c>
    </row>
    <row r="70" spans="1:121" ht="15.75" customHeight="1" x14ac:dyDescent="0.25">
      <c r="I70" s="431" t="s">
        <v>1226</v>
      </c>
      <c r="J70" s="434" t="s">
        <v>1229</v>
      </c>
      <c r="K70" s="431">
        <v>48</v>
      </c>
      <c r="L70" s="434"/>
      <c r="M70" s="434" t="str">
        <f t="shared" si="35"/>
        <v>Light Oil</v>
      </c>
      <c r="N70" s="575">
        <f t="shared" ref="N70:O70" si="61">Y38</f>
        <v>22.733323234776581</v>
      </c>
      <c r="O70" s="576">
        <f t="shared" si="61"/>
        <v>93.265320299494704</v>
      </c>
      <c r="P70" s="577">
        <f t="shared" si="51"/>
        <v>0.80402078384597564</v>
      </c>
      <c r="Q70" s="578">
        <f t="shared" si="37"/>
        <v>75.291444019366892</v>
      </c>
      <c r="R70" s="579">
        <f t="shared" ref="R70:V70" si="62">T38</f>
        <v>14.103990590462988</v>
      </c>
      <c r="S70" s="579">
        <f t="shared" si="62"/>
        <v>0.82481844578701846</v>
      </c>
      <c r="T70" s="579">
        <f t="shared" si="62"/>
        <v>6.0840367613967006</v>
      </c>
      <c r="U70" s="579">
        <f t="shared" si="62"/>
        <v>3.0450672438778423</v>
      </c>
      <c r="V70" s="579">
        <f t="shared" si="62"/>
        <v>72.252474501848027</v>
      </c>
      <c r="W70" s="580">
        <f t="shared" ref="W70:Y70" si="63">+IF($O70=0,"-",R70/$O70)</f>
        <v>0.15122438378136788</v>
      </c>
      <c r="X70" s="580">
        <f t="shared" si="63"/>
        <v>8.8437850547057762E-3</v>
      </c>
      <c r="Y70" s="580">
        <f t="shared" si="63"/>
        <v>6.5233644637251759E-2</v>
      </c>
      <c r="Z70" s="580">
        <f t="shared" si="40"/>
        <v>0.77469818652667488</v>
      </c>
      <c r="AA70" s="581">
        <f t="shared" si="41"/>
        <v>0.50050112504231359</v>
      </c>
      <c r="AB70" s="561">
        <f>+'5. GlobalData'!M9*1000*$D$21/1000</f>
        <v>1074.662101981407</v>
      </c>
      <c r="AC70" s="562">
        <f t="shared" si="42"/>
        <v>10.963169126382001</v>
      </c>
      <c r="AD70" s="563">
        <f t="shared" si="43"/>
        <v>210.61143637675241</v>
      </c>
      <c r="AE70" s="582">
        <f t="shared" si="44"/>
        <v>9.2644368006243347</v>
      </c>
      <c r="AF70" s="563">
        <f t="shared" si="45"/>
        <v>864.05066560465468</v>
      </c>
      <c r="AG70" s="565">
        <f t="shared" si="46"/>
        <v>9.2644368006243365</v>
      </c>
      <c r="AH70" s="402">
        <f t="shared" si="47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4">+IF(AI70="","",AI70*$AH70)</f>
        <v>115.99864353427128</v>
      </c>
      <c r="AX70" s="570">
        <f t="shared" si="64"/>
        <v>132.94121098469506</v>
      </c>
      <c r="AY70" s="570">
        <f t="shared" si="64"/>
        <v>119.10468340735252</v>
      </c>
      <c r="AZ70" s="570">
        <f t="shared" si="64"/>
        <v>92.378134685449467</v>
      </c>
      <c r="BA70" s="570">
        <f t="shared" si="64"/>
        <v>77.394243457523118</v>
      </c>
      <c r="BB70" s="570">
        <f t="shared" si="64"/>
        <v>54.918406615633529</v>
      </c>
      <c r="BC70" s="570">
        <f t="shared" si="64"/>
        <v>40.979716270495516</v>
      </c>
      <c r="BD70" s="570">
        <f t="shared" si="64"/>
        <v>31.687256040403504</v>
      </c>
      <c r="BE70" s="570">
        <f t="shared" si="64"/>
        <v>23.496332591475504</v>
      </c>
      <c r="BF70" s="570">
        <f t="shared" si="64"/>
        <v>11.902086442499098</v>
      </c>
      <c r="BG70" s="570">
        <f t="shared" si="64"/>
        <v>9.595573256011189</v>
      </c>
      <c r="BH70" s="570">
        <f t="shared" si="64"/>
        <v>8.0578977983525846</v>
      </c>
      <c r="BI70" s="570">
        <f t="shared" si="64"/>
        <v>7.2206857158341826</v>
      </c>
      <c r="BJ70" s="571">
        <f t="shared" si="64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5">+IF(CB70="","",CB70*$AH70)</f>
        <v/>
      </c>
      <c r="CQ70" s="570" t="str">
        <f t="shared" si="65"/>
        <v/>
      </c>
      <c r="CR70" s="570" t="str">
        <f t="shared" si="65"/>
        <v/>
      </c>
      <c r="CS70" s="570" t="str">
        <f t="shared" si="65"/>
        <v/>
      </c>
      <c r="CT70" s="570" t="str">
        <f t="shared" si="65"/>
        <v/>
      </c>
      <c r="CU70" s="570" t="str">
        <f t="shared" si="65"/>
        <v/>
      </c>
      <c r="CV70" s="570" t="str">
        <f t="shared" si="65"/>
        <v/>
      </c>
      <c r="CW70" s="570" t="str">
        <f t="shared" si="65"/>
        <v/>
      </c>
      <c r="CX70" s="570" t="str">
        <f t="shared" si="65"/>
        <v/>
      </c>
      <c r="CY70" s="570" t="str">
        <f t="shared" si="65"/>
        <v/>
      </c>
      <c r="CZ70" s="570" t="str">
        <f t="shared" si="65"/>
        <v/>
      </c>
      <c r="DA70" s="570" t="str">
        <f t="shared" si="65"/>
        <v/>
      </c>
      <c r="DB70" s="570" t="str">
        <f t="shared" si="65"/>
        <v/>
      </c>
      <c r="DC70" s="571" t="str">
        <f t="shared" si="65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1226</v>
      </c>
      <c r="J71" s="434" t="s">
        <v>1231</v>
      </c>
      <c r="K71" s="431">
        <v>52</v>
      </c>
      <c r="L71" s="434"/>
      <c r="M71" s="434" t="str">
        <f t="shared" si="35"/>
        <v>Light Oil</v>
      </c>
      <c r="N71" s="575">
        <f t="shared" ref="N71:O71" si="66">Y39</f>
        <v>7.0712088472532377</v>
      </c>
      <c r="O71" s="576">
        <f t="shared" si="66"/>
        <v>83.600151440022017</v>
      </c>
      <c r="P71" s="577">
        <f t="shared" si="51"/>
        <v>0.92201276318289005</v>
      </c>
      <c r="Q71" s="578">
        <f t="shared" si="37"/>
        <v>60.807849771910234</v>
      </c>
      <c r="R71" s="579">
        <f t="shared" ref="R71:V71" si="67">T39</f>
        <v>11.187076555858232</v>
      </c>
      <c r="S71" s="579">
        <f t="shared" si="67"/>
        <v>0.42083397893088031</v>
      </c>
      <c r="T71" s="579">
        <f t="shared" si="67"/>
        <v>11.193699252036202</v>
      </c>
      <c r="U71" s="579">
        <f t="shared" si="67"/>
        <v>11.184391133322654</v>
      </c>
      <c r="V71" s="579">
        <f t="shared" si="67"/>
        <v>60.798541653196693</v>
      </c>
      <c r="W71" s="580">
        <f t="shared" ref="W71:Y71" si="68">+IF($O71=0,"-",R71/$O71)</f>
        <v>0.13381646280729853</v>
      </c>
      <c r="X71" s="580">
        <f t="shared" si="68"/>
        <v>5.0338901506991034E-3</v>
      </c>
      <c r="Y71" s="580">
        <f t="shared" si="68"/>
        <v>0.13389568151759862</v>
      </c>
      <c r="Z71" s="580">
        <f t="shared" si="40"/>
        <v>0.72725396552440358</v>
      </c>
      <c r="AA71" s="581">
        <f t="shared" si="41"/>
        <v>0.99916845016969213</v>
      </c>
      <c r="AB71" s="561">
        <f>+'5. GlobalData'!M10*1000*$D$21/1000</f>
        <v>170.99427644000002</v>
      </c>
      <c r="AC71" s="562">
        <f t="shared" si="42"/>
        <v>2.519102060612922</v>
      </c>
      <c r="AD71" s="563">
        <f t="shared" si="43"/>
        <v>13.335371131096654</v>
      </c>
      <c r="AE71" s="582">
        <f t="shared" si="44"/>
        <v>1.8858686568530199</v>
      </c>
      <c r="AF71" s="563">
        <f t="shared" si="45"/>
        <v>157.65890530890337</v>
      </c>
      <c r="AG71" s="565">
        <f t="shared" si="46"/>
        <v>1.8858686568530199</v>
      </c>
      <c r="AH71" s="402">
        <f t="shared" si="47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69">+IF(AI71="","",AI71*$AH71)</f>
        <v>90.671360287275249</v>
      </c>
      <c r="AX71" s="570">
        <f t="shared" si="69"/>
        <v>78.345503612492678</v>
      </c>
      <c r="AY71" s="570">
        <f t="shared" si="69"/>
        <v>56.123066775775108</v>
      </c>
      <c r="AZ71" s="570">
        <f t="shared" si="69"/>
        <v>41.308108884630059</v>
      </c>
      <c r="BA71" s="570">
        <f t="shared" si="69"/>
        <v>40.386590191190876</v>
      </c>
      <c r="BB71" s="570">
        <f t="shared" si="69"/>
        <v>18.094063028502479</v>
      </c>
      <c r="BC71" s="570">
        <f t="shared" si="69"/>
        <v>4.0209028952213517</v>
      </c>
      <c r="BD71" s="570">
        <f t="shared" si="69"/>
        <v>0</v>
      </c>
      <c r="BE71" s="570">
        <f t="shared" si="69"/>
        <v>0</v>
      </c>
      <c r="BF71" s="570">
        <f t="shared" si="69"/>
        <v>0</v>
      </c>
      <c r="BG71" s="570">
        <f t="shared" si="69"/>
        <v>0</v>
      </c>
      <c r="BH71" s="570">
        <f t="shared" si="69"/>
        <v>0</v>
      </c>
      <c r="BI71" s="570">
        <f t="shared" si="69"/>
        <v>0</v>
      </c>
      <c r="BJ71" s="571">
        <f t="shared" si="69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0">+IF(CB71="","",CB71*$AH71)</f>
        <v/>
      </c>
      <c r="CQ71" s="570" t="str">
        <f t="shared" si="70"/>
        <v/>
      </c>
      <c r="CR71" s="570" t="str">
        <f t="shared" si="70"/>
        <v/>
      </c>
      <c r="CS71" s="570" t="str">
        <f t="shared" si="70"/>
        <v/>
      </c>
      <c r="CT71" s="570" t="str">
        <f t="shared" si="70"/>
        <v/>
      </c>
      <c r="CU71" s="570" t="str">
        <f t="shared" si="70"/>
        <v/>
      </c>
      <c r="CV71" s="570" t="str">
        <f t="shared" si="70"/>
        <v/>
      </c>
      <c r="CW71" s="570" t="str">
        <f t="shared" si="70"/>
        <v/>
      </c>
      <c r="CX71" s="570" t="str">
        <f t="shared" si="70"/>
        <v/>
      </c>
      <c r="CY71" s="570" t="str">
        <f t="shared" si="70"/>
        <v/>
      </c>
      <c r="CZ71" s="570" t="str">
        <f t="shared" si="70"/>
        <v/>
      </c>
      <c r="DA71" s="570" t="str">
        <f t="shared" si="70"/>
        <v/>
      </c>
      <c r="DB71" s="570" t="str">
        <f t="shared" si="70"/>
        <v/>
      </c>
      <c r="DC71" s="571" t="str">
        <f t="shared" si="70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1441</v>
      </c>
      <c r="DI71" s="573" t="s">
        <v>1441</v>
      </c>
      <c r="DJ71" s="573" t="s">
        <v>1441</v>
      </c>
      <c r="DK71" s="573" t="s">
        <v>1441</v>
      </c>
      <c r="DL71" s="573" t="s">
        <v>1441</v>
      </c>
      <c r="DM71" s="573" t="s">
        <v>1441</v>
      </c>
      <c r="DN71" s="573" t="s">
        <v>1441</v>
      </c>
      <c r="DO71" s="573" t="s">
        <v>1441</v>
      </c>
      <c r="DP71" s="573" t="s">
        <v>1441</v>
      </c>
      <c r="DQ71" s="574" t="s">
        <v>1441</v>
      </c>
    </row>
    <row r="72" spans="1:121" ht="15.75" customHeight="1" x14ac:dyDescent="0.25">
      <c r="I72" s="431" t="s">
        <v>1226</v>
      </c>
      <c r="J72" s="434" t="s">
        <v>1233</v>
      </c>
      <c r="K72" s="431">
        <v>46</v>
      </c>
      <c r="L72" s="434"/>
      <c r="M72" s="434" t="str">
        <f t="shared" si="35"/>
        <v>Light Oil</v>
      </c>
      <c r="N72" s="575">
        <f t="shared" ref="N72:O72" si="71">Y40</f>
        <v>60.007782289723188</v>
      </c>
      <c r="O72" s="576">
        <f t="shared" si="71"/>
        <v>77.441558868755962</v>
      </c>
      <c r="P72" s="577">
        <f t="shared" si="51"/>
        <v>0.56341891649713927</v>
      </c>
      <c r="Q72" s="578">
        <f t="shared" si="37"/>
        <v>73.646794341073218</v>
      </c>
      <c r="R72" s="579">
        <f t="shared" ref="R72:V72" si="72">T40</f>
        <v>3.345117782148316</v>
      </c>
      <c r="S72" s="579">
        <f t="shared" si="72"/>
        <v>0.44964674553442446</v>
      </c>
      <c r="T72" s="579">
        <f t="shared" si="72"/>
        <v>52.360166687252182</v>
      </c>
      <c r="U72" s="579">
        <f t="shared" si="72"/>
        <v>0</v>
      </c>
      <c r="V72" s="579">
        <f t="shared" si="72"/>
        <v>21.286627653821029</v>
      </c>
      <c r="W72" s="580">
        <f t="shared" ref="W72:Y72" si="73">+IF($O72=0,"-",R72/$O72)</f>
        <v>4.3195382828197612E-2</v>
      </c>
      <c r="X72" s="580">
        <f t="shared" si="73"/>
        <v>5.8062718791141981E-3</v>
      </c>
      <c r="Y72" s="580">
        <f t="shared" si="73"/>
        <v>0.67612490569810901</v>
      </c>
      <c r="Z72" s="580">
        <f t="shared" si="40"/>
        <v>0.27487343959457905</v>
      </c>
      <c r="AA72" s="581">
        <f t="shared" si="41"/>
        <v>0</v>
      </c>
      <c r="AB72" s="561">
        <f>+'5. GlobalData'!M11*1000*$D$21/1000</f>
        <v>800.21650656000008</v>
      </c>
      <c r="AC72" s="562">
        <f t="shared" si="42"/>
        <v>5.9871986933189376</v>
      </c>
      <c r="AD72" s="563">
        <f t="shared" si="43"/>
        <v>349.35938947083901</v>
      </c>
      <c r="AE72" s="582">
        <f t="shared" si="44"/>
        <v>5.8219013624616087</v>
      </c>
      <c r="AF72" s="563">
        <f t="shared" si="45"/>
        <v>450.85711708916119</v>
      </c>
      <c r="AG72" s="565">
        <f t="shared" si="46"/>
        <v>5.8219013624616087</v>
      </c>
      <c r="AH72" s="402">
        <f t="shared" si="47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4">+IF(AI72="","",AI72*$AH72)</f>
        <v>137.44934115847914</v>
      </c>
      <c r="AX72" s="570">
        <f t="shared" si="74"/>
        <v>132.01246309372399</v>
      </c>
      <c r="AY72" s="570">
        <f t="shared" si="74"/>
        <v>105.01644464224017</v>
      </c>
      <c r="AZ72" s="570">
        <f t="shared" si="74"/>
        <v>77.001349319514489</v>
      </c>
      <c r="BA72" s="570">
        <f t="shared" si="74"/>
        <v>47.101612548910218</v>
      </c>
      <c r="BB72" s="570">
        <f t="shared" si="74"/>
        <v>34.769927672183989</v>
      </c>
      <c r="BC72" s="570">
        <f t="shared" si="74"/>
        <v>24.189671897843734</v>
      </c>
      <c r="BD72" s="570">
        <f t="shared" si="74"/>
        <v>18.011882599476529</v>
      </c>
      <c r="BE72" s="570">
        <f t="shared" si="74"/>
        <v>13.585522403495304</v>
      </c>
      <c r="BF72" s="570">
        <f t="shared" si="74"/>
        <v>10.070717338719309</v>
      </c>
      <c r="BG72" s="570">
        <f t="shared" si="74"/>
        <v>6.567859133947354</v>
      </c>
      <c r="BH72" s="570">
        <f t="shared" si="74"/>
        <v>4.232620330766097</v>
      </c>
      <c r="BI72" s="570">
        <f t="shared" si="74"/>
        <v>1.8973815275848391</v>
      </c>
      <c r="BJ72" s="571">
        <f t="shared" si="74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5">+IF(CB72="","",CB72*$AH72)</f>
        <v/>
      </c>
      <c r="CQ72" s="570" t="str">
        <f t="shared" si="75"/>
        <v/>
      </c>
      <c r="CR72" s="570" t="str">
        <f t="shared" si="75"/>
        <v/>
      </c>
      <c r="CS72" s="570" t="str">
        <f t="shared" si="75"/>
        <v/>
      </c>
      <c r="CT72" s="570" t="str">
        <f t="shared" si="75"/>
        <v/>
      </c>
      <c r="CU72" s="570" t="str">
        <f t="shared" si="75"/>
        <v/>
      </c>
      <c r="CV72" s="570" t="str">
        <f t="shared" si="75"/>
        <v/>
      </c>
      <c r="CW72" s="570" t="str">
        <f t="shared" si="75"/>
        <v/>
      </c>
      <c r="CX72" s="570" t="str">
        <f t="shared" si="75"/>
        <v/>
      </c>
      <c r="CY72" s="570" t="str">
        <f t="shared" si="75"/>
        <v/>
      </c>
      <c r="CZ72" s="570" t="str">
        <f t="shared" si="75"/>
        <v/>
      </c>
      <c r="DA72" s="570" t="str">
        <f t="shared" si="75"/>
        <v/>
      </c>
      <c r="DB72" s="570" t="str">
        <f t="shared" si="75"/>
        <v/>
      </c>
      <c r="DC72" s="571" t="str">
        <f t="shared" si="75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1441</v>
      </c>
      <c r="DO72" s="573" t="s">
        <v>1441</v>
      </c>
      <c r="DP72" s="573" t="s">
        <v>1441</v>
      </c>
      <c r="DQ72" s="574" t="s">
        <v>1441</v>
      </c>
    </row>
    <row r="73" spans="1:121" ht="15.75" customHeight="1" x14ac:dyDescent="0.25">
      <c r="I73" s="431" t="s">
        <v>1226</v>
      </c>
      <c r="J73" s="434" t="s">
        <v>1234</v>
      </c>
      <c r="K73" s="431">
        <f>44+((47-44)/2)</f>
        <v>45.5</v>
      </c>
      <c r="L73" s="434"/>
      <c r="M73" s="434" t="str">
        <f t="shared" si="35"/>
        <v>Light Oil</v>
      </c>
      <c r="N73" s="575">
        <f t="shared" ref="N73:O73" si="76">Y41</f>
        <v>17.796808939248596</v>
      </c>
      <c r="O73" s="583">
        <f t="shared" si="76"/>
        <v>1.7694814439043327</v>
      </c>
      <c r="P73" s="577">
        <f t="shared" si="51"/>
        <v>9.0435203058618671E-2</v>
      </c>
      <c r="Q73" s="578">
        <f t="shared" si="37"/>
        <v>0</v>
      </c>
      <c r="R73" s="584">
        <f t="shared" ref="R73:V73" si="77">T41</f>
        <v>0.2018105131061125</v>
      </c>
      <c r="S73" s="584">
        <f t="shared" si="77"/>
        <v>1.5676709307982222</v>
      </c>
      <c r="T73" s="579">
        <f t="shared" si="77"/>
        <v>0</v>
      </c>
      <c r="U73" s="579">
        <f t="shared" si="77"/>
        <v>0</v>
      </c>
      <c r="V73" s="579">
        <f t="shared" si="77"/>
        <v>0</v>
      </c>
      <c r="W73" s="580">
        <f t="shared" ref="W73:Y73" si="78">+IF($O73=0,"-",R73/$O73)</f>
        <v>0.11405065241081071</v>
      </c>
      <c r="X73" s="580">
        <f t="shared" si="78"/>
        <v>0.88594934758919042</v>
      </c>
      <c r="Y73" s="580">
        <f t="shared" si="78"/>
        <v>0</v>
      </c>
      <c r="Z73" s="580">
        <f t="shared" si="40"/>
        <v>0</v>
      </c>
      <c r="AA73" s="581" t="str">
        <f t="shared" si="41"/>
        <v>-</v>
      </c>
      <c r="AB73" s="561">
        <f>+'5. GlobalData'!M12*1000*$D$21/1000</f>
        <v>89.866756597045551</v>
      </c>
      <c r="AC73" s="562">
        <f t="shared" si="42"/>
        <v>5.0495994480704836</v>
      </c>
      <c r="AD73" s="563">
        <f t="shared" si="43"/>
        <v>81.739638215972278</v>
      </c>
      <c r="AE73" s="582">
        <f t="shared" si="44"/>
        <v>4.5929378966195404</v>
      </c>
      <c r="AF73" s="563">
        <f t="shared" si="45"/>
        <v>8.1271183810732737</v>
      </c>
      <c r="AG73" s="565">
        <f t="shared" si="46"/>
        <v>4.5929378966195404</v>
      </c>
      <c r="AH73" s="402">
        <f t="shared" si="47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79">+IF(AI73="","",AI73*$AH73)</f>
        <v>19.566290383152928</v>
      </c>
      <c r="AX73" s="570">
        <f t="shared" si="79"/>
        <v>13.740457757961105</v>
      </c>
      <c r="AY73" s="570">
        <f t="shared" si="79"/>
        <v>11.469144829754304</v>
      </c>
      <c r="AZ73" s="570">
        <f t="shared" si="79"/>
        <v>8.3778233151679586</v>
      </c>
      <c r="BA73" s="570">
        <f t="shared" si="79"/>
        <v>5.3527514800288261</v>
      </c>
      <c r="BB73" s="570">
        <f t="shared" si="79"/>
        <v>4.170215030466454</v>
      </c>
      <c r="BC73" s="570">
        <f t="shared" si="79"/>
        <v>3.1896407819590231</v>
      </c>
      <c r="BD73" s="570">
        <f t="shared" si="79"/>
        <v>2.5359246162873696</v>
      </c>
      <c r="BE73" s="570">
        <f t="shared" si="79"/>
        <v>1.9961358460825875</v>
      </c>
      <c r="BF73" s="570">
        <f t="shared" si="79"/>
        <v>1.4240924433358944</v>
      </c>
      <c r="BG73" s="570">
        <f t="shared" si="79"/>
        <v>1.1910591344263837</v>
      </c>
      <c r="BH73" s="570">
        <f t="shared" si="79"/>
        <v>1.0357035951533768</v>
      </c>
      <c r="BI73" s="570">
        <f t="shared" si="79"/>
        <v>0.91141916373497178</v>
      </c>
      <c r="BJ73" s="571">
        <f t="shared" si="79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0">+IF(CB73="","",CB73*$AH73)</f>
        <v/>
      </c>
      <c r="CQ73" s="570" t="str">
        <f t="shared" si="80"/>
        <v/>
      </c>
      <c r="CR73" s="570" t="str">
        <f t="shared" si="80"/>
        <v/>
      </c>
      <c r="CS73" s="570" t="str">
        <f t="shared" si="80"/>
        <v/>
      </c>
      <c r="CT73" s="570" t="str">
        <f t="shared" si="80"/>
        <v/>
      </c>
      <c r="CU73" s="570" t="str">
        <f t="shared" si="80"/>
        <v/>
      </c>
      <c r="CV73" s="570" t="str">
        <f t="shared" si="80"/>
        <v/>
      </c>
      <c r="CW73" s="570" t="str">
        <f t="shared" si="80"/>
        <v/>
      </c>
      <c r="CX73" s="570" t="str">
        <f t="shared" si="80"/>
        <v/>
      </c>
      <c r="CY73" s="570" t="str">
        <f t="shared" si="80"/>
        <v/>
      </c>
      <c r="CZ73" s="570" t="str">
        <f t="shared" si="80"/>
        <v/>
      </c>
      <c r="DA73" s="570" t="str">
        <f t="shared" si="80"/>
        <v/>
      </c>
      <c r="DB73" s="570" t="str">
        <f t="shared" si="80"/>
        <v/>
      </c>
      <c r="DC73" s="571" t="str">
        <f t="shared" si="80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1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1226</v>
      </c>
      <c r="J74" s="434" t="s">
        <v>1236</v>
      </c>
      <c r="K74" s="431">
        <f>11.3+(14.4-11.3)/2</f>
        <v>12.850000000000001</v>
      </c>
      <c r="L74" s="434"/>
      <c r="M74" s="434" t="str">
        <f t="shared" si="35"/>
        <v>Heavy Oil</v>
      </c>
      <c r="N74" s="575">
        <f t="shared" ref="N74:O74" si="82">Y42</f>
        <v>265.08224689210181</v>
      </c>
      <c r="O74" s="576">
        <f t="shared" si="82"/>
        <v>0</v>
      </c>
      <c r="P74" s="577">
        <f t="shared" si="51"/>
        <v>0</v>
      </c>
      <c r="Q74" s="578">
        <f t="shared" si="37"/>
        <v>0</v>
      </c>
      <c r="R74" s="579">
        <f t="shared" ref="R74:V74" si="83">T42</f>
        <v>0</v>
      </c>
      <c r="S74" s="579">
        <f t="shared" si="83"/>
        <v>0</v>
      </c>
      <c r="T74" s="579">
        <f t="shared" si="83"/>
        <v>0</v>
      </c>
      <c r="U74" s="579">
        <f t="shared" si="83"/>
        <v>0</v>
      </c>
      <c r="V74" s="579">
        <f t="shared" si="83"/>
        <v>0</v>
      </c>
      <c r="W74" s="580" t="str">
        <f t="shared" ref="W74:Y74" si="84">+IF($O74=0,"-",R74/$O74)</f>
        <v>-</v>
      </c>
      <c r="X74" s="580" t="str">
        <f t="shared" si="84"/>
        <v>-</v>
      </c>
      <c r="Y74" s="580" t="str">
        <f t="shared" si="84"/>
        <v>-</v>
      </c>
      <c r="Z74" s="580" t="str">
        <f t="shared" si="40"/>
        <v>-</v>
      </c>
      <c r="AA74" s="581" t="str">
        <f t="shared" si="41"/>
        <v>-</v>
      </c>
      <c r="AB74" s="561">
        <f>+'5. GlobalData'!M13*1000*$D$21/1000</f>
        <v>1669.56486728</v>
      </c>
      <c r="AC74" s="562">
        <f t="shared" si="42"/>
        <v>6.2982900094383689</v>
      </c>
      <c r="AD74" s="563">
        <f t="shared" si="43"/>
        <v>1669.56486728</v>
      </c>
      <c r="AE74" s="582">
        <f t="shared" si="44"/>
        <v>6.2982900094383689</v>
      </c>
      <c r="AF74" s="563">
        <f t="shared" si="45"/>
        <v>0</v>
      </c>
      <c r="AG74" s="565" t="str">
        <f t="shared" si="46"/>
        <v>-</v>
      </c>
      <c r="AH74" s="402">
        <f t="shared" si="47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5">+IF(AI74="","",AI74*$AH74)</f>
        <v>265.08224689210181</v>
      </c>
      <c r="AX74" s="570">
        <f t="shared" si="85"/>
        <v>249.9574340063663</v>
      </c>
      <c r="AY74" s="570">
        <f t="shared" si="85"/>
        <v>200.28436431847692</v>
      </c>
      <c r="AZ74" s="570">
        <f t="shared" si="85"/>
        <v>167.1689845265507</v>
      </c>
      <c r="BA74" s="570">
        <f t="shared" si="85"/>
        <v>135.32727318816009</v>
      </c>
      <c r="BB74" s="570">
        <f t="shared" si="85"/>
        <v>87.564706180574163</v>
      </c>
      <c r="BC74" s="570">
        <f t="shared" si="85"/>
        <v>68.4596793775398</v>
      </c>
      <c r="BD74" s="570">
        <f t="shared" si="85"/>
        <v>55.722994842183546</v>
      </c>
      <c r="BE74" s="570">
        <f t="shared" si="85"/>
        <v>42.986310306828031</v>
      </c>
      <c r="BF74" s="570">
        <f t="shared" si="85"/>
        <v>23.881283503794084</v>
      </c>
      <c r="BG74" s="570">
        <f t="shared" si="85"/>
        <v>4.7762567007601335</v>
      </c>
      <c r="BH74" s="570">
        <f t="shared" si="85"/>
        <v>0</v>
      </c>
      <c r="BI74" s="570">
        <f t="shared" si="85"/>
        <v>0</v>
      </c>
      <c r="BJ74" s="571">
        <f t="shared" si="85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6">+IF(CB74="","",CB74*$AH74)</f>
        <v/>
      </c>
      <c r="CQ74" s="570" t="str">
        <f t="shared" si="86"/>
        <v/>
      </c>
      <c r="CR74" s="570" t="str">
        <f t="shared" si="86"/>
        <v/>
      </c>
      <c r="CS74" s="570" t="str">
        <f t="shared" si="86"/>
        <v/>
      </c>
      <c r="CT74" s="570" t="str">
        <f t="shared" si="86"/>
        <v/>
      </c>
      <c r="CU74" s="570" t="str">
        <f t="shared" si="86"/>
        <v/>
      </c>
      <c r="CV74" s="570" t="str">
        <f t="shared" si="86"/>
        <v/>
      </c>
      <c r="CW74" s="570" t="str">
        <f t="shared" si="86"/>
        <v/>
      </c>
      <c r="CX74" s="570" t="str">
        <f t="shared" si="86"/>
        <v/>
      </c>
      <c r="CY74" s="570" t="str">
        <f t="shared" si="86"/>
        <v/>
      </c>
      <c r="CZ74" s="570" t="str">
        <f t="shared" si="86"/>
        <v/>
      </c>
      <c r="DA74" s="570" t="str">
        <f t="shared" si="86"/>
        <v/>
      </c>
      <c r="DB74" s="570" t="str">
        <f t="shared" si="86"/>
        <v/>
      </c>
      <c r="DC74" s="571" t="str">
        <f t="shared" si="86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7">+DG74+(DI74-DG74)*(2027-2025)/(2030-2025)</f>
        <v>135.32727318816009</v>
      </c>
      <c r="DI74" s="570">
        <v>87.564706180574163</v>
      </c>
      <c r="DJ74" s="572">
        <f t="shared" si="81"/>
        <v>68.4596793775398</v>
      </c>
      <c r="DK74" s="570">
        <v>55.722994842183546</v>
      </c>
      <c r="DL74" s="573" t="s">
        <v>1441</v>
      </c>
      <c r="DM74" s="573" t="s">
        <v>1441</v>
      </c>
      <c r="DN74" s="573" t="s">
        <v>1441</v>
      </c>
      <c r="DO74" s="573" t="s">
        <v>1441</v>
      </c>
      <c r="DP74" s="573" t="s">
        <v>1441</v>
      </c>
      <c r="DQ74" s="574" t="s">
        <v>1441</v>
      </c>
    </row>
    <row r="75" spans="1:121" ht="15.75" customHeight="1" x14ac:dyDescent="0.25">
      <c r="I75" s="431" t="s">
        <v>1226</v>
      </c>
      <c r="J75" s="434" t="s">
        <v>1238</v>
      </c>
      <c r="K75" s="431">
        <v>13.7</v>
      </c>
      <c r="L75" s="434"/>
      <c r="M75" s="434" t="str">
        <f t="shared" si="35"/>
        <v>Heavy Oil</v>
      </c>
      <c r="N75" s="575">
        <f t="shared" ref="N75:O75" si="88">Y43</f>
        <v>253.41187670697005</v>
      </c>
      <c r="O75" s="576">
        <f t="shared" si="88"/>
        <v>0</v>
      </c>
      <c r="P75" s="577">
        <f t="shared" si="51"/>
        <v>0</v>
      </c>
      <c r="Q75" s="578">
        <f t="shared" si="37"/>
        <v>0</v>
      </c>
      <c r="R75" s="579">
        <f t="shared" ref="R75:V75" si="89">T43</f>
        <v>0</v>
      </c>
      <c r="S75" s="579">
        <f t="shared" si="89"/>
        <v>0</v>
      </c>
      <c r="T75" s="579">
        <f t="shared" si="89"/>
        <v>0</v>
      </c>
      <c r="U75" s="579">
        <f t="shared" si="89"/>
        <v>0</v>
      </c>
      <c r="V75" s="579">
        <f t="shared" si="89"/>
        <v>0</v>
      </c>
      <c r="W75" s="580" t="str">
        <f t="shared" ref="W75:Y75" si="90">+IF($O75=0,"-",R75/$O75)</f>
        <v>-</v>
      </c>
      <c r="X75" s="580" t="str">
        <f t="shared" si="90"/>
        <v>-</v>
      </c>
      <c r="Y75" s="580" t="str">
        <f t="shared" si="90"/>
        <v>-</v>
      </c>
      <c r="Z75" s="580" t="str">
        <f t="shared" si="40"/>
        <v>-</v>
      </c>
      <c r="AA75" s="581" t="str">
        <f t="shared" si="41"/>
        <v>-</v>
      </c>
      <c r="AB75" s="561">
        <f>+'5. GlobalData'!M14*1000*$D$21/1000</f>
        <v>2808.3748323555819</v>
      </c>
      <c r="AC75" s="562">
        <f t="shared" si="42"/>
        <v>11.082254189700091</v>
      </c>
      <c r="AD75" s="563">
        <f t="shared" si="43"/>
        <v>2808.3748323555819</v>
      </c>
      <c r="AE75" s="582">
        <f t="shared" si="44"/>
        <v>11.082254189700091</v>
      </c>
      <c r="AF75" s="563">
        <f t="shared" si="45"/>
        <v>0</v>
      </c>
      <c r="AG75" s="565" t="str">
        <f t="shared" si="46"/>
        <v>-</v>
      </c>
      <c r="AH75" s="402">
        <f t="shared" si="47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1">+IF(AI75="","",AI75*$AH75)</f>
        <v>253.41187670697005</v>
      </c>
      <c r="AX75" s="570">
        <f t="shared" si="91"/>
        <v>253.73863141463579</v>
      </c>
      <c r="AY75" s="570">
        <f t="shared" si="91"/>
        <v>201.09439133035221</v>
      </c>
      <c r="AZ75" s="570">
        <f t="shared" si="91"/>
        <v>170.91612518703496</v>
      </c>
      <c r="BA75" s="570">
        <f t="shared" si="91"/>
        <v>152.99058897831154</v>
      </c>
      <c r="BB75" s="570">
        <f t="shared" si="91"/>
        <v>126.10228466522641</v>
      </c>
      <c r="BC75" s="570">
        <f t="shared" si="91"/>
        <v>109.80051468914307</v>
      </c>
      <c r="BD75" s="570">
        <f t="shared" si="91"/>
        <v>98.932668038420843</v>
      </c>
      <c r="BE75" s="570">
        <f t="shared" si="91"/>
        <v>88.077570685563884</v>
      </c>
      <c r="BF75" s="570">
        <f t="shared" si="91"/>
        <v>71.812406576554963</v>
      </c>
      <c r="BG75" s="570">
        <f t="shared" si="91"/>
        <v>56.553999534154904</v>
      </c>
      <c r="BH75" s="570">
        <f t="shared" si="91"/>
        <v>53.726680615404732</v>
      </c>
      <c r="BI75" s="570">
        <f t="shared" si="91"/>
        <v>51.389025192843988</v>
      </c>
      <c r="BJ75" s="571">
        <f t="shared" si="91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2">+IF(CB75="","",CB75*$AH75)</f>
        <v/>
      </c>
      <c r="CQ75" s="570" t="str">
        <f t="shared" si="92"/>
        <v/>
      </c>
      <c r="CR75" s="570" t="str">
        <f t="shared" si="92"/>
        <v/>
      </c>
      <c r="CS75" s="570" t="str">
        <f t="shared" si="92"/>
        <v/>
      </c>
      <c r="CT75" s="570" t="str">
        <f t="shared" si="92"/>
        <v/>
      </c>
      <c r="CU75" s="570" t="str">
        <f t="shared" si="92"/>
        <v/>
      </c>
      <c r="CV75" s="570" t="str">
        <f t="shared" si="92"/>
        <v/>
      </c>
      <c r="CW75" s="570" t="str">
        <f t="shared" si="92"/>
        <v/>
      </c>
      <c r="CX75" s="570" t="str">
        <f t="shared" si="92"/>
        <v/>
      </c>
      <c r="CY75" s="570" t="str">
        <f t="shared" si="92"/>
        <v/>
      </c>
      <c r="CZ75" s="570" t="str">
        <f t="shared" si="92"/>
        <v/>
      </c>
      <c r="DA75" s="570" t="str">
        <f t="shared" si="92"/>
        <v/>
      </c>
      <c r="DB75" s="570" t="str">
        <f t="shared" si="92"/>
        <v/>
      </c>
      <c r="DC75" s="571" t="str">
        <f t="shared" si="92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7"/>
        <v>101.77717145046412</v>
      </c>
      <c r="DI75" s="570">
        <v>126.10228466522641</v>
      </c>
      <c r="DJ75" s="572">
        <f t="shared" si="81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1226</v>
      </c>
      <c r="J76" s="434" t="s">
        <v>1240</v>
      </c>
      <c r="K76" s="431">
        <f>7+(20-7)/2</f>
        <v>13.5</v>
      </c>
      <c r="L76" s="434"/>
      <c r="M76" s="434" t="str">
        <f t="shared" si="35"/>
        <v>Heavy Oil</v>
      </c>
      <c r="N76" s="575">
        <f t="shared" ref="N76:O76" si="93">Y44</f>
        <v>153.50718826671843</v>
      </c>
      <c r="O76" s="576">
        <f t="shared" si="93"/>
        <v>1.3978936722236606</v>
      </c>
      <c r="P76" s="577">
        <f t="shared" si="51"/>
        <v>9.0241950407712185E-3</v>
      </c>
      <c r="Q76" s="578">
        <f t="shared" si="37"/>
        <v>0</v>
      </c>
      <c r="R76" s="579">
        <f t="shared" ref="R76:V76" si="94">T44</f>
        <v>0.32109980889709927</v>
      </c>
      <c r="S76" s="579">
        <f t="shared" si="94"/>
        <v>1.0767938633265612</v>
      </c>
      <c r="T76" s="579">
        <f t="shared" si="94"/>
        <v>0</v>
      </c>
      <c r="U76" s="579">
        <f t="shared" si="94"/>
        <v>0</v>
      </c>
      <c r="V76" s="579">
        <f t="shared" si="94"/>
        <v>0</v>
      </c>
      <c r="W76" s="580">
        <f t="shared" ref="W76:Y76" si="95">+IF($O76=0,"-",R76/$O76)</f>
        <v>0.22970259847182703</v>
      </c>
      <c r="X76" s="580">
        <f t="shared" si="95"/>
        <v>0.77029740152817294</v>
      </c>
      <c r="Y76" s="580">
        <f t="shared" si="95"/>
        <v>0</v>
      </c>
      <c r="Z76" s="580">
        <f t="shared" si="40"/>
        <v>0</v>
      </c>
      <c r="AA76" s="581" t="str">
        <f t="shared" si="41"/>
        <v>-</v>
      </c>
      <c r="AB76" s="561">
        <f>+'5. GlobalData'!M15*1000*$D$21/1000</f>
        <v>1445.2840023680001</v>
      </c>
      <c r="AC76" s="562">
        <f t="shared" si="42"/>
        <v>9.4150900598662659</v>
      </c>
      <c r="AD76" s="563">
        <f t="shared" si="43"/>
        <v>1432.2414776413248</v>
      </c>
      <c r="AE76" s="582">
        <f t="shared" si="44"/>
        <v>9.3301264508396056</v>
      </c>
      <c r="AF76" s="563">
        <f t="shared" si="45"/>
        <v>13.042524726675284</v>
      </c>
      <c r="AG76" s="565">
        <f t="shared" si="46"/>
        <v>9.3301264508396038</v>
      </c>
      <c r="AH76" s="402">
        <f t="shared" si="47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6">+IF(AI76="","",AI76*$AH76)</f>
        <v>154.90508193894209</v>
      </c>
      <c r="AX76" s="570">
        <f t="shared" si="96"/>
        <v>154.72434684201744</v>
      </c>
      <c r="AY76" s="570">
        <f t="shared" si="96"/>
        <v>138.8663199640701</v>
      </c>
      <c r="AZ76" s="570">
        <f t="shared" si="96"/>
        <v>117.04626235484743</v>
      </c>
      <c r="BA76" s="570">
        <f t="shared" si="96"/>
        <v>98.014063016637479</v>
      </c>
      <c r="BB76" s="570">
        <f t="shared" si="96"/>
        <v>69.465764009322527</v>
      </c>
      <c r="BC76" s="570">
        <f t="shared" si="96"/>
        <v>58.093071312660456</v>
      </c>
      <c r="BD76" s="570">
        <f t="shared" si="96"/>
        <v>45.658770636501401</v>
      </c>
      <c r="BE76" s="570">
        <f t="shared" si="96"/>
        <v>35.000997912746357</v>
      </c>
      <c r="BF76" s="570">
        <f t="shared" si="96"/>
        <v>19.014338827113264</v>
      </c>
      <c r="BG76" s="570">
        <f t="shared" si="96"/>
        <v>9.7304444223874231</v>
      </c>
      <c r="BH76" s="570">
        <f t="shared" si="96"/>
        <v>7.6771498704377867</v>
      </c>
      <c r="BI76" s="570">
        <f t="shared" si="96"/>
        <v>5.6238553184884772</v>
      </c>
      <c r="BJ76" s="571">
        <f t="shared" si="96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7">+IF(CB76="","",CB76*$AH76)</f>
        <v/>
      </c>
      <c r="CQ76" s="570" t="str">
        <f t="shared" si="97"/>
        <v/>
      </c>
      <c r="CR76" s="570" t="str">
        <f t="shared" si="97"/>
        <v/>
      </c>
      <c r="CS76" s="570" t="str">
        <f t="shared" si="97"/>
        <v/>
      </c>
      <c r="CT76" s="570" t="str">
        <f t="shared" si="97"/>
        <v/>
      </c>
      <c r="CU76" s="570" t="str">
        <f t="shared" si="97"/>
        <v/>
      </c>
      <c r="CV76" s="570" t="str">
        <f t="shared" si="97"/>
        <v/>
      </c>
      <c r="CW76" s="570" t="str">
        <f t="shared" si="97"/>
        <v/>
      </c>
      <c r="CX76" s="570" t="str">
        <f t="shared" si="97"/>
        <v/>
      </c>
      <c r="CY76" s="570" t="str">
        <f t="shared" si="97"/>
        <v/>
      </c>
      <c r="CZ76" s="570" t="str">
        <f t="shared" si="97"/>
        <v/>
      </c>
      <c r="DA76" s="570" t="str">
        <f t="shared" si="97"/>
        <v/>
      </c>
      <c r="DB76" s="570" t="str">
        <f t="shared" si="97"/>
        <v/>
      </c>
      <c r="DC76" s="571" t="str">
        <f t="shared" si="97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7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1441</v>
      </c>
      <c r="DP76" s="573" t="s">
        <v>1441</v>
      </c>
      <c r="DQ76" s="574" t="s">
        <v>1441</v>
      </c>
    </row>
    <row r="77" spans="1:121" ht="15.75" customHeight="1" x14ac:dyDescent="0.25">
      <c r="I77" s="431" t="s">
        <v>1226</v>
      </c>
      <c r="J77" s="434" t="s">
        <v>1241</v>
      </c>
      <c r="K77" s="431">
        <v>8</v>
      </c>
      <c r="L77" s="434"/>
      <c r="M77" s="434" t="str">
        <f t="shared" si="35"/>
        <v>Heavy Oil</v>
      </c>
      <c r="N77" s="575">
        <f t="shared" ref="N77:O77" si="98">Y45</f>
        <v>43.895597705669182</v>
      </c>
      <c r="O77" s="576">
        <f t="shared" si="98"/>
        <v>0.21448045777585595</v>
      </c>
      <c r="P77" s="577">
        <f t="shared" si="51"/>
        <v>4.8623912426797849E-3</v>
      </c>
      <c r="Q77" s="578">
        <f t="shared" si="37"/>
        <v>0</v>
      </c>
      <c r="R77" s="579">
        <f t="shared" ref="R77:V77" si="99">T45</f>
        <v>0</v>
      </c>
      <c r="S77" s="579">
        <f t="shared" si="99"/>
        <v>0.21448045777585595</v>
      </c>
      <c r="T77" s="579">
        <f t="shared" si="99"/>
        <v>0</v>
      </c>
      <c r="U77" s="579">
        <f t="shared" si="99"/>
        <v>0</v>
      </c>
      <c r="V77" s="579">
        <f t="shared" si="99"/>
        <v>0</v>
      </c>
      <c r="W77" s="580">
        <f t="shared" ref="W77:Y77" si="100">+IF($O77=0,"-",R77/$O77)</f>
        <v>0</v>
      </c>
      <c r="X77" s="580">
        <f t="shared" si="100"/>
        <v>1</v>
      </c>
      <c r="Y77" s="580">
        <f t="shared" si="100"/>
        <v>0</v>
      </c>
      <c r="Z77" s="580">
        <f t="shared" si="40"/>
        <v>0</v>
      </c>
      <c r="AA77" s="581" t="str">
        <f t="shared" si="41"/>
        <v>-</v>
      </c>
      <c r="AB77" s="561">
        <f>+'5. GlobalData'!M16*1000*$D$21/1000</f>
        <v>549.81236578400001</v>
      </c>
      <c r="AC77" s="562">
        <f t="shared" si="42"/>
        <v>12.525455729538702</v>
      </c>
      <c r="AD77" s="563">
        <f t="shared" si="43"/>
        <v>547.13896295149482</v>
      </c>
      <c r="AE77" s="582">
        <f t="shared" si="44"/>
        <v>12.464552063288821</v>
      </c>
      <c r="AF77" s="563">
        <f t="shared" si="45"/>
        <v>2.6734028325051762</v>
      </c>
      <c r="AG77" s="565">
        <f t="shared" si="46"/>
        <v>12.464552063288821</v>
      </c>
      <c r="AH77" s="402">
        <f t="shared" si="47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1">+IF(AI77="","",AI77*$AH77)</f>
        <v>44.110078163445039</v>
      </c>
      <c r="AX77" s="570">
        <f t="shared" si="101"/>
        <v>22.264362144620662</v>
      </c>
      <c r="AY77" s="570">
        <f t="shared" si="101"/>
        <v>44.148136902153794</v>
      </c>
      <c r="AZ77" s="570">
        <f t="shared" si="101"/>
        <v>37.297563934578207</v>
      </c>
      <c r="BA77" s="570">
        <f t="shared" si="101"/>
        <v>32.654397812110311</v>
      </c>
      <c r="BB77" s="570">
        <f t="shared" si="101"/>
        <v>25.689648628408463</v>
      </c>
      <c r="BC77" s="570">
        <f t="shared" si="101"/>
        <v>21.122599983358072</v>
      </c>
      <c r="BD77" s="570">
        <f t="shared" si="101"/>
        <v>18.077900886657808</v>
      </c>
      <c r="BE77" s="570">
        <f t="shared" si="101"/>
        <v>15.870494041550115</v>
      </c>
      <c r="BF77" s="570">
        <f t="shared" si="101"/>
        <v>12.559383773888579</v>
      </c>
      <c r="BG77" s="570">
        <f t="shared" si="101"/>
        <v>10.390035667489647</v>
      </c>
      <c r="BH77" s="570">
        <f t="shared" si="101"/>
        <v>8.9438035965570233</v>
      </c>
      <c r="BI77" s="570">
        <f t="shared" si="101"/>
        <v>7.231160354663122</v>
      </c>
      <c r="BJ77" s="571">
        <f t="shared" si="101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2">+IF(CB77="","",CB77*$AH77)</f>
        <v/>
      </c>
      <c r="CQ77" s="570" t="str">
        <f t="shared" si="102"/>
        <v/>
      </c>
      <c r="CR77" s="570" t="str">
        <f t="shared" si="102"/>
        <v/>
      </c>
      <c r="CS77" s="570" t="str">
        <f t="shared" si="102"/>
        <v/>
      </c>
      <c r="CT77" s="570" t="str">
        <f t="shared" si="102"/>
        <v/>
      </c>
      <c r="CU77" s="570" t="str">
        <f t="shared" si="102"/>
        <v/>
      </c>
      <c r="CV77" s="570" t="str">
        <f t="shared" si="102"/>
        <v/>
      </c>
      <c r="CW77" s="570" t="str">
        <f t="shared" si="102"/>
        <v/>
      </c>
      <c r="CX77" s="570" t="str">
        <f t="shared" si="102"/>
        <v/>
      </c>
      <c r="CY77" s="570" t="str">
        <f t="shared" si="102"/>
        <v/>
      </c>
      <c r="CZ77" s="570" t="str">
        <f t="shared" si="102"/>
        <v/>
      </c>
      <c r="DA77" s="570" t="str">
        <f t="shared" si="102"/>
        <v/>
      </c>
      <c r="DB77" s="570" t="str">
        <f t="shared" si="102"/>
        <v/>
      </c>
      <c r="DC77" s="571" t="str">
        <f t="shared" si="102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7"/>
        <v>32.654397812110311</v>
      </c>
      <c r="DI77" s="570">
        <v>25.689648628408463</v>
      </c>
      <c r="DJ77" s="572">
        <f t="shared" ref="DJ77:DJ80" si="103">+DI77+(DK77-DI77)*(2033-2030)/(2035-2030)</f>
        <v>21.122599983358072</v>
      </c>
      <c r="DK77" s="570">
        <v>18.077900886657808</v>
      </c>
      <c r="DL77" s="572">
        <f t="shared" ref="DL77:DL83" si="104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1441</v>
      </c>
    </row>
    <row r="78" spans="1:121" ht="15.75" customHeight="1" x14ac:dyDescent="0.25">
      <c r="I78" s="431" t="s">
        <v>1226</v>
      </c>
      <c r="J78" s="434" t="s">
        <v>1243</v>
      </c>
      <c r="K78" s="431">
        <v>13.5</v>
      </c>
      <c r="L78" s="434"/>
      <c r="M78" s="434" t="str">
        <f t="shared" si="35"/>
        <v>Heavy Oil</v>
      </c>
      <c r="N78" s="575">
        <f t="shared" ref="N78:O78" si="105">Y46</f>
        <v>8.7564836170076354</v>
      </c>
      <c r="O78" s="575">
        <f t="shared" si="105"/>
        <v>0.43874352621703561</v>
      </c>
      <c r="P78" s="577">
        <f t="shared" si="51"/>
        <v>4.771426734578444E-2</v>
      </c>
      <c r="Q78" s="578">
        <f t="shared" si="37"/>
        <v>0.23786180586758954</v>
      </c>
      <c r="R78" s="579">
        <f t="shared" ref="R78:V78" si="106">T46</f>
        <v>5.7140945681870784E-3</v>
      </c>
      <c r="S78" s="579">
        <f t="shared" si="106"/>
        <v>0</v>
      </c>
      <c r="T78" s="579">
        <f t="shared" si="106"/>
        <v>0.4330294316488485</v>
      </c>
      <c r="U78" s="579">
        <f t="shared" si="106"/>
        <v>0.19516762578125896</v>
      </c>
      <c r="V78" s="579">
        <f t="shared" si="106"/>
        <v>0</v>
      </c>
      <c r="W78" s="580">
        <f t="shared" ref="W78:Y78" si="107">+IF($O78=0,"-",R78/$O78)</f>
        <v>1.302376952990175E-2</v>
      </c>
      <c r="X78" s="580">
        <f t="shared" si="107"/>
        <v>0</v>
      </c>
      <c r="Y78" s="580">
        <f t="shared" si="107"/>
        <v>0.98697623047009819</v>
      </c>
      <c r="Z78" s="580">
        <f t="shared" si="40"/>
        <v>0</v>
      </c>
      <c r="AA78" s="581">
        <f t="shared" si="41"/>
        <v>0.4507029118970462</v>
      </c>
      <c r="AB78" s="561">
        <f>+'5. GlobalData'!M17*1000*$D$21/1000</f>
        <v>23.676130584000003</v>
      </c>
      <c r="AC78" s="562">
        <f t="shared" si="42"/>
        <v>2.6323350361644713</v>
      </c>
      <c r="AD78" s="563">
        <f t="shared" si="43"/>
        <v>22.546441359601324</v>
      </c>
      <c r="AE78" s="582">
        <f t="shared" si="44"/>
        <v>2.5748282467872818</v>
      </c>
      <c r="AF78" s="563">
        <f t="shared" si="45"/>
        <v>1.1296892243986796</v>
      </c>
      <c r="AG78" s="565">
        <f t="shared" si="46"/>
        <v>2.5748282467872818</v>
      </c>
      <c r="AH78" s="402">
        <f t="shared" si="47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8">+IF(AI78="","",AI78*$AH78)</f>
        <v>9.1952271432246704</v>
      </c>
      <c r="AX78" s="570">
        <f t="shared" si="108"/>
        <v>7.1774766229618319</v>
      </c>
      <c r="AY78" s="570">
        <f t="shared" si="108"/>
        <v>3.1642957323075032</v>
      </c>
      <c r="AZ78" s="570">
        <f t="shared" si="108"/>
        <v>1.9957773526773965</v>
      </c>
      <c r="BA78" s="570">
        <f t="shared" si="108"/>
        <v>1.584932033120062</v>
      </c>
      <c r="BB78" s="570">
        <f t="shared" si="108"/>
        <v>0.96866405378406029</v>
      </c>
      <c r="BC78" s="570">
        <f t="shared" si="108"/>
        <v>0.35614784474023137</v>
      </c>
      <c r="BD78" s="570">
        <f t="shared" si="108"/>
        <v>0.26939479209415684</v>
      </c>
      <c r="BE78" s="570">
        <f t="shared" si="108"/>
        <v>0.21398480822274127</v>
      </c>
      <c r="BF78" s="570">
        <f t="shared" si="108"/>
        <v>0.13086983241561789</v>
      </c>
      <c r="BG78" s="570">
        <f t="shared" si="108"/>
        <v>4.7754856608500817E-2</v>
      </c>
      <c r="BH78" s="570">
        <f t="shared" si="108"/>
        <v>0</v>
      </c>
      <c r="BI78" s="570">
        <f t="shared" si="108"/>
        <v>0</v>
      </c>
      <c r="BJ78" s="571">
        <f t="shared" si="108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09">+IF(CB78="","",CB78*$AH78)</f>
        <v/>
      </c>
      <c r="CQ78" s="570" t="str">
        <f t="shared" si="109"/>
        <v/>
      </c>
      <c r="CR78" s="570" t="str">
        <f t="shared" si="109"/>
        <v/>
      </c>
      <c r="CS78" s="570" t="str">
        <f t="shared" si="109"/>
        <v/>
      </c>
      <c r="CT78" s="570" t="str">
        <f t="shared" si="109"/>
        <v/>
      </c>
      <c r="CU78" s="570" t="str">
        <f t="shared" si="109"/>
        <v/>
      </c>
      <c r="CV78" s="570" t="str">
        <f t="shared" si="109"/>
        <v/>
      </c>
      <c r="CW78" s="570" t="str">
        <f t="shared" si="109"/>
        <v/>
      </c>
      <c r="CX78" s="570" t="str">
        <f t="shared" si="109"/>
        <v/>
      </c>
      <c r="CY78" s="570" t="str">
        <f t="shared" si="109"/>
        <v/>
      </c>
      <c r="CZ78" s="570" t="str">
        <f t="shared" si="109"/>
        <v/>
      </c>
      <c r="DA78" s="570" t="str">
        <f t="shared" si="109"/>
        <v/>
      </c>
      <c r="DB78" s="570" t="str">
        <f t="shared" si="109"/>
        <v/>
      </c>
      <c r="DC78" s="571" t="str">
        <f t="shared" si="109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7"/>
        <v>1.584932033120062</v>
      </c>
      <c r="DI78" s="570">
        <v>0.96866405378406029</v>
      </c>
      <c r="DJ78" s="572">
        <f t="shared" si="103"/>
        <v>0.54910249677011824</v>
      </c>
      <c r="DK78" s="570">
        <v>0.26939479209415684</v>
      </c>
      <c r="DL78" s="572">
        <f t="shared" si="104"/>
        <v>0.21398480822274127</v>
      </c>
      <c r="DM78" s="570">
        <v>0.13086983241561789</v>
      </c>
      <c r="DN78" s="573" t="s">
        <v>1441</v>
      </c>
      <c r="DO78" s="573" t="s">
        <v>1441</v>
      </c>
      <c r="DP78" s="573" t="s">
        <v>1441</v>
      </c>
      <c r="DQ78" s="574" t="s">
        <v>1441</v>
      </c>
    </row>
    <row r="79" spans="1:121" ht="15.75" customHeight="1" x14ac:dyDescent="0.25">
      <c r="I79" s="431" t="s">
        <v>1245</v>
      </c>
      <c r="J79" s="434" t="s">
        <v>1244</v>
      </c>
      <c r="K79" s="431">
        <v>35</v>
      </c>
      <c r="L79" s="434"/>
      <c r="M79" s="434" t="str">
        <f t="shared" si="35"/>
        <v>Light Oil</v>
      </c>
      <c r="N79" s="575">
        <f t="shared" ref="N79:O79" si="110">Y47</f>
        <v>4.3593517548323124</v>
      </c>
      <c r="O79" s="576">
        <f t="shared" si="110"/>
        <v>1.2759391450439788</v>
      </c>
      <c r="P79" s="577">
        <f t="shared" si="51"/>
        <v>0.2264193930205074</v>
      </c>
      <c r="Q79" s="578">
        <f t="shared" si="37"/>
        <v>0</v>
      </c>
      <c r="R79" s="579">
        <f t="shared" ref="R79:V79" si="111">T47</f>
        <v>0</v>
      </c>
      <c r="S79" s="579">
        <f t="shared" si="111"/>
        <v>1.2759391450439788</v>
      </c>
      <c r="T79" s="579">
        <f t="shared" si="111"/>
        <v>0</v>
      </c>
      <c r="U79" s="579">
        <f t="shared" si="111"/>
        <v>0</v>
      </c>
      <c r="V79" s="579">
        <f t="shared" si="111"/>
        <v>0</v>
      </c>
      <c r="W79" s="580">
        <f t="shared" ref="W79:Y79" si="112">+IF($O79=0,"-",R79/$O79)</f>
        <v>0</v>
      </c>
      <c r="X79" s="580">
        <f t="shared" si="112"/>
        <v>1</v>
      </c>
      <c r="Y79" s="580">
        <f t="shared" si="112"/>
        <v>0</v>
      </c>
      <c r="Z79" s="580">
        <f t="shared" si="40"/>
        <v>0</v>
      </c>
      <c r="AA79" s="581" t="str">
        <f t="shared" si="41"/>
        <v>-</v>
      </c>
      <c r="AB79" s="561">
        <f>+'5. GlobalData'!M18*1000*$D$21/1000</f>
        <v>44.660401360000002</v>
      </c>
      <c r="AC79" s="562">
        <f t="shared" si="42"/>
        <v>10.244734509091689</v>
      </c>
      <c r="AD79" s="563">
        <f t="shared" si="43"/>
        <v>34.54842039201656</v>
      </c>
      <c r="AE79" s="582">
        <f t="shared" si="44"/>
        <v>7.9251279398869032</v>
      </c>
      <c r="AF79" s="563">
        <f t="shared" si="45"/>
        <v>10.111980967983444</v>
      </c>
      <c r="AG79" s="565">
        <f t="shared" si="46"/>
        <v>7.9251279398869032</v>
      </c>
      <c r="AH79" s="402">
        <f t="shared" si="47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3">+IF(AI79="","",AI79*$AH79)</f>
        <v>5.6352908998762912</v>
      </c>
      <c r="AX79" s="570">
        <f t="shared" si="113"/>
        <v>5.3251450871105153</v>
      </c>
      <c r="AY79" s="570">
        <f t="shared" si="113"/>
        <v>4.6229281525464918</v>
      </c>
      <c r="AZ79" s="570">
        <f t="shared" si="113"/>
        <v>4.1547835295038089</v>
      </c>
      <c r="BA79" s="570">
        <f t="shared" si="113"/>
        <v>3.4993810572440527</v>
      </c>
      <c r="BB79" s="570">
        <f t="shared" si="113"/>
        <v>2.5162773488544192</v>
      </c>
      <c r="BC79" s="570">
        <f t="shared" si="113"/>
        <v>2.0247254946596041</v>
      </c>
      <c r="BD79" s="570">
        <f t="shared" si="113"/>
        <v>1.6970242585297266</v>
      </c>
      <c r="BE79" s="570">
        <f t="shared" si="113"/>
        <v>1.4629519470083854</v>
      </c>
      <c r="BF79" s="570">
        <f t="shared" si="113"/>
        <v>1.1118434797263739</v>
      </c>
      <c r="BG79" s="570">
        <f t="shared" si="113"/>
        <v>0.99480732396570282</v>
      </c>
      <c r="BH79" s="570">
        <f t="shared" si="113"/>
        <v>0.9167832201252627</v>
      </c>
      <c r="BI79" s="570">
        <f t="shared" si="113"/>
        <v>0.83875911628481048</v>
      </c>
      <c r="BJ79" s="571">
        <f t="shared" si="113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4">+IF(CB79="","",CB79*$AH79)</f>
        <v/>
      </c>
      <c r="CQ79" s="570" t="str">
        <f t="shared" si="114"/>
        <v/>
      </c>
      <c r="CR79" s="570" t="str">
        <f t="shared" si="114"/>
        <v/>
      </c>
      <c r="CS79" s="570" t="str">
        <f t="shared" si="114"/>
        <v/>
      </c>
      <c r="CT79" s="570" t="str">
        <f t="shared" si="114"/>
        <v/>
      </c>
      <c r="CU79" s="570" t="str">
        <f t="shared" si="114"/>
        <v/>
      </c>
      <c r="CV79" s="570" t="str">
        <f t="shared" si="114"/>
        <v/>
      </c>
      <c r="CW79" s="570" t="str">
        <f t="shared" si="114"/>
        <v/>
      </c>
      <c r="CX79" s="570" t="str">
        <f t="shared" si="114"/>
        <v/>
      </c>
      <c r="CY79" s="570" t="str">
        <f t="shared" si="114"/>
        <v/>
      </c>
      <c r="CZ79" s="570" t="str">
        <f t="shared" si="114"/>
        <v/>
      </c>
      <c r="DA79" s="570" t="str">
        <f t="shared" si="114"/>
        <v/>
      </c>
      <c r="DB79" s="570" t="str">
        <f t="shared" si="114"/>
        <v/>
      </c>
      <c r="DC79" s="571" t="str">
        <f t="shared" si="114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7"/>
        <v>3.4993810572440531</v>
      </c>
      <c r="DI79" s="570">
        <v>2.5162773488544192</v>
      </c>
      <c r="DJ79" s="572">
        <f t="shared" si="103"/>
        <v>2.0247254946596036</v>
      </c>
      <c r="DK79" s="570">
        <v>1.6970242585297266</v>
      </c>
      <c r="DL79" s="572">
        <f t="shared" si="104"/>
        <v>1.4629519470083856</v>
      </c>
      <c r="DM79" s="570">
        <v>1.1118434797263739</v>
      </c>
      <c r="DN79" s="570">
        <v>0.99480732396570282</v>
      </c>
      <c r="DO79" s="573" t="s">
        <v>1441</v>
      </c>
      <c r="DP79" s="573" t="s">
        <v>1441</v>
      </c>
      <c r="DQ79" s="574" t="s">
        <v>1441</v>
      </c>
    </row>
    <row r="80" spans="1:121" ht="15.75" customHeight="1" x14ac:dyDescent="0.25">
      <c r="I80" s="431" t="s">
        <v>1247</v>
      </c>
      <c r="J80" s="434" t="s">
        <v>1248</v>
      </c>
      <c r="K80" s="431">
        <v>21</v>
      </c>
      <c r="L80" s="434"/>
      <c r="M80" s="434" t="str">
        <f t="shared" si="35"/>
        <v>Medium Oil</v>
      </c>
      <c r="N80" s="575">
        <f t="shared" ref="N80:O80" si="115">Y48</f>
        <v>26.927100382560717</v>
      </c>
      <c r="O80" s="576">
        <f t="shared" si="115"/>
        <v>0.43827912983870243</v>
      </c>
      <c r="P80" s="577">
        <f t="shared" si="51"/>
        <v>1.601582501861944E-2</v>
      </c>
      <c r="Q80" s="578">
        <f t="shared" si="37"/>
        <v>0</v>
      </c>
      <c r="R80" s="579">
        <f t="shared" ref="R80:V80" si="116">T48</f>
        <v>0.35206293264379496</v>
      </c>
      <c r="S80" s="579">
        <f t="shared" si="116"/>
        <v>8.621619719490746E-2</v>
      </c>
      <c r="T80" s="579">
        <f t="shared" si="116"/>
        <v>0</v>
      </c>
      <c r="U80" s="579">
        <f t="shared" si="116"/>
        <v>0</v>
      </c>
      <c r="V80" s="579">
        <f t="shared" si="116"/>
        <v>0</v>
      </c>
      <c r="W80" s="580">
        <f t="shared" ref="W80:Y80" si="117">+IF($O80=0,"-",R80/$O80)</f>
        <v>0.8032847303803009</v>
      </c>
      <c r="X80" s="580">
        <f t="shared" si="117"/>
        <v>0.1967152696196991</v>
      </c>
      <c r="Y80" s="580">
        <f t="shared" si="117"/>
        <v>0</v>
      </c>
      <c r="Z80" s="580">
        <f t="shared" si="40"/>
        <v>0</v>
      </c>
      <c r="AA80" s="581" t="str">
        <f t="shared" si="41"/>
        <v>-</v>
      </c>
      <c r="AB80" s="561">
        <f>+'5. GlobalData'!M19*1000*$D$21/1000</f>
        <v>187.55047520548953</v>
      </c>
      <c r="AC80" s="562">
        <f t="shared" si="42"/>
        <v>6.9651196207875481</v>
      </c>
      <c r="AD80" s="563">
        <f t="shared" si="43"/>
        <v>184.54669961243948</v>
      </c>
      <c r="AE80" s="582">
        <f t="shared" si="44"/>
        <v>6.8535674837072609</v>
      </c>
      <c r="AF80" s="563">
        <f t="shared" si="45"/>
        <v>3.0037755930500443</v>
      </c>
      <c r="AG80" s="565">
        <f t="shared" si="46"/>
        <v>6.8535674837072618</v>
      </c>
      <c r="AH80" s="402">
        <f t="shared" si="47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8">+IF(AI80="","",AI80*$AH80)</f>
        <v>27.365379512399418</v>
      </c>
      <c r="AX80" s="570">
        <f t="shared" si="118"/>
        <v>28.214405378298327</v>
      </c>
      <c r="AY80" s="570">
        <f t="shared" si="118"/>
        <v>23.187914467663987</v>
      </c>
      <c r="AZ80" s="570">
        <f t="shared" si="118"/>
        <v>18.086386423895764</v>
      </c>
      <c r="BA80" s="570">
        <f t="shared" si="118"/>
        <v>14.514847573328842</v>
      </c>
      <c r="BB80" s="570">
        <f t="shared" si="118"/>
        <v>9.1575392974784613</v>
      </c>
      <c r="BC80" s="570">
        <f t="shared" si="118"/>
        <v>7.0076274069901325</v>
      </c>
      <c r="BD80" s="570">
        <f t="shared" si="118"/>
        <v>5.5743528133312461</v>
      </c>
      <c r="BE80" s="570">
        <f t="shared" si="118"/>
        <v>4.1964559728169801</v>
      </c>
      <c r="BF80" s="570">
        <f t="shared" si="118"/>
        <v>2.129610712045356</v>
      </c>
      <c r="BG80" s="570">
        <f t="shared" si="118"/>
        <v>0.8013936387007935</v>
      </c>
      <c r="BH80" s="570">
        <f t="shared" si="118"/>
        <v>0.65153510356415978</v>
      </c>
      <c r="BI80" s="570">
        <f t="shared" si="118"/>
        <v>0.38065378640755937</v>
      </c>
      <c r="BJ80" s="571">
        <f t="shared" si="118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19">+IF(CB80="","",CB80*$AH80)</f>
        <v/>
      </c>
      <c r="CQ80" s="570" t="str">
        <f t="shared" si="119"/>
        <v/>
      </c>
      <c r="CR80" s="570" t="str">
        <f t="shared" si="119"/>
        <v/>
      </c>
      <c r="CS80" s="570" t="str">
        <f t="shared" si="119"/>
        <v/>
      </c>
      <c r="CT80" s="570" t="str">
        <f t="shared" si="119"/>
        <v/>
      </c>
      <c r="CU80" s="570" t="str">
        <f t="shared" si="119"/>
        <v/>
      </c>
      <c r="CV80" s="570" t="str">
        <f t="shared" si="119"/>
        <v/>
      </c>
      <c r="CW80" s="570" t="str">
        <f t="shared" si="119"/>
        <v/>
      </c>
      <c r="CX80" s="570" t="str">
        <f t="shared" si="119"/>
        <v/>
      </c>
      <c r="CY80" s="570" t="str">
        <f t="shared" si="119"/>
        <v/>
      </c>
      <c r="CZ80" s="570" t="str">
        <f t="shared" si="119"/>
        <v/>
      </c>
      <c r="DA80" s="570" t="str">
        <f t="shared" si="119"/>
        <v/>
      </c>
      <c r="DB80" s="570" t="str">
        <f t="shared" si="119"/>
        <v/>
      </c>
      <c r="DC80" s="571" t="str">
        <f t="shared" si="119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7"/>
        <v>14.514847573328844</v>
      </c>
      <c r="DI80" s="570">
        <v>9.1575392974784613</v>
      </c>
      <c r="DJ80" s="572">
        <f t="shared" si="103"/>
        <v>7.0076274069901325</v>
      </c>
      <c r="DK80" s="570">
        <v>5.5743528133312461</v>
      </c>
      <c r="DL80" s="572">
        <f t="shared" si="104"/>
        <v>3.7550842645610452</v>
      </c>
      <c r="DM80" s="570">
        <v>1.026181441405744</v>
      </c>
      <c r="DN80" s="572">
        <f t="shared" ref="DN80:DN82" si="120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1441</v>
      </c>
    </row>
    <row r="81" spans="9:121" ht="15.75" customHeight="1" x14ac:dyDescent="0.25">
      <c r="I81" s="431" t="s">
        <v>1247</v>
      </c>
      <c r="J81" s="434" t="s">
        <v>1250</v>
      </c>
      <c r="K81" s="431">
        <v>12.5</v>
      </c>
      <c r="L81" s="434"/>
      <c r="M81" s="434" t="str">
        <f t="shared" si="35"/>
        <v>Heavy Oil</v>
      </c>
      <c r="N81" s="575">
        <f t="shared" ref="N81:O81" si="121">Y49</f>
        <v>3.2805677744000978</v>
      </c>
      <c r="O81" s="576">
        <f t="shared" si="121"/>
        <v>8.7791106651863626E-2</v>
      </c>
      <c r="P81" s="577">
        <f t="shared" si="51"/>
        <v>2.6063465845553212E-2</v>
      </c>
      <c r="Q81" s="578">
        <f t="shared" si="37"/>
        <v>0</v>
      </c>
      <c r="R81" s="579">
        <f t="shared" ref="R81:V81" si="122">T49</f>
        <v>3.6990181091585597E-2</v>
      </c>
      <c r="S81" s="579">
        <f t="shared" si="122"/>
        <v>5.0800925560278022E-2</v>
      </c>
      <c r="T81" s="579">
        <f t="shared" si="122"/>
        <v>0</v>
      </c>
      <c r="U81" s="579">
        <f t="shared" si="122"/>
        <v>0</v>
      </c>
      <c r="V81" s="579">
        <f t="shared" si="122"/>
        <v>0</v>
      </c>
      <c r="W81" s="580">
        <f t="shared" ref="W81:Y81" si="123">+IF($O81=0,"-",R81/$O81)</f>
        <v>0.42134314627414909</v>
      </c>
      <c r="X81" s="580">
        <f t="shared" si="123"/>
        <v>0.57865685372585085</v>
      </c>
      <c r="Y81" s="580">
        <f t="shared" si="123"/>
        <v>0</v>
      </c>
      <c r="Z81" s="580">
        <f t="shared" si="40"/>
        <v>0</v>
      </c>
      <c r="AA81" s="581" t="str">
        <f t="shared" si="41"/>
        <v>-</v>
      </c>
      <c r="AB81" s="561">
        <f>+'5. GlobalData'!M20*1000*$D$21/1000</f>
        <v>34.198855287999997</v>
      </c>
      <c r="AC81" s="562">
        <f t="shared" si="42"/>
        <v>10.42467573902014</v>
      </c>
      <c r="AD81" s="563">
        <f t="shared" si="43"/>
        <v>33.307514591244193</v>
      </c>
      <c r="AE81" s="582">
        <f t="shared" si="44"/>
        <v>10.152972558945223</v>
      </c>
      <c r="AF81" s="563">
        <f t="shared" si="45"/>
        <v>0.89134069675580474</v>
      </c>
      <c r="AG81" s="565">
        <f t="shared" si="46"/>
        <v>10.152972558945223</v>
      </c>
      <c r="AH81" s="402">
        <f t="shared" si="47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4">+IF(AI81="","",AI81*$AH81)</f>
        <v>3.3683588810519614</v>
      </c>
      <c r="AX81" s="570">
        <f t="shared" si="124"/>
        <v>3.0751987685605915</v>
      </c>
      <c r="AY81" s="570">
        <f t="shared" si="124"/>
        <v>3.4930679115729726</v>
      </c>
      <c r="AZ81" s="570">
        <f t="shared" si="124"/>
        <v>2.7288246831254654</v>
      </c>
      <c r="BA81" s="570">
        <f t="shared" si="124"/>
        <v>0</v>
      </c>
      <c r="BB81" s="570">
        <f t="shared" si="124"/>
        <v>0</v>
      </c>
      <c r="BC81" s="570">
        <f t="shared" si="124"/>
        <v>1.6467059785204439</v>
      </c>
      <c r="BD81" s="570">
        <f t="shared" si="124"/>
        <v>0.98038529706751343</v>
      </c>
      <c r="BE81" s="570">
        <f t="shared" si="124"/>
        <v>0.82911070247183327</v>
      </c>
      <c r="BF81" s="570">
        <f t="shared" si="124"/>
        <v>0.60219881057831304</v>
      </c>
      <c r="BG81" s="570">
        <f t="shared" si="124"/>
        <v>0.4903086312459346</v>
      </c>
      <c r="BH81" s="570">
        <f t="shared" si="124"/>
        <v>0.41571517835768235</v>
      </c>
      <c r="BI81" s="570">
        <f t="shared" si="124"/>
        <v>0.34112172546943498</v>
      </c>
      <c r="BJ81" s="571">
        <f t="shared" si="124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5">+IF(CB81="","",CB81*$AH81)</f>
        <v/>
      </c>
      <c r="CQ81" s="570" t="str">
        <f t="shared" si="125"/>
        <v/>
      </c>
      <c r="CR81" s="570" t="str">
        <f t="shared" si="125"/>
        <v/>
      </c>
      <c r="CS81" s="570" t="str">
        <f t="shared" si="125"/>
        <v/>
      </c>
      <c r="CT81" s="570" t="str">
        <f t="shared" si="125"/>
        <v/>
      </c>
      <c r="CU81" s="570" t="str">
        <f t="shared" si="125"/>
        <v/>
      </c>
      <c r="CV81" s="570" t="str">
        <f t="shared" si="125"/>
        <v/>
      </c>
      <c r="CW81" s="570" t="str">
        <f t="shared" si="125"/>
        <v/>
      </c>
      <c r="CX81" s="570" t="str">
        <f t="shared" si="125"/>
        <v/>
      </c>
      <c r="CY81" s="570" t="str">
        <f t="shared" si="125"/>
        <v/>
      </c>
      <c r="CZ81" s="570" t="str">
        <f t="shared" si="125"/>
        <v/>
      </c>
      <c r="DA81" s="570" t="str">
        <f t="shared" si="125"/>
        <v/>
      </c>
      <c r="DB81" s="570" t="str">
        <f t="shared" si="125"/>
        <v/>
      </c>
      <c r="DC81" s="571" t="str">
        <f t="shared" si="125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4"/>
        <v>0.82911070247183327</v>
      </c>
      <c r="DM81" s="570">
        <v>0.60219881057831304</v>
      </c>
      <c r="DN81" s="572">
        <f t="shared" si="120"/>
        <v>0.4903086312459346</v>
      </c>
      <c r="DO81" s="570">
        <v>0.41571517835768235</v>
      </c>
      <c r="DP81" s="573" t="s">
        <v>1441</v>
      </c>
      <c r="DQ81" s="574" t="s">
        <v>1441</v>
      </c>
    </row>
    <row r="82" spans="9:121" ht="15.75" customHeight="1" x14ac:dyDescent="0.25">
      <c r="I82" s="431" t="s">
        <v>1247</v>
      </c>
      <c r="J82" s="434" t="s">
        <v>1252</v>
      </c>
      <c r="K82" s="431">
        <v>21</v>
      </c>
      <c r="L82" s="434"/>
      <c r="M82" s="434" t="str">
        <f t="shared" si="35"/>
        <v>Medium Oil</v>
      </c>
      <c r="N82" s="575">
        <f t="shared" ref="N82:O82" si="126">Y50</f>
        <v>39.659458817161386</v>
      </c>
      <c r="O82" s="576">
        <f t="shared" si="126"/>
        <v>1.8634611370761611</v>
      </c>
      <c r="P82" s="577">
        <f t="shared" si="51"/>
        <v>4.4877892477934681E-2</v>
      </c>
      <c r="Q82" s="578">
        <f t="shared" si="37"/>
        <v>0.90025257054584151</v>
      </c>
      <c r="R82" s="579">
        <f t="shared" ref="R82:V82" si="127">T50</f>
        <v>0.8853716952922942</v>
      </c>
      <c r="S82" s="579">
        <f t="shared" si="127"/>
        <v>7.7836871238025379E-2</v>
      </c>
      <c r="T82" s="579">
        <f t="shared" si="127"/>
        <v>0</v>
      </c>
      <c r="U82" s="579">
        <f t="shared" si="127"/>
        <v>0</v>
      </c>
      <c r="V82" s="579">
        <f t="shared" si="127"/>
        <v>0.90025257054584151</v>
      </c>
      <c r="W82" s="580">
        <f t="shared" ref="W82:Y82" si="128">+IF($O82=0,"-",R82/$O82)</f>
        <v>0.47512216792536649</v>
      </c>
      <c r="X82" s="580">
        <f t="shared" si="128"/>
        <v>4.1770053417993079E-2</v>
      </c>
      <c r="Y82" s="580">
        <f t="shared" si="128"/>
        <v>0</v>
      </c>
      <c r="Z82" s="580">
        <f t="shared" si="40"/>
        <v>0.4831077786566404</v>
      </c>
      <c r="AA82" s="581" t="str">
        <f t="shared" si="41"/>
        <v>-</v>
      </c>
      <c r="AB82" s="561">
        <f>+'5. GlobalData'!M21*1000*$D$21/1000</f>
        <v>514.19415250670738</v>
      </c>
      <c r="AC82" s="562">
        <f t="shared" si="42"/>
        <v>12.677460832784638</v>
      </c>
      <c r="AD82" s="563">
        <f t="shared" si="43"/>
        <v>491.11820261772863</v>
      </c>
      <c r="AE82" s="582">
        <f t="shared" si="44"/>
        <v>12.38338134874429</v>
      </c>
      <c r="AF82" s="563">
        <f t="shared" si="45"/>
        <v>23.075949888978762</v>
      </c>
      <c r="AG82" s="565">
        <f t="shared" si="46"/>
        <v>12.38338134874429</v>
      </c>
      <c r="AH82" s="402">
        <f t="shared" si="47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29">+IF(AI82="","",AI82*$AH82)</f>
        <v>41.522919954237551</v>
      </c>
      <c r="AX82" s="570">
        <f t="shared" si="129"/>
        <v>44.291114617853395</v>
      </c>
      <c r="AY82" s="570">
        <f t="shared" si="129"/>
        <v>40.009640204794231</v>
      </c>
      <c r="AZ82" s="570">
        <f t="shared" si="129"/>
        <v>37.155323929421456</v>
      </c>
      <c r="BA82" s="570">
        <f t="shared" si="129"/>
        <v>32.037239573580628</v>
      </c>
      <c r="BB82" s="570">
        <f t="shared" si="129"/>
        <v>24.360113039819371</v>
      </c>
      <c r="BC82" s="570">
        <f t="shared" si="129"/>
        <v>18.971360761313871</v>
      </c>
      <c r="BD82" s="570">
        <f t="shared" si="129"/>
        <v>15.378859242310208</v>
      </c>
      <c r="BE82" s="570">
        <f t="shared" si="129"/>
        <v>13.508789958445286</v>
      </c>
      <c r="BF82" s="570">
        <f t="shared" si="129"/>
        <v>10.70368603264791</v>
      </c>
      <c r="BG82" s="570">
        <f t="shared" si="129"/>
        <v>8.8582229235706826</v>
      </c>
      <c r="BH82" s="570">
        <f t="shared" si="129"/>
        <v>7.6279141841858635</v>
      </c>
      <c r="BI82" s="570">
        <f t="shared" si="129"/>
        <v>6.6928795422534044</v>
      </c>
      <c r="BJ82" s="571">
        <f t="shared" si="129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0">+IF(CB82="","",CB82*$AH82)</f>
        <v/>
      </c>
      <c r="CQ82" s="570" t="str">
        <f t="shared" si="130"/>
        <v/>
      </c>
      <c r="CR82" s="570" t="str">
        <f t="shared" si="130"/>
        <v/>
      </c>
      <c r="CS82" s="570" t="str">
        <f t="shared" si="130"/>
        <v/>
      </c>
      <c r="CT82" s="570" t="str">
        <f t="shared" si="130"/>
        <v/>
      </c>
      <c r="CU82" s="570" t="str">
        <f t="shared" si="130"/>
        <v/>
      </c>
      <c r="CV82" s="570" t="str">
        <f t="shared" si="130"/>
        <v/>
      </c>
      <c r="CW82" s="570" t="str">
        <f t="shared" si="130"/>
        <v/>
      </c>
      <c r="CX82" s="570" t="str">
        <f t="shared" si="130"/>
        <v/>
      </c>
      <c r="CY82" s="570" t="str">
        <f t="shared" si="130"/>
        <v/>
      </c>
      <c r="CZ82" s="570" t="str">
        <f t="shared" si="130"/>
        <v/>
      </c>
      <c r="DA82" s="570" t="str">
        <f t="shared" si="130"/>
        <v/>
      </c>
      <c r="DB82" s="570" t="str">
        <f t="shared" si="130"/>
        <v/>
      </c>
      <c r="DC82" s="571" t="str">
        <f t="shared" si="130"/>
        <v/>
      </c>
      <c r="DD82" s="569">
        <v>41.522919954237551</v>
      </c>
      <c r="DE82" s="570">
        <v>44.291114617853395</v>
      </c>
      <c r="DF82" s="572">
        <f t="shared" ref="DF82:DF83" si="131">+DE82+(DG82-DE82)*(2023-2020)/(2025-2020)</f>
        <v>40.009640204794231</v>
      </c>
      <c r="DG82" s="570">
        <v>37.155323929421456</v>
      </c>
      <c r="DH82" s="572">
        <f t="shared" ref="DH82:DH83" si="132">+DG82+(DI82-DG82)*(2027-2025)/(2030-2025)</f>
        <v>32.037239573580621</v>
      </c>
      <c r="DI82" s="570">
        <v>24.360113039819371</v>
      </c>
      <c r="DJ82" s="572">
        <f t="shared" ref="DJ82:DJ83" si="133">+DI82+(DK82-DI82)*(2033-2030)/(2035-2030)</f>
        <v>18.971360761313875</v>
      </c>
      <c r="DK82" s="570">
        <v>15.378859242310208</v>
      </c>
      <c r="DL82" s="572">
        <f t="shared" si="104"/>
        <v>13.50878995844529</v>
      </c>
      <c r="DM82" s="570">
        <v>10.70368603264791</v>
      </c>
      <c r="DN82" s="572">
        <f t="shared" si="120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1247</v>
      </c>
      <c r="J83" s="434" t="s">
        <v>1254</v>
      </c>
      <c r="K83" s="431">
        <f>20+(25-20)/2</f>
        <v>22.5</v>
      </c>
      <c r="L83" s="434"/>
      <c r="M83" s="434" t="str">
        <f t="shared" si="35"/>
        <v>Medium Oil</v>
      </c>
      <c r="N83" s="575">
        <f t="shared" ref="N83:O83" si="134">Y51</f>
        <v>94.059349180277351</v>
      </c>
      <c r="O83" s="576">
        <f t="shared" si="134"/>
        <v>2.497140090885289</v>
      </c>
      <c r="P83" s="577">
        <f t="shared" si="51"/>
        <v>2.5861960285988563E-2</v>
      </c>
      <c r="Q83" s="578">
        <f t="shared" si="37"/>
        <v>1.3766222989813104</v>
      </c>
      <c r="R83" s="579">
        <f t="shared" ref="R83:V83" si="135">T51</f>
        <v>0.51468242964795996</v>
      </c>
      <c r="S83" s="579">
        <f t="shared" si="135"/>
        <v>0.60583536225601842</v>
      </c>
      <c r="T83" s="579">
        <f t="shared" si="135"/>
        <v>1.3766222989813104</v>
      </c>
      <c r="U83" s="579">
        <f t="shared" si="135"/>
        <v>0</v>
      </c>
      <c r="V83" s="579">
        <f t="shared" si="135"/>
        <v>0</v>
      </c>
      <c r="W83" s="580">
        <f t="shared" ref="W83:Y83" si="136">+IF($O83=0,"-",R83/$O83)</f>
        <v>0.20610875277946228</v>
      </c>
      <c r="X83" s="580">
        <f t="shared" si="136"/>
        <v>0.24261168384879719</v>
      </c>
      <c r="Y83" s="580">
        <f t="shared" si="136"/>
        <v>0.55127956337174044</v>
      </c>
      <c r="Z83" s="580">
        <f t="shared" si="40"/>
        <v>0</v>
      </c>
      <c r="AA83" s="581">
        <f t="shared" si="41"/>
        <v>0</v>
      </c>
      <c r="AB83" s="561">
        <f>+'5. GlobalData'!M22*1000*$D$21/1000</f>
        <v>356.91613908800002</v>
      </c>
      <c r="AC83" s="562">
        <f t="shared" si="42"/>
        <v>3.7398491738051778</v>
      </c>
      <c r="AD83" s="563">
        <f t="shared" si="43"/>
        <v>347.68558807347779</v>
      </c>
      <c r="AE83" s="582">
        <f t="shared" si="44"/>
        <v>3.69644900909416</v>
      </c>
      <c r="AF83" s="563">
        <f t="shared" si="45"/>
        <v>9.2305510145222271</v>
      </c>
      <c r="AG83" s="565">
        <f t="shared" si="46"/>
        <v>3.69644900909416</v>
      </c>
      <c r="AH83" s="402">
        <f t="shared" si="47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7">+IF(AI83="","",AI83*$AH83)</f>
        <v>96.556489271162647</v>
      </c>
      <c r="AX83" s="570">
        <f t="shared" si="137"/>
        <v>81.38555121486084</v>
      </c>
      <c r="AY83" s="570">
        <f t="shared" si="137"/>
        <v>54.147600689252947</v>
      </c>
      <c r="AZ83" s="570">
        <f t="shared" si="137"/>
        <v>35.988967005514347</v>
      </c>
      <c r="BA83" s="570">
        <f t="shared" si="137"/>
        <v>26.641465620621492</v>
      </c>
      <c r="BB83" s="570">
        <f t="shared" si="137"/>
        <v>12.620213543282201</v>
      </c>
      <c r="BC83" s="570">
        <f t="shared" si="137"/>
        <v>8.9591411203930633</v>
      </c>
      <c r="BD83" s="570">
        <f t="shared" si="137"/>
        <v>6.5184261718003045</v>
      </c>
      <c r="BE83" s="570">
        <f t="shared" si="137"/>
        <v>5.5102155280171621</v>
      </c>
      <c r="BF83" s="570">
        <f t="shared" si="137"/>
        <v>3.997899562342448</v>
      </c>
      <c r="BG83" s="570">
        <f t="shared" si="137"/>
        <v>2.4855835966676652</v>
      </c>
      <c r="BH83" s="570">
        <f t="shared" si="137"/>
        <v>1.4773729528845878</v>
      </c>
      <c r="BI83" s="570">
        <f t="shared" si="137"/>
        <v>0.68322261785777083</v>
      </c>
      <c r="BJ83" s="571">
        <f t="shared" si="137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8">+IF(CB83="","",CB83*$AH83)</f>
        <v/>
      </c>
      <c r="CQ83" s="570" t="str">
        <f t="shared" si="138"/>
        <v/>
      </c>
      <c r="CR83" s="570" t="str">
        <f t="shared" si="138"/>
        <v/>
      </c>
      <c r="CS83" s="570" t="str">
        <f t="shared" si="138"/>
        <v/>
      </c>
      <c r="CT83" s="570" t="str">
        <f t="shared" si="138"/>
        <v/>
      </c>
      <c r="CU83" s="570" t="str">
        <f t="shared" si="138"/>
        <v/>
      </c>
      <c r="CV83" s="570" t="str">
        <f t="shared" si="138"/>
        <v/>
      </c>
      <c r="CW83" s="570" t="str">
        <f t="shared" si="138"/>
        <v/>
      </c>
      <c r="CX83" s="570" t="str">
        <f t="shared" si="138"/>
        <v/>
      </c>
      <c r="CY83" s="570" t="str">
        <f t="shared" si="138"/>
        <v/>
      </c>
      <c r="CZ83" s="570" t="str">
        <f t="shared" si="138"/>
        <v/>
      </c>
      <c r="DA83" s="570" t="str">
        <f t="shared" si="138"/>
        <v/>
      </c>
      <c r="DB83" s="570" t="str">
        <f t="shared" si="138"/>
        <v/>
      </c>
      <c r="DC83" s="571" t="str">
        <f t="shared" si="138"/>
        <v/>
      </c>
      <c r="DD83" s="569">
        <v>96.556489271162647</v>
      </c>
      <c r="DE83" s="570">
        <v>81.38555121486084</v>
      </c>
      <c r="DF83" s="572">
        <f t="shared" si="131"/>
        <v>54.14760068925294</v>
      </c>
      <c r="DG83" s="570">
        <v>35.988967005514347</v>
      </c>
      <c r="DH83" s="572">
        <f t="shared" si="132"/>
        <v>26.641465620621489</v>
      </c>
      <c r="DI83" s="570">
        <v>12.620213543282201</v>
      </c>
      <c r="DJ83" s="572">
        <f t="shared" si="133"/>
        <v>8.9591411203930633</v>
      </c>
      <c r="DK83" s="570">
        <v>6.5184261718003045</v>
      </c>
      <c r="DL83" s="572">
        <f t="shared" si="104"/>
        <v>5.5102155280171621</v>
      </c>
      <c r="DM83" s="570">
        <v>3.997899562342448</v>
      </c>
      <c r="DN83" s="573" t="s">
        <v>1441</v>
      </c>
      <c r="DO83" s="573" t="s">
        <v>1441</v>
      </c>
      <c r="DP83" s="573" t="s">
        <v>1441</v>
      </c>
      <c r="DQ83" s="574" t="s">
        <v>1441</v>
      </c>
    </row>
    <row r="84" spans="9:121" ht="15.75" customHeight="1" x14ac:dyDescent="0.25">
      <c r="I84" s="431" t="s">
        <v>1256</v>
      </c>
      <c r="J84" s="434" t="s">
        <v>1257</v>
      </c>
      <c r="K84" s="431">
        <v>23</v>
      </c>
      <c r="L84" s="434"/>
      <c r="M84" s="434" t="str">
        <f t="shared" si="35"/>
        <v>Medium Oil</v>
      </c>
      <c r="N84" s="575">
        <f t="shared" ref="N84:O84" si="139">Y52</f>
        <v>10.408512554584734</v>
      </c>
      <c r="O84" s="576">
        <f t="shared" si="139"/>
        <v>0.71025387836690013</v>
      </c>
      <c r="P84" s="577">
        <f t="shared" si="51"/>
        <v>6.3878837877373515E-2</v>
      </c>
      <c r="Q84" s="578">
        <f t="shared" si="37"/>
        <v>0.38201649904628787</v>
      </c>
      <c r="R84" s="579">
        <f t="shared" ref="R84:V84" si="140">T52</f>
        <v>3.8100694170208539E-2</v>
      </c>
      <c r="S84" s="579">
        <f t="shared" si="140"/>
        <v>8.403555333142973E-2</v>
      </c>
      <c r="T84" s="579">
        <f t="shared" si="140"/>
        <v>0.58683549303812432</v>
      </c>
      <c r="U84" s="579">
        <f t="shared" si="140"/>
        <v>0.2061011318189738</v>
      </c>
      <c r="V84" s="579">
        <f t="shared" si="140"/>
        <v>1.2821378271373829E-3</v>
      </c>
      <c r="W84" s="580">
        <f t="shared" ref="W84:Y84" si="141">+IF($O84=0,"-",R84/$O84)</f>
        <v>5.3643767856381398E-2</v>
      </c>
      <c r="X84" s="580">
        <f t="shared" si="141"/>
        <v>0.11831762682472671</v>
      </c>
      <c r="Y84" s="580">
        <f t="shared" si="141"/>
        <v>0.82623342288175328</v>
      </c>
      <c r="Z84" s="580">
        <f t="shared" si="40"/>
        <v>1.8051824371384303E-3</v>
      </c>
      <c r="AA84" s="581">
        <f t="shared" si="41"/>
        <v>0.35120767960363336</v>
      </c>
      <c r="AB84" s="561">
        <f>+'5. GlobalData'!M23*1000*$D$21/1000</f>
        <v>68.678597355267783</v>
      </c>
      <c r="AC84" s="562">
        <f t="shared" si="42"/>
        <v>6.3647108509621582</v>
      </c>
      <c r="AD84" s="563">
        <f t="shared" si="43"/>
        <v>64.291488369165208</v>
      </c>
      <c r="AE84" s="582">
        <f t="shared" si="44"/>
        <v>6.1768180642532</v>
      </c>
      <c r="AF84" s="563">
        <f t="shared" si="45"/>
        <v>4.3871089861025645</v>
      </c>
      <c r="AG84" s="565">
        <f t="shared" si="46"/>
        <v>6.1768180642532009</v>
      </c>
      <c r="AH84" s="402">
        <f t="shared" si="47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2">+IF(AI84="","",AI84*$AH84)</f>
        <v>11.118766432951634</v>
      </c>
      <c r="AX84" s="570">
        <f t="shared" si="142"/>
        <v>10.329308255559129</v>
      </c>
      <c r="AY84" s="570">
        <f t="shared" si="142"/>
        <v>7.4122676392174629</v>
      </c>
      <c r="AZ84" s="570">
        <f t="shared" si="142"/>
        <v>6.0090208229542244</v>
      </c>
      <c r="BA84" s="570">
        <f t="shared" si="142"/>
        <v>4.7560667479381209</v>
      </c>
      <c r="BB84" s="570">
        <f t="shared" si="142"/>
        <v>3.0919097152070951</v>
      </c>
      <c r="BC84" s="570">
        <f t="shared" si="142"/>
        <v>2.41207025324894</v>
      </c>
      <c r="BD84" s="570">
        <f t="shared" si="142"/>
        <v>1.9588439452768174</v>
      </c>
      <c r="BE84" s="570">
        <f t="shared" si="142"/>
        <v>1.4871879387963971</v>
      </c>
      <c r="BF84" s="570">
        <f t="shared" si="142"/>
        <v>0.84330763446910884</v>
      </c>
      <c r="BG84" s="570">
        <f t="shared" si="142"/>
        <v>0.21509778263776425</v>
      </c>
      <c r="BH84" s="570">
        <f t="shared" si="142"/>
        <v>8.1964630505155761E-2</v>
      </c>
      <c r="BI84" s="570">
        <f t="shared" si="142"/>
        <v>7.007271496425789E-2</v>
      </c>
      <c r="BJ84" s="571">
        <f t="shared" si="142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3">+IF(CB84="","",CB84*$AH84)</f>
        <v/>
      </c>
      <c r="CQ84" s="570" t="str">
        <f t="shared" si="143"/>
        <v/>
      </c>
      <c r="CR84" s="570" t="str">
        <f t="shared" si="143"/>
        <v/>
      </c>
      <c r="CS84" s="570" t="str">
        <f t="shared" si="143"/>
        <v/>
      </c>
      <c r="CT84" s="570" t="str">
        <f t="shared" si="143"/>
        <v/>
      </c>
      <c r="CU84" s="570" t="str">
        <f t="shared" si="143"/>
        <v/>
      </c>
      <c r="CV84" s="570" t="str">
        <f t="shared" si="143"/>
        <v/>
      </c>
      <c r="CW84" s="570" t="str">
        <f t="shared" si="143"/>
        <v/>
      </c>
      <c r="CX84" s="570" t="str">
        <f t="shared" si="143"/>
        <v/>
      </c>
      <c r="CY84" s="570" t="str">
        <f t="shared" si="143"/>
        <v/>
      </c>
      <c r="CZ84" s="570" t="str">
        <f t="shared" si="143"/>
        <v/>
      </c>
      <c r="DA84" s="570" t="str">
        <f t="shared" si="143"/>
        <v/>
      </c>
      <c r="DB84" s="570" t="str">
        <f t="shared" si="143"/>
        <v/>
      </c>
      <c r="DC84" s="571" t="str">
        <f t="shared" si="143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4">+DM84+(DO84-DM84)*(2043-2040)/(2045-2040)</f>
        <v>0.10082841633582691</v>
      </c>
      <c r="DO84" s="570">
        <v>8.1964630505155761E-2</v>
      </c>
      <c r="DP84" s="572">
        <f t="shared" ref="DP84:DP87" si="145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1256</v>
      </c>
      <c r="J85" s="434" t="s">
        <v>1259</v>
      </c>
      <c r="K85" s="431">
        <v>25.5</v>
      </c>
      <c r="L85" s="434"/>
      <c r="M85" s="434" t="str">
        <f t="shared" si="35"/>
        <v>Medium Oil</v>
      </c>
      <c r="N85" s="575">
        <f t="shared" ref="N85:O85" si="146">Y53</f>
        <v>9.2296903712167389</v>
      </c>
      <c r="O85" s="576">
        <f t="shared" si="146"/>
        <v>0.31949461271981699</v>
      </c>
      <c r="P85" s="577">
        <f t="shared" si="51"/>
        <v>3.3457788623559429E-2</v>
      </c>
      <c r="Q85" s="578">
        <f t="shared" si="37"/>
        <v>0</v>
      </c>
      <c r="R85" s="579">
        <f t="shared" ref="R85:V85" si="147">T53</f>
        <v>0.16765718815173636</v>
      </c>
      <c r="S85" s="579">
        <f t="shared" si="147"/>
        <v>0.15183742456808058</v>
      </c>
      <c r="T85" s="579">
        <f t="shared" si="147"/>
        <v>0</v>
      </c>
      <c r="U85" s="579">
        <f t="shared" si="147"/>
        <v>0</v>
      </c>
      <c r="V85" s="579">
        <f t="shared" si="147"/>
        <v>0</v>
      </c>
      <c r="W85" s="580">
        <f t="shared" ref="W85:Y85" si="148">+IF($O85=0,"-",R85/$O85)</f>
        <v>0.52475748096186048</v>
      </c>
      <c r="X85" s="580">
        <f t="shared" si="148"/>
        <v>0.47524251903813935</v>
      </c>
      <c r="Y85" s="580">
        <f t="shared" si="148"/>
        <v>0</v>
      </c>
      <c r="Z85" s="580">
        <f t="shared" si="40"/>
        <v>0</v>
      </c>
      <c r="AA85" s="581" t="str">
        <f t="shared" si="41"/>
        <v>-</v>
      </c>
      <c r="AB85" s="561">
        <f>+'5. GlobalData'!M24*1000*$D$21/1000</f>
        <v>122.68330472394234</v>
      </c>
      <c r="AC85" s="562">
        <f t="shared" si="42"/>
        <v>13.292244895509874</v>
      </c>
      <c r="AD85" s="563">
        <f t="shared" si="43"/>
        <v>118.57859264684895</v>
      </c>
      <c r="AE85" s="582">
        <f t="shared" si="44"/>
        <v>12.847515775463318</v>
      </c>
      <c r="AF85" s="563">
        <f t="shared" si="45"/>
        <v>4.1047120770933931</v>
      </c>
      <c r="AG85" s="565">
        <f t="shared" si="46"/>
        <v>12.847515775463322</v>
      </c>
      <c r="AH85" s="402">
        <f t="shared" si="47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49">+IF(AI85="","",AI85*$AH85)</f>
        <v>9.5491849839365557</v>
      </c>
      <c r="AX85" s="570">
        <f t="shared" si="149"/>
        <v>8.7975469211214641</v>
      </c>
      <c r="AY85" s="570">
        <f t="shared" si="149"/>
        <v>9.1710754094693634</v>
      </c>
      <c r="AZ85" s="570">
        <f t="shared" si="149"/>
        <v>7.7206679314207314</v>
      </c>
      <c r="BA85" s="570">
        <f t="shared" si="149"/>
        <v>6.9250482043438293</v>
      </c>
      <c r="BB85" s="570">
        <f t="shared" si="149"/>
        <v>5.7316186137284753</v>
      </c>
      <c r="BC85" s="570">
        <f t="shared" si="149"/>
        <v>4.86647321568931</v>
      </c>
      <c r="BD85" s="570">
        <f t="shared" si="149"/>
        <v>4.2897096169965332</v>
      </c>
      <c r="BE85" s="570">
        <f t="shared" si="149"/>
        <v>3.9319640225224832</v>
      </c>
      <c r="BF85" s="570">
        <f t="shared" si="149"/>
        <v>3.3953456308114087</v>
      </c>
      <c r="BG85" s="570">
        <f t="shared" si="149"/>
        <v>2.9682362412096941</v>
      </c>
      <c r="BH85" s="570">
        <f t="shared" si="149"/>
        <v>2.6834966481418845</v>
      </c>
      <c r="BI85" s="570">
        <f t="shared" si="149"/>
        <v>2.5447690578865609</v>
      </c>
      <c r="BJ85" s="571">
        <f t="shared" si="149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0">+IF(CB85="","",CB85*$AH85)</f>
        <v/>
      </c>
      <c r="CQ85" s="570" t="str">
        <f t="shared" si="150"/>
        <v/>
      </c>
      <c r="CR85" s="570" t="str">
        <f t="shared" si="150"/>
        <v/>
      </c>
      <c r="CS85" s="570" t="str">
        <f t="shared" si="150"/>
        <v/>
      </c>
      <c r="CT85" s="570" t="str">
        <f t="shared" si="150"/>
        <v/>
      </c>
      <c r="CU85" s="570" t="str">
        <f t="shared" si="150"/>
        <v/>
      </c>
      <c r="CV85" s="570" t="str">
        <f t="shared" si="150"/>
        <v/>
      </c>
      <c r="CW85" s="570" t="str">
        <f t="shared" si="150"/>
        <v/>
      </c>
      <c r="CX85" s="570" t="str">
        <f t="shared" si="150"/>
        <v/>
      </c>
      <c r="CY85" s="570" t="str">
        <f t="shared" si="150"/>
        <v/>
      </c>
      <c r="CZ85" s="570" t="str">
        <f t="shared" si="150"/>
        <v/>
      </c>
      <c r="DA85" s="570" t="str">
        <f t="shared" si="150"/>
        <v/>
      </c>
      <c r="DB85" s="570" t="str">
        <f t="shared" si="150"/>
        <v/>
      </c>
      <c r="DC85" s="571" t="str">
        <f t="shared" si="150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1">+DG85+(DI85-DG85)*(2027-2025)/(2030-2025)</f>
        <v>6.9250482043438293</v>
      </c>
      <c r="DI85" s="570">
        <v>5.7316186137284753</v>
      </c>
      <c r="DJ85" s="572">
        <f t="shared" ref="DJ85:DJ87" si="152">+DI85+(DK85-DI85)*(2033-2030)/(2035-2030)</f>
        <v>4.86647321568931</v>
      </c>
      <c r="DK85" s="570">
        <v>4.2897096169965332</v>
      </c>
      <c r="DL85" s="572">
        <f t="shared" ref="DL85:DL87" si="153">+DK85+(DM85-DK85)*(2037-2035)/(2040-2035)</f>
        <v>3.9319640225224832</v>
      </c>
      <c r="DM85" s="570">
        <v>3.3953456308114087</v>
      </c>
      <c r="DN85" s="572">
        <f t="shared" si="144"/>
        <v>2.9682362412096941</v>
      </c>
      <c r="DO85" s="570">
        <v>2.6834966481418845</v>
      </c>
      <c r="DP85" s="572">
        <f t="shared" si="145"/>
        <v>2.5447690578865614</v>
      </c>
      <c r="DQ85" s="571">
        <v>2.3366776725035767</v>
      </c>
    </row>
    <row r="86" spans="9:121" ht="15.75" customHeight="1" x14ac:dyDescent="0.25">
      <c r="I86" s="431" t="s">
        <v>1256</v>
      </c>
      <c r="J86" s="434" t="s">
        <v>1261</v>
      </c>
      <c r="K86" s="431">
        <v>21</v>
      </c>
      <c r="L86" s="434"/>
      <c r="M86" s="434" t="str">
        <f t="shared" si="35"/>
        <v>Medium Oil</v>
      </c>
      <c r="N86" s="575">
        <f t="shared" ref="N86:O86" si="154">Y54</f>
        <v>8.7564836170076354</v>
      </c>
      <c r="O86" s="576">
        <f t="shared" si="154"/>
        <v>0.43874352621703561</v>
      </c>
      <c r="P86" s="577">
        <f t="shared" si="51"/>
        <v>4.771426734578444E-2</v>
      </c>
      <c r="Q86" s="578">
        <f t="shared" si="37"/>
        <v>0.23786180586758954</v>
      </c>
      <c r="R86" s="579">
        <f t="shared" ref="R86:V86" si="155">T54</f>
        <v>0</v>
      </c>
      <c r="S86" s="579">
        <f t="shared" si="155"/>
        <v>5.7140945681870784E-3</v>
      </c>
      <c r="T86" s="579">
        <f t="shared" si="155"/>
        <v>0.4330294316488485</v>
      </c>
      <c r="U86" s="579">
        <f t="shared" si="155"/>
        <v>0.19516762578125896</v>
      </c>
      <c r="V86" s="579">
        <f t="shared" si="155"/>
        <v>0</v>
      </c>
      <c r="W86" s="580">
        <f t="shared" ref="W86:Y86" si="156">+IF($O86=0,"-",R86/$O86)</f>
        <v>0</v>
      </c>
      <c r="X86" s="580">
        <f t="shared" si="156"/>
        <v>1.302376952990175E-2</v>
      </c>
      <c r="Y86" s="580">
        <f t="shared" si="156"/>
        <v>0.98697623047009819</v>
      </c>
      <c r="Z86" s="580">
        <f t="shared" si="40"/>
        <v>0</v>
      </c>
      <c r="AA86" s="581">
        <f t="shared" si="41"/>
        <v>0.4507029118970462</v>
      </c>
      <c r="AB86" s="561">
        <f>+'5. GlobalData'!M25*1000*$D$21/1000</f>
        <v>91.97045401930994</v>
      </c>
      <c r="AC86" s="562">
        <f t="shared" si="42"/>
        <v>10.225363791944485</v>
      </c>
      <c r="AD86" s="563">
        <f t="shared" si="43"/>
        <v>87.582151188319415</v>
      </c>
      <c r="AE86" s="582">
        <f t="shared" si="44"/>
        <v>10.001977394008872</v>
      </c>
      <c r="AF86" s="563">
        <f t="shared" si="45"/>
        <v>4.3883028309905292</v>
      </c>
      <c r="AG86" s="565">
        <f t="shared" si="46"/>
        <v>10.001977394008872</v>
      </c>
      <c r="AH86" s="402">
        <f t="shared" si="47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7">+IF(AI86="","",AI86*$AH86)</f>
        <v>9.1952271432246704</v>
      </c>
      <c r="AX86" s="591">
        <f t="shared" si="157"/>
        <v>8.7082524970102764</v>
      </c>
      <c r="AY86" s="591">
        <f t="shared" si="157"/>
        <v>7.4103150703423335</v>
      </c>
      <c r="AZ86" s="591">
        <f t="shared" si="157"/>
        <v>6.5450234525637052</v>
      </c>
      <c r="BA86" s="591">
        <f t="shared" si="157"/>
        <v>5.4966407959613486</v>
      </c>
      <c r="BB86" s="591">
        <f t="shared" si="157"/>
        <v>3.9240668110578114</v>
      </c>
      <c r="BC86" s="591">
        <f t="shared" si="157"/>
        <v>3.1763047234570938</v>
      </c>
      <c r="BD86" s="591">
        <f t="shared" si="157"/>
        <v>2.677796665056615</v>
      </c>
      <c r="BE86" s="591">
        <f t="shared" si="157"/>
        <v>2.4084531460511469</v>
      </c>
      <c r="BF86" s="591">
        <f t="shared" si="157"/>
        <v>2.0044378675429444</v>
      </c>
      <c r="BG86" s="591">
        <f t="shared" si="157"/>
        <v>1.7384626462293669</v>
      </c>
      <c r="BH86" s="591">
        <f t="shared" si="157"/>
        <v>1.5611458320203151</v>
      </c>
      <c r="BI86" s="591">
        <f t="shared" si="157"/>
        <v>1.3833478324267074</v>
      </c>
      <c r="BJ86" s="592">
        <f t="shared" si="157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8">+IF(CB86="","",CB86*$AH86)</f>
        <v/>
      </c>
      <c r="CQ86" s="591" t="str">
        <f t="shared" si="158"/>
        <v/>
      </c>
      <c r="CR86" s="591" t="str">
        <f t="shared" si="158"/>
        <v/>
      </c>
      <c r="CS86" s="591" t="str">
        <f t="shared" si="158"/>
        <v/>
      </c>
      <c r="CT86" s="591" t="str">
        <f t="shared" si="158"/>
        <v/>
      </c>
      <c r="CU86" s="591" t="str">
        <f t="shared" si="158"/>
        <v/>
      </c>
      <c r="CV86" s="591" t="str">
        <f t="shared" si="158"/>
        <v/>
      </c>
      <c r="CW86" s="591" t="str">
        <f t="shared" si="158"/>
        <v/>
      </c>
      <c r="CX86" s="591" t="str">
        <f t="shared" si="158"/>
        <v/>
      </c>
      <c r="CY86" s="591" t="str">
        <f t="shared" si="158"/>
        <v/>
      </c>
      <c r="CZ86" s="591" t="str">
        <f t="shared" si="158"/>
        <v/>
      </c>
      <c r="DA86" s="591" t="str">
        <f t="shared" si="158"/>
        <v/>
      </c>
      <c r="DB86" s="591" t="str">
        <f t="shared" si="158"/>
        <v/>
      </c>
      <c r="DC86" s="592" t="str">
        <f t="shared" si="158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1"/>
        <v>5.4966407959613477</v>
      </c>
      <c r="DI86" s="570">
        <v>3.9240668110578114</v>
      </c>
      <c r="DJ86" s="572">
        <f t="shared" si="152"/>
        <v>3.1763047234570934</v>
      </c>
      <c r="DK86" s="570">
        <v>2.677796665056615</v>
      </c>
      <c r="DL86" s="572">
        <f t="shared" si="153"/>
        <v>2.4084531460511469</v>
      </c>
      <c r="DM86" s="570">
        <v>2.0044378675429444</v>
      </c>
      <c r="DN86" s="572">
        <f t="shared" si="144"/>
        <v>1.7384626462293669</v>
      </c>
      <c r="DO86" s="570">
        <v>1.5611458320203151</v>
      </c>
      <c r="DP86" s="572">
        <f t="shared" si="145"/>
        <v>1.3833478324267074</v>
      </c>
      <c r="DQ86" s="571">
        <v>1.1166508330362959</v>
      </c>
    </row>
    <row r="87" spans="9:121" ht="15.75" customHeight="1" x14ac:dyDescent="0.25">
      <c r="I87" s="432" t="s">
        <v>1264</v>
      </c>
      <c r="J87" s="440" t="s">
        <v>1265</v>
      </c>
      <c r="K87" s="431" t="s">
        <v>1099</v>
      </c>
      <c r="L87" s="434" t="s">
        <v>7</v>
      </c>
      <c r="M87" s="434" t="s">
        <v>1396</v>
      </c>
      <c r="N87" s="575">
        <f t="shared" ref="N87:O87" si="159">Y55</f>
        <v>0</v>
      </c>
      <c r="O87" s="576">
        <f t="shared" si="159"/>
        <v>1.0840525806313783</v>
      </c>
      <c r="P87" s="577">
        <f t="shared" si="51"/>
        <v>1</v>
      </c>
      <c r="Q87" s="578">
        <f t="shared" si="37"/>
        <v>1.0840525806313783</v>
      </c>
      <c r="R87" s="579">
        <f t="shared" ref="R87:V87" si="160">T55</f>
        <v>0</v>
      </c>
      <c r="S87" s="579">
        <f t="shared" si="160"/>
        <v>0</v>
      </c>
      <c r="T87" s="579">
        <f t="shared" si="160"/>
        <v>0</v>
      </c>
      <c r="U87" s="579">
        <f t="shared" si="160"/>
        <v>0</v>
      </c>
      <c r="V87" s="579">
        <f t="shared" si="160"/>
        <v>1.0840525806313783</v>
      </c>
      <c r="W87" s="580">
        <f t="shared" ref="W87:Y87" si="161">+IF($O87=0,"-",R87/$O87)</f>
        <v>0</v>
      </c>
      <c r="X87" s="580">
        <f t="shared" si="161"/>
        <v>0</v>
      </c>
      <c r="Y87" s="580">
        <f t="shared" si="161"/>
        <v>0</v>
      </c>
      <c r="Z87" s="580">
        <f t="shared" si="40"/>
        <v>1</v>
      </c>
      <c r="AA87" s="581" t="str">
        <f t="shared" si="41"/>
        <v>-</v>
      </c>
      <c r="AB87" s="593">
        <f>+'5. GlobalData'!M26*1000*$D$21/1000</f>
        <v>18.26524302843664</v>
      </c>
      <c r="AC87" s="562">
        <f t="shared" si="42"/>
        <v>16.849037910871928</v>
      </c>
      <c r="AD87" s="563">
        <f t="shared" si="43"/>
        <v>0</v>
      </c>
      <c r="AE87" s="582" t="str">
        <f t="shared" si="44"/>
        <v>-</v>
      </c>
      <c r="AF87" s="563">
        <f t="shared" si="45"/>
        <v>18.26524302843664</v>
      </c>
      <c r="AG87" s="565">
        <f t="shared" si="46"/>
        <v>16.849037910871928</v>
      </c>
      <c r="AH87" s="402">
        <f t="shared" si="47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2">+IF(AI87="","",AI87*$AH87)</f>
        <v>1.0840525806313783</v>
      </c>
      <c r="AX87" s="591">
        <f t="shared" si="162"/>
        <v>1.1263827718978625</v>
      </c>
      <c r="AY87" s="591">
        <f t="shared" si="162"/>
        <v>1.4482064210115375</v>
      </c>
      <c r="AZ87" s="591">
        <f t="shared" si="162"/>
        <v>1.2250061482391499</v>
      </c>
      <c r="BA87" s="591">
        <f t="shared" si="162"/>
        <v>1.073437590914645</v>
      </c>
      <c r="BB87" s="591">
        <f t="shared" si="162"/>
        <v>0.84608475492788726</v>
      </c>
      <c r="BC87" s="591">
        <f t="shared" si="162"/>
        <v>0.68724921197823496</v>
      </c>
      <c r="BD87" s="591">
        <f t="shared" si="162"/>
        <v>0.5813588500118001</v>
      </c>
      <c r="BE87" s="591">
        <f t="shared" si="162"/>
        <v>0.51076527536751015</v>
      </c>
      <c r="BF87" s="591">
        <f t="shared" si="162"/>
        <v>0.40487491340107512</v>
      </c>
      <c r="BG87" s="591">
        <f t="shared" si="162"/>
        <v>0.3301287755424151</v>
      </c>
      <c r="BH87" s="591">
        <f t="shared" si="162"/>
        <v>0.28029801696997508</v>
      </c>
      <c r="BI87" s="591">
        <f t="shared" si="162"/>
        <v>0.24707751125501498</v>
      </c>
      <c r="BJ87" s="592">
        <f t="shared" si="162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3">+IF(CB87="","",CB87*$AH87)</f>
        <v/>
      </c>
      <c r="CQ87" s="591" t="str">
        <f t="shared" si="163"/>
        <v/>
      </c>
      <c r="CR87" s="591" t="str">
        <f t="shared" si="163"/>
        <v/>
      </c>
      <c r="CS87" s="591" t="str">
        <f t="shared" si="163"/>
        <v/>
      </c>
      <c r="CT87" s="591" t="str">
        <f t="shared" si="163"/>
        <v/>
      </c>
      <c r="CU87" s="591" t="str">
        <f t="shared" si="163"/>
        <v/>
      </c>
      <c r="CV87" s="591" t="str">
        <f t="shared" si="163"/>
        <v/>
      </c>
      <c r="CW87" s="591" t="str">
        <f t="shared" si="163"/>
        <v/>
      </c>
      <c r="CX87" s="591" t="str">
        <f t="shared" si="163"/>
        <v/>
      </c>
      <c r="CY87" s="591" t="str">
        <f t="shared" si="163"/>
        <v/>
      </c>
      <c r="CZ87" s="591" t="str">
        <f t="shared" si="163"/>
        <v/>
      </c>
      <c r="DA87" s="591" t="str">
        <f t="shared" si="163"/>
        <v/>
      </c>
      <c r="DB87" s="591" t="str">
        <f t="shared" si="163"/>
        <v/>
      </c>
      <c r="DC87" s="592" t="str">
        <f t="shared" si="163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1"/>
        <v>1.0734375909146447</v>
      </c>
      <c r="DI87" s="595">
        <v>0.84608475492788726</v>
      </c>
      <c r="DJ87" s="596">
        <f t="shared" si="152"/>
        <v>0.68724921197823496</v>
      </c>
      <c r="DK87" s="595">
        <v>0.5813588500118001</v>
      </c>
      <c r="DL87" s="596">
        <f t="shared" si="153"/>
        <v>0.51076527536751015</v>
      </c>
      <c r="DM87" s="595">
        <v>0.40487491340107512</v>
      </c>
      <c r="DN87" s="596">
        <f t="shared" si="144"/>
        <v>0.3301287755424151</v>
      </c>
      <c r="DO87" s="595">
        <v>0.28029801696997508</v>
      </c>
      <c r="DP87" s="596">
        <f t="shared" si="145"/>
        <v>0.24707751125501498</v>
      </c>
      <c r="DQ87" s="597">
        <v>0.19724675268257483</v>
      </c>
    </row>
    <row r="88" spans="9:121" ht="15.75" customHeight="1" x14ac:dyDescent="0.25">
      <c r="I88" s="432" t="s">
        <v>1264</v>
      </c>
      <c r="J88" s="440" t="s">
        <v>1268</v>
      </c>
      <c r="K88" s="431" t="s">
        <v>1099</v>
      </c>
      <c r="L88" s="434" t="s">
        <v>7</v>
      </c>
      <c r="M88" s="434" t="s">
        <v>1396</v>
      </c>
      <c r="N88" s="583">
        <f t="shared" ref="N88:O88" si="164">Y56</f>
        <v>1.3579511620070052E-2</v>
      </c>
      <c r="O88" s="576">
        <f t="shared" si="164"/>
        <v>2.2925734862295029</v>
      </c>
      <c r="P88" s="577">
        <f t="shared" si="51"/>
        <v>0.99411161721154995</v>
      </c>
      <c r="Q88" s="578">
        <f t="shared" si="37"/>
        <v>2.2440339691202391</v>
      </c>
      <c r="R88" s="579">
        <f t="shared" ref="R88:V88" si="165">T56</f>
        <v>4.2906187128613207E-3</v>
      </c>
      <c r="S88" s="579">
        <f t="shared" si="165"/>
        <v>4.4248898396402753E-2</v>
      </c>
      <c r="T88" s="579">
        <f t="shared" si="165"/>
        <v>0</v>
      </c>
      <c r="U88" s="579">
        <f t="shared" si="165"/>
        <v>0</v>
      </c>
      <c r="V88" s="579">
        <f t="shared" si="165"/>
        <v>2.2440339691202391</v>
      </c>
      <c r="W88" s="580">
        <f t="shared" ref="W88:Y88" si="166">+IF($O88=0,"-",R88/$O88)</f>
        <v>1.8715294138369877E-3</v>
      </c>
      <c r="X88" s="580">
        <f t="shared" si="166"/>
        <v>1.9300972754935336E-2</v>
      </c>
      <c r="Y88" s="580">
        <f t="shared" si="166"/>
        <v>0</v>
      </c>
      <c r="Z88" s="580">
        <f t="shared" si="40"/>
        <v>0.9788274978312278</v>
      </c>
      <c r="AA88" s="581" t="str">
        <f t="shared" si="41"/>
        <v>-</v>
      </c>
      <c r="AB88" s="593">
        <f>+'5. GlobalData'!M27*1000*$D$21/1000</f>
        <v>24.410274168000001</v>
      </c>
      <c r="AC88" s="562">
        <f t="shared" si="42"/>
        <v>10.81242399385189</v>
      </c>
      <c r="AD88" s="598">
        <f t="shared" si="43"/>
        <v>0.14373703827219958</v>
      </c>
      <c r="AE88" s="582">
        <f t="shared" si="44"/>
        <v>10.5848459277255</v>
      </c>
      <c r="AF88" s="563">
        <f t="shared" si="45"/>
        <v>24.266537129727801</v>
      </c>
      <c r="AG88" s="565">
        <f t="shared" si="46"/>
        <v>10.584845927725498</v>
      </c>
      <c r="AH88" s="402">
        <f t="shared" si="47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7">+IF(AI88="","",AI88*$AH88)</f>
        <v>2.3061529978495727</v>
      </c>
      <c r="AX88" s="591">
        <f t="shared" si="167"/>
        <v>2.2219884839807933</v>
      </c>
      <c r="AY88" s="591">
        <f t="shared" si="167"/>
        <v>2.2041946644495511</v>
      </c>
      <c r="AZ88" s="591">
        <f t="shared" si="167"/>
        <v>1.8234035596277018</v>
      </c>
      <c r="BA88" s="591">
        <f t="shared" si="167"/>
        <v>1.4932499279846376</v>
      </c>
      <c r="BB88" s="591">
        <f t="shared" si="167"/>
        <v>1.1036545018620887</v>
      </c>
      <c r="BC88" s="591">
        <f t="shared" si="167"/>
        <v>0.82391949793526853</v>
      </c>
      <c r="BD88" s="591">
        <f t="shared" si="167"/>
        <v>0.69656827300258517</v>
      </c>
      <c r="BE88" s="591">
        <f t="shared" si="167"/>
        <v>0.56928438513529978</v>
      </c>
      <c r="BF88" s="591">
        <f t="shared" si="167"/>
        <v>0.44169748047372609</v>
      </c>
      <c r="BG88" s="591">
        <f t="shared" si="167"/>
        <v>0.33942931240154489</v>
      </c>
      <c r="BH88" s="591">
        <f t="shared" si="167"/>
        <v>0.28815213710148468</v>
      </c>
      <c r="BI88" s="591">
        <f t="shared" si="167"/>
        <v>0.236874961801425</v>
      </c>
      <c r="BJ88" s="592">
        <f t="shared" si="167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8">+IF(CB88="","",CB88*$AH88)</f>
        <v/>
      </c>
      <c r="CQ88" s="591" t="str">
        <f t="shared" si="168"/>
        <v/>
      </c>
      <c r="CR88" s="591" t="str">
        <f t="shared" si="168"/>
        <v/>
      </c>
      <c r="CS88" s="591" t="str">
        <f t="shared" si="168"/>
        <v/>
      </c>
      <c r="CT88" s="591" t="str">
        <f t="shared" si="168"/>
        <v/>
      </c>
      <c r="CU88" s="591" t="str">
        <f t="shared" si="168"/>
        <v/>
      </c>
      <c r="CV88" s="591" t="str">
        <f t="shared" si="168"/>
        <v/>
      </c>
      <c r="CW88" s="591" t="str">
        <f t="shared" si="168"/>
        <v/>
      </c>
      <c r="CX88" s="591" t="str">
        <f t="shared" si="168"/>
        <v/>
      </c>
      <c r="CY88" s="591" t="str">
        <f t="shared" si="168"/>
        <v/>
      </c>
      <c r="CZ88" s="591" t="str">
        <f t="shared" si="168"/>
        <v/>
      </c>
      <c r="DA88" s="591" t="str">
        <f t="shared" si="168"/>
        <v/>
      </c>
      <c r="DB88" s="591" t="str">
        <f t="shared" si="168"/>
        <v/>
      </c>
      <c r="DC88" s="592" t="str">
        <f t="shared" si="168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1441</v>
      </c>
    </row>
    <row r="89" spans="9:121" ht="15.75" customHeight="1" x14ac:dyDescent="0.25">
      <c r="I89" s="432" t="s">
        <v>1264</v>
      </c>
      <c r="J89" s="440" t="s">
        <v>1269</v>
      </c>
      <c r="K89" s="431" t="s">
        <v>1099</v>
      </c>
      <c r="L89" s="434" t="s">
        <v>7</v>
      </c>
      <c r="M89" s="434" t="s">
        <v>1396</v>
      </c>
      <c r="N89" s="583">
        <f t="shared" ref="N89:O89" si="169">Y57</f>
        <v>6.1343436802343387E-2</v>
      </c>
      <c r="O89" s="576">
        <f t="shared" si="169"/>
        <v>10.354312893772342</v>
      </c>
      <c r="P89" s="577">
        <f t="shared" si="51"/>
        <v>0.99411045882703797</v>
      </c>
      <c r="Q89" s="578">
        <f t="shared" si="37"/>
        <v>10.137571027545471</v>
      </c>
      <c r="R89" s="579">
        <f t="shared" ref="R89:V89" si="170">T57</f>
        <v>1.8616237427097122E-2</v>
      </c>
      <c r="S89" s="579">
        <f t="shared" si="170"/>
        <v>0.19812562879977277</v>
      </c>
      <c r="T89" s="579">
        <f t="shared" si="170"/>
        <v>0</v>
      </c>
      <c r="U89" s="579">
        <f t="shared" si="170"/>
        <v>0</v>
      </c>
      <c r="V89" s="579">
        <f t="shared" si="170"/>
        <v>10.137571027545471</v>
      </c>
      <c r="W89" s="580">
        <f t="shared" ref="W89:Y89" si="171">+IF($O89=0,"-",R89/$O89)</f>
        <v>1.79792108062467E-3</v>
      </c>
      <c r="X89" s="580">
        <f t="shared" si="171"/>
        <v>1.913459935317741E-2</v>
      </c>
      <c r="Y89" s="580">
        <f t="shared" si="171"/>
        <v>0</v>
      </c>
      <c r="Z89" s="580">
        <f t="shared" si="40"/>
        <v>0.97906747956619788</v>
      </c>
      <c r="AA89" s="581" t="str">
        <f t="shared" si="41"/>
        <v>-</v>
      </c>
      <c r="AB89" s="593">
        <f>+'5. GlobalData'!M28*1000*$D$21/1000</f>
        <v>115.07700679200001</v>
      </c>
      <c r="AC89" s="562">
        <f t="shared" si="42"/>
        <v>11.283260311111825</v>
      </c>
      <c r="AD89" s="598">
        <f t="shared" si="43"/>
        <v>0.67775076956272806</v>
      </c>
      <c r="AE89" s="582">
        <f t="shared" si="44"/>
        <v>11.048464267604212</v>
      </c>
      <c r="AF89" s="563">
        <f t="shared" si="45"/>
        <v>114.39925602243729</v>
      </c>
      <c r="AG89" s="565">
        <f t="shared" si="46"/>
        <v>11.048464267604212</v>
      </c>
      <c r="AH89" s="402">
        <f t="shared" si="47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2">+IF(AI89="","",AI89*$AH89)</f>
        <v>10.415656330574684</v>
      </c>
      <c r="AX89" s="591">
        <f t="shared" si="172"/>
        <v>10.206646504543086</v>
      </c>
      <c r="AY89" s="591">
        <f t="shared" si="172"/>
        <v>9.9279667365009505</v>
      </c>
      <c r="AZ89" s="591">
        <f t="shared" si="172"/>
        <v>8.4648979542797598</v>
      </c>
      <c r="BA89" s="591">
        <f t="shared" si="172"/>
        <v>7.2456739690954315</v>
      </c>
      <c r="BB89" s="591">
        <f t="shared" si="172"/>
        <v>5.7477702158689725</v>
      </c>
      <c r="BC89" s="591">
        <f t="shared" si="172"/>
        <v>4.7027210857109774</v>
      </c>
      <c r="BD89" s="591">
        <f t="shared" si="172"/>
        <v>4.0408566366109131</v>
      </c>
      <c r="BE89" s="591">
        <f t="shared" si="172"/>
        <v>3.4834971005266495</v>
      </c>
      <c r="BF89" s="591">
        <f t="shared" si="172"/>
        <v>2.8216326514265861</v>
      </c>
      <c r="BG89" s="591">
        <f t="shared" si="172"/>
        <v>2.1597682023265286</v>
      </c>
      <c r="BH89" s="591">
        <f t="shared" si="172"/>
        <v>1.718525236259782</v>
      </c>
      <c r="BI89" s="591">
        <f t="shared" si="172"/>
        <v>1.2772822701931017</v>
      </c>
      <c r="BJ89" s="592">
        <f t="shared" si="172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3">+IF(CB89="","",CB89*$AH89)</f>
        <v/>
      </c>
      <c r="CQ89" s="591" t="str">
        <f t="shared" si="173"/>
        <v/>
      </c>
      <c r="CR89" s="591" t="str">
        <f t="shared" si="173"/>
        <v/>
      </c>
      <c r="CS89" s="591" t="str">
        <f t="shared" si="173"/>
        <v/>
      </c>
      <c r="CT89" s="591" t="str">
        <f t="shared" si="173"/>
        <v/>
      </c>
      <c r="CU89" s="591" t="str">
        <f t="shared" si="173"/>
        <v/>
      </c>
      <c r="CV89" s="591" t="str">
        <f t="shared" si="173"/>
        <v/>
      </c>
      <c r="CW89" s="591" t="str">
        <f t="shared" si="173"/>
        <v/>
      </c>
      <c r="CX89" s="591" t="str">
        <f t="shared" si="173"/>
        <v/>
      </c>
      <c r="CY89" s="591" t="str">
        <f t="shared" si="173"/>
        <v/>
      </c>
      <c r="CZ89" s="591" t="str">
        <f t="shared" si="173"/>
        <v/>
      </c>
      <c r="DA89" s="591" t="str">
        <f t="shared" si="173"/>
        <v/>
      </c>
      <c r="DB89" s="591" t="str">
        <f t="shared" si="173"/>
        <v/>
      </c>
      <c r="DC89" s="592" t="str">
        <f t="shared" si="173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1441</v>
      </c>
      <c r="DO89" s="599" t="s">
        <v>1441</v>
      </c>
      <c r="DP89" s="599" t="s">
        <v>1441</v>
      </c>
      <c r="DQ89" s="600" t="s">
        <v>1441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1442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1443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4">0.05*BK78</f>
        <v>0.45976135716123356</v>
      </c>
      <c r="AX92" s="222">
        <f t="shared" si="174"/>
        <v>0.35887383114809163</v>
      </c>
      <c r="AY92" s="222">
        <f t="shared" si="174"/>
        <v>0.15821478661537516</v>
      </c>
      <c r="AZ92" s="222">
        <f t="shared" si="174"/>
        <v>9.9788867633869835E-2</v>
      </c>
      <c r="BA92" s="222">
        <f t="shared" si="174"/>
        <v>7.9246601656003113E-2</v>
      </c>
      <c r="BB92" s="222">
        <f t="shared" si="174"/>
        <v>4.8433202689203016E-2</v>
      </c>
      <c r="BC92" s="222">
        <f t="shared" si="174"/>
        <v>1.7807392237011568E-2</v>
      </c>
      <c r="BD92" s="222">
        <f t="shared" si="174"/>
        <v>1.3469739604707842E-2</v>
      </c>
      <c r="BE92" s="222">
        <f t="shared" si="174"/>
        <v>1.0699240411137064E-2</v>
      </c>
      <c r="BF92" s="222">
        <f t="shared" si="174"/>
        <v>6.5434916207808948E-3</v>
      </c>
      <c r="BG92" s="222">
        <f t="shared" si="174"/>
        <v>2.3877428304250412E-3</v>
      </c>
      <c r="BH92" s="222">
        <f t="shared" si="174"/>
        <v>0</v>
      </c>
      <c r="BI92" s="222">
        <f t="shared" si="174"/>
        <v>0</v>
      </c>
      <c r="BJ92" s="222">
        <f t="shared" si="174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60" t="s">
        <v>1411</v>
      </c>
      <c r="S96" s="905"/>
      <c r="T96" s="905"/>
      <c r="U96" s="905"/>
      <c r="V96" s="906"/>
      <c r="W96" s="962" t="s">
        <v>1412</v>
      </c>
      <c r="X96" s="905"/>
      <c r="Y96" s="905"/>
      <c r="Z96" s="906"/>
      <c r="AA96" s="541" t="s">
        <v>1413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1415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1415</v>
      </c>
      <c r="X97" s="544" t="s">
        <v>1415</v>
      </c>
      <c r="Y97" s="544" t="s">
        <v>1415</v>
      </c>
      <c r="Z97" s="544" t="s">
        <v>1415</v>
      </c>
      <c r="AA97" s="263" t="s">
        <v>1415</v>
      </c>
      <c r="AB97" s="439" t="s">
        <v>59</v>
      </c>
      <c r="AC97" s="439" t="s">
        <v>1416</v>
      </c>
      <c r="AD97" s="542" t="s">
        <v>59</v>
      </c>
      <c r="AE97" s="542" t="s">
        <v>1416</v>
      </c>
      <c r="AF97" s="542" t="s">
        <v>59</v>
      </c>
      <c r="AG97" s="542" t="s">
        <v>1416</v>
      </c>
      <c r="AH97" s="14" t="s">
        <v>59</v>
      </c>
      <c r="AI97" s="963" t="s">
        <v>1444</v>
      </c>
      <c r="AJ97" s="940"/>
      <c r="AK97" s="940"/>
      <c r="AL97" s="940"/>
      <c r="AM97" s="940"/>
      <c r="AN97" s="940"/>
      <c r="AO97" s="940"/>
      <c r="AP97" s="940"/>
      <c r="AQ97" s="940"/>
      <c r="AR97" s="940"/>
      <c r="AS97" s="940"/>
      <c r="AT97" s="940"/>
      <c r="AU97" s="940"/>
      <c r="AV97" s="920"/>
      <c r="AW97" s="963" t="s">
        <v>1445</v>
      </c>
      <c r="AX97" s="940"/>
      <c r="AY97" s="940"/>
      <c r="AZ97" s="940"/>
      <c r="BA97" s="940"/>
      <c r="BB97" s="940"/>
      <c r="BC97" s="940"/>
      <c r="BD97" s="940"/>
      <c r="BE97" s="940"/>
      <c r="BF97" s="940"/>
      <c r="BG97" s="940"/>
      <c r="BH97" s="940"/>
      <c r="BI97" s="940"/>
      <c r="BJ97" s="920"/>
      <c r="BK97" s="963" t="s">
        <v>1446</v>
      </c>
      <c r="BL97" s="940"/>
      <c r="BM97" s="940"/>
      <c r="BN97" s="940"/>
      <c r="BO97" s="940"/>
      <c r="BP97" s="940"/>
      <c r="BQ97" s="940"/>
      <c r="BR97" s="940"/>
      <c r="BS97" s="940"/>
      <c r="BT97" s="940"/>
      <c r="BU97" s="940"/>
      <c r="BV97" s="940"/>
      <c r="BW97" s="940"/>
      <c r="BX97" s="920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1202</v>
      </c>
      <c r="K98" s="608" t="s">
        <v>1447</v>
      </c>
      <c r="L98" s="608" t="s">
        <v>1448</v>
      </c>
      <c r="M98" s="608" t="str">
        <f>+M66</f>
        <v>Type of Oil producing</v>
      </c>
      <c r="N98" s="608" t="s">
        <v>1449</v>
      </c>
      <c r="O98" s="608" t="s">
        <v>1450</v>
      </c>
      <c r="P98" s="609" t="s">
        <v>1422</v>
      </c>
      <c r="Q98" s="609" t="s">
        <v>1451</v>
      </c>
      <c r="R98" s="610" t="s">
        <v>1452</v>
      </c>
      <c r="S98" s="610" t="s">
        <v>1453</v>
      </c>
      <c r="T98" s="610" t="s">
        <v>1454</v>
      </c>
      <c r="U98" s="610" t="s">
        <v>1455</v>
      </c>
      <c r="V98" s="610" t="s">
        <v>1456</v>
      </c>
      <c r="W98" s="611" t="s">
        <v>1457</v>
      </c>
      <c r="X98" s="611" t="s">
        <v>1458</v>
      </c>
      <c r="Y98" s="611" t="s">
        <v>1459</v>
      </c>
      <c r="Z98" s="611" t="s">
        <v>1460</v>
      </c>
      <c r="AA98" s="612" t="s">
        <v>1461</v>
      </c>
      <c r="AB98" s="552" t="s">
        <v>1462</v>
      </c>
      <c r="AC98" s="552" t="s">
        <v>1435</v>
      </c>
      <c r="AD98" s="549" t="s">
        <v>1463</v>
      </c>
      <c r="AE98" s="549" t="s">
        <v>1464</v>
      </c>
      <c r="AF98" s="549" t="s">
        <v>1465</v>
      </c>
      <c r="AG98" s="549" t="s">
        <v>1466</v>
      </c>
      <c r="AH98" s="553" t="s">
        <v>1467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1222</v>
      </c>
      <c r="K99" s="103" t="s">
        <v>1396</v>
      </c>
      <c r="L99" s="614" t="s">
        <v>6</v>
      </c>
      <c r="M99" s="615" t="s">
        <v>1468</v>
      </c>
      <c r="N99" s="616">
        <f t="shared" ref="N99:O99" si="175">+SUMIFS(N$67:N$89,$I$67:$I$89,$J99,$M$67:$M$89,$K99)</f>
        <v>0</v>
      </c>
      <c r="O99" s="616">
        <f t="shared" si="175"/>
        <v>68.585731940983607</v>
      </c>
      <c r="P99" s="617">
        <f t="shared" ref="P99:P105" si="176">+O99/(N99+O99)</f>
        <v>1</v>
      </c>
      <c r="Q99" s="618">
        <f t="shared" ref="Q99:V99" si="177">+SUMIFS(Q$67:Q$89,$I$67:$I$89,$J99,$M$67:$M$89,$K99)</f>
        <v>66.042848806832495</v>
      </c>
      <c r="R99" s="619">
        <f t="shared" si="177"/>
        <v>2.4500442407782339</v>
      </c>
      <c r="S99" s="620">
        <f t="shared" si="177"/>
        <v>9.2838893372876957E-2</v>
      </c>
      <c r="T99" s="619">
        <f t="shared" si="177"/>
        <v>5.6186813035864835</v>
      </c>
      <c r="U99" s="619">
        <f t="shared" si="177"/>
        <v>0</v>
      </c>
      <c r="V99" s="619">
        <f t="shared" si="177"/>
        <v>60.424167503246018</v>
      </c>
      <c r="W99" s="559">
        <f t="shared" ref="W99:Y99" si="178">+IF($O99=0,"-",R99/$O99)</f>
        <v>3.5722360488715625E-2</v>
      </c>
      <c r="X99" s="621">
        <f t="shared" si="178"/>
        <v>1.3536181760480828E-3</v>
      </c>
      <c r="Y99" s="559">
        <f t="shared" si="178"/>
        <v>8.1922014165004831E-2</v>
      </c>
      <c r="Z99" s="559">
        <f t="shared" ref="Z99:Z112" si="179">+IF($O99=0,"-",V99/$O99)</f>
        <v>0.88100200717023158</v>
      </c>
      <c r="AA99" s="560">
        <f t="shared" ref="AA99:AA101" si="180">+IF($T99=0,"-",U99/$T99)</f>
        <v>0</v>
      </c>
      <c r="AB99" s="622">
        <f t="shared" ref="AB99:AB105" si="181">+SUMIFS(AB$67:AB$89,$I$67:$I$89,$J99,$M$67:$M$89,$K99)</f>
        <v>266.73883552000007</v>
      </c>
      <c r="AC99" s="623">
        <f t="shared" ref="AC99:AC105" si="182">+IF((N99+O99)=0,"-",AB99/(N99+O99))</f>
        <v>3.8891301145480592</v>
      </c>
      <c r="AD99" s="563">
        <f t="shared" ref="AD99:AD112" si="183">+AB99*(100%-P99)</f>
        <v>0</v>
      </c>
      <c r="AE99" s="564" t="str">
        <f t="shared" ref="AE99:AE112" si="184">+IF(N99=0,"-",AD99/N99)</f>
        <v>-</v>
      </c>
      <c r="AF99" s="563">
        <f t="shared" ref="AF99:AF112" si="185">+AB99*(P99)</f>
        <v>266.73883552000007</v>
      </c>
      <c r="AG99" s="624">
        <f t="shared" ref="AG99:AG105" si="186">+AF99/O99</f>
        <v>3.8891301145480592</v>
      </c>
      <c r="AH99" s="616">
        <f t="shared" ref="AH99:AH105" si="187">+SUMIFS(AH$67:AH$89,$I$67:$I$89,$J99,$M$67:$M$89,$K99)</f>
        <v>68.585731940983607</v>
      </c>
      <c r="AI99" s="616">
        <f t="shared" ref="AI99:AV99" si="188">+SUMIFS(BK$67:BK$89,$I$67:$I$89,$J99,$M$67:$M$89,$K99)</f>
        <v>68.585731940983607</v>
      </c>
      <c r="AJ99" s="616">
        <f t="shared" si="188"/>
        <v>55.42289382660443</v>
      </c>
      <c r="AK99" s="616">
        <f t="shared" si="188"/>
        <v>48.301053084017497</v>
      </c>
      <c r="AL99" s="616">
        <f t="shared" si="188"/>
        <v>38.921861734744084</v>
      </c>
      <c r="AM99" s="616">
        <f t="shared" si="188"/>
        <v>31.12573621980787</v>
      </c>
      <c r="AN99" s="616">
        <f t="shared" si="188"/>
        <v>20.101904077407454</v>
      </c>
      <c r="AO99" s="616">
        <f t="shared" si="188"/>
        <v>8.0077874319897546</v>
      </c>
      <c r="AP99" s="616">
        <f t="shared" si="188"/>
        <v>2.86729599242289</v>
      </c>
      <c r="AQ99" s="616">
        <f t="shared" si="188"/>
        <v>2.3371052350566992</v>
      </c>
      <c r="AR99" s="616">
        <f t="shared" si="188"/>
        <v>1.5418190990073675</v>
      </c>
      <c r="AS99" s="616">
        <f t="shared" si="188"/>
        <v>0.74653296295810601</v>
      </c>
      <c r="AT99" s="616">
        <f t="shared" si="188"/>
        <v>0.21634220559186546</v>
      </c>
      <c r="AU99" s="616">
        <f t="shared" si="188"/>
        <v>0</v>
      </c>
      <c r="AV99" s="616">
        <f t="shared" si="188"/>
        <v>0</v>
      </c>
      <c r="AW99" s="625">
        <f t="shared" ref="AW99:BJ99" si="189">+AI99*(100%-$P99)</f>
        <v>0</v>
      </c>
      <c r="AX99" s="625">
        <f t="shared" si="189"/>
        <v>0</v>
      </c>
      <c r="AY99" s="625">
        <f t="shared" si="189"/>
        <v>0</v>
      </c>
      <c r="AZ99" s="625">
        <f t="shared" si="189"/>
        <v>0</v>
      </c>
      <c r="BA99" s="625">
        <f t="shared" si="189"/>
        <v>0</v>
      </c>
      <c r="BB99" s="625">
        <f t="shared" si="189"/>
        <v>0</v>
      </c>
      <c r="BC99" s="625">
        <f t="shared" si="189"/>
        <v>0</v>
      </c>
      <c r="BD99" s="625">
        <f t="shared" si="189"/>
        <v>0</v>
      </c>
      <c r="BE99" s="625">
        <f t="shared" si="189"/>
        <v>0</v>
      </c>
      <c r="BF99" s="625">
        <f t="shared" si="189"/>
        <v>0</v>
      </c>
      <c r="BG99" s="625">
        <f t="shared" si="189"/>
        <v>0</v>
      </c>
      <c r="BH99" s="625">
        <f t="shared" si="189"/>
        <v>0</v>
      </c>
      <c r="BI99" s="625">
        <f t="shared" si="189"/>
        <v>0</v>
      </c>
      <c r="BJ99" s="625">
        <f t="shared" si="189"/>
        <v>0</v>
      </c>
      <c r="BK99" s="625">
        <f t="shared" ref="BK99:BX99" si="190">+AI99*($P99)</f>
        <v>68.585731940983607</v>
      </c>
      <c r="BL99" s="625">
        <f t="shared" si="190"/>
        <v>55.42289382660443</v>
      </c>
      <c r="BM99" s="625">
        <f t="shared" si="190"/>
        <v>48.301053084017497</v>
      </c>
      <c r="BN99" s="625">
        <f t="shared" si="190"/>
        <v>38.921861734744084</v>
      </c>
      <c r="BO99" s="625">
        <f t="shared" si="190"/>
        <v>31.12573621980787</v>
      </c>
      <c r="BP99" s="625">
        <f t="shared" si="190"/>
        <v>20.101904077407454</v>
      </c>
      <c r="BQ99" s="625">
        <f t="shared" si="190"/>
        <v>8.0077874319897546</v>
      </c>
      <c r="BR99" s="625">
        <f t="shared" si="190"/>
        <v>2.86729599242289</v>
      </c>
      <c r="BS99" s="625">
        <f t="shared" si="190"/>
        <v>2.3371052350566992</v>
      </c>
      <c r="BT99" s="625">
        <f t="shared" si="190"/>
        <v>1.5418190990073675</v>
      </c>
      <c r="BU99" s="625">
        <f t="shared" si="190"/>
        <v>0.74653296295810601</v>
      </c>
      <c r="BV99" s="625">
        <f t="shared" si="190"/>
        <v>0.21634220559186546</v>
      </c>
      <c r="BW99" s="625">
        <f t="shared" si="190"/>
        <v>0</v>
      </c>
      <c r="BX99" s="625">
        <f t="shared" si="190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1226</v>
      </c>
      <c r="K100" s="103" t="s">
        <v>1196</v>
      </c>
      <c r="L100" s="614" t="s">
        <v>12</v>
      </c>
      <c r="M100" s="626" t="s">
        <v>1469</v>
      </c>
      <c r="N100" s="616">
        <f t="shared" ref="N100:O100" si="191">+SUMIFS(N$67:N$89,$I$67:$I$89,$J100,$M$67:$M$89,$K100)</f>
        <v>107.6091233110016</v>
      </c>
      <c r="O100" s="616">
        <f t="shared" si="191"/>
        <v>256.07651205217701</v>
      </c>
      <c r="P100" s="617">
        <f t="shared" si="176"/>
        <v>0.70411500249785086</v>
      </c>
      <c r="Q100" s="618">
        <f t="shared" ref="Q100:V100" si="192">+SUMIFS(Q$67:Q$89,$I$67:$I$89,$J100,$M$67:$M$89,$K100)</f>
        <v>209.74608813235034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69.637902700685089</v>
      </c>
      <c r="U100" s="619">
        <f t="shared" si="192"/>
        <v>14.229458377200496</v>
      </c>
      <c r="V100" s="619">
        <f t="shared" si="192"/>
        <v>154.33764380886575</v>
      </c>
      <c r="W100" s="559">
        <f t="shared" ref="W100:Y100" si="193">+IF($O100=0,"-",R100/$O100)</f>
        <v>0.11261476193372918</v>
      </c>
      <c r="X100" s="559">
        <f t="shared" si="193"/>
        <v>1.2742168638979654E-2</v>
      </c>
      <c r="Y100" s="559">
        <f t="shared" si="193"/>
        <v>0.27194178076939746</v>
      </c>
      <c r="Z100" s="559">
        <f t="shared" si="179"/>
        <v>0.60270128865789374</v>
      </c>
      <c r="AA100" s="560">
        <f t="shared" si="180"/>
        <v>0.20433496451438232</v>
      </c>
      <c r="AB100" s="622">
        <f t="shared" si="181"/>
        <v>2135.7396415784524</v>
      </c>
      <c r="AC100" s="623">
        <f t="shared" si="182"/>
        <v>5.8724883083317003</v>
      </c>
      <c r="AD100" s="563">
        <f t="shared" si="183"/>
        <v>631.93331851368123</v>
      </c>
      <c r="AE100" s="627">
        <f t="shared" si="184"/>
        <v>5.8724883083317012</v>
      </c>
      <c r="AF100" s="563">
        <f t="shared" si="185"/>
        <v>1503.806323064771</v>
      </c>
      <c r="AG100" s="627">
        <f t="shared" si="186"/>
        <v>5.8724883083316994</v>
      </c>
      <c r="AH100" s="616">
        <f t="shared" si="187"/>
        <v>363.68563536317856</v>
      </c>
      <c r="AI100" s="616">
        <f t="shared" ref="AI100:AV100" si="194">+SUMIFS(BK$67:BK$89,$I$67:$I$89,$J100,$M$67:$M$89,$K100)</f>
        <v>363.68563536317856</v>
      </c>
      <c r="AJ100" s="616">
        <f t="shared" si="194"/>
        <v>357.03963544887284</v>
      </c>
      <c r="AK100" s="616">
        <f t="shared" si="194"/>
        <v>291.71333965512213</v>
      </c>
      <c r="AL100" s="616">
        <f t="shared" si="194"/>
        <v>219.06541620476196</v>
      </c>
      <c r="AM100" s="616">
        <f t="shared" si="194"/>
        <v>170.23519767765302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107.60912331100161</v>
      </c>
      <c r="AX100" s="625">
        <f t="shared" si="195"/>
        <v>105.64267164295798</v>
      </c>
      <c r="AY100" s="625">
        <f t="shared" si="195"/>
        <v>86.31360077519939</v>
      </c>
      <c r="AZ100" s="625">
        <f t="shared" si="195"/>
        <v>64.818170126553255</v>
      </c>
      <c r="BA100" s="625">
        <f t="shared" si="195"/>
        <v>50.37004103963023</v>
      </c>
      <c r="BB100" s="625">
        <f t="shared" si="195"/>
        <v>33.125098424587975</v>
      </c>
      <c r="BC100" s="625">
        <f t="shared" si="195"/>
        <v>21.416135953317301</v>
      </c>
      <c r="BD100" s="625">
        <f t="shared" si="195"/>
        <v>15.455571561075693</v>
      </c>
      <c r="BE100" s="625">
        <f t="shared" si="195"/>
        <v>11.562591222394092</v>
      </c>
      <c r="BF100" s="625">
        <f t="shared" si="195"/>
        <v>6.9227905809602914</v>
      </c>
      <c r="BG100" s="625">
        <f t="shared" si="195"/>
        <v>5.1349336813437025</v>
      </c>
      <c r="BH100" s="625">
        <f t="shared" si="195"/>
        <v>3.9430290815993234</v>
      </c>
      <c r="BI100" s="625">
        <f t="shared" si="195"/>
        <v>2.9675745605285977</v>
      </c>
      <c r="BJ100" s="625">
        <f t="shared" si="195"/>
        <v>1.9794292415417585</v>
      </c>
      <c r="BK100" s="625">
        <f t="shared" ref="BK100:BX100" si="196">+AI100*($P100)</f>
        <v>256.07651205217695</v>
      </c>
      <c r="BL100" s="625">
        <f t="shared" si="196"/>
        <v>251.39696380591485</v>
      </c>
      <c r="BM100" s="625">
        <f t="shared" si="196"/>
        <v>205.39973887992272</v>
      </c>
      <c r="BN100" s="625">
        <f t="shared" si="196"/>
        <v>154.24724607820872</v>
      </c>
      <c r="BO100" s="625">
        <f t="shared" si="196"/>
        <v>119.8651566380228</v>
      </c>
      <c r="BP100" s="625">
        <f t="shared" si="196"/>
        <v>78.827513922198463</v>
      </c>
      <c r="BQ100" s="625">
        <f t="shared" si="196"/>
        <v>50.963795892202334</v>
      </c>
      <c r="BR100" s="625">
        <f t="shared" si="196"/>
        <v>36.779491695091707</v>
      </c>
      <c r="BS100" s="625">
        <f t="shared" si="196"/>
        <v>27.515399618659306</v>
      </c>
      <c r="BT100" s="625">
        <f t="shared" si="196"/>
        <v>16.474105643594008</v>
      </c>
      <c r="BU100" s="625">
        <f t="shared" si="196"/>
        <v>12.219557843041224</v>
      </c>
      <c r="BV100" s="625">
        <f t="shared" si="196"/>
        <v>9.3831926426727339</v>
      </c>
      <c r="BW100" s="625">
        <f t="shared" si="196"/>
        <v>7.061911846625395</v>
      </c>
      <c r="BX100" s="625">
        <f t="shared" si="196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1226</v>
      </c>
      <c r="K101" s="103" t="s">
        <v>1194</v>
      </c>
      <c r="L101" s="614" t="s">
        <v>16</v>
      </c>
      <c r="M101" s="34" t="s">
        <v>1470</v>
      </c>
      <c r="N101" s="616">
        <f t="shared" ref="N101:O101" si="197">+SUMIFS(N$67:N$89,$I$67:$I$89,$J101,$M$67:$M$89,$K101)</f>
        <v>724.65339318846713</v>
      </c>
      <c r="O101" s="616">
        <f t="shared" si="197"/>
        <v>2.0511176562165518</v>
      </c>
      <c r="P101" s="617">
        <f t="shared" si="176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19">
        <f t="shared" si="198"/>
        <v>0.4330294316488485</v>
      </c>
      <c r="U101" s="619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79"/>
        <v>0</v>
      </c>
      <c r="AA101" s="560">
        <f t="shared" si="180"/>
        <v>0.4507029118970462</v>
      </c>
      <c r="AB101" s="622">
        <f t="shared" si="181"/>
        <v>6496.7121983715815</v>
      </c>
      <c r="AC101" s="623">
        <f t="shared" si="182"/>
        <v>8.9399640451111821</v>
      </c>
      <c r="AD101" s="563">
        <f t="shared" si="183"/>
        <v>6478.3752802727131</v>
      </c>
      <c r="AE101" s="627">
        <f t="shared" si="184"/>
        <v>8.9399640451111821</v>
      </c>
      <c r="AF101" s="563">
        <f t="shared" si="185"/>
        <v>18.33691809886869</v>
      </c>
      <c r="AG101" s="627">
        <f t="shared" si="186"/>
        <v>8.9399640451111804</v>
      </c>
      <c r="AH101" s="616">
        <f t="shared" si="187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1245</v>
      </c>
      <c r="K102" s="103" t="s">
        <v>1196</v>
      </c>
      <c r="L102" s="614" t="s">
        <v>20</v>
      </c>
      <c r="M102" s="34" t="s">
        <v>1471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6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79"/>
        <v>0</v>
      </c>
      <c r="AA102" s="560">
        <f>+IF($T102=0,0,U102/$T102)</f>
        <v>0</v>
      </c>
      <c r="AB102" s="622">
        <f t="shared" si="181"/>
        <v>44.660401360000002</v>
      </c>
      <c r="AC102" s="623">
        <f t="shared" si="182"/>
        <v>7.9251279398869023</v>
      </c>
      <c r="AD102" s="563">
        <f t="shared" si="183"/>
        <v>34.54842039201656</v>
      </c>
      <c r="AE102" s="627">
        <f t="shared" si="184"/>
        <v>7.9251279398869032</v>
      </c>
      <c r="AF102" s="563">
        <f t="shared" si="185"/>
        <v>10.111980967983444</v>
      </c>
      <c r="AG102" s="627">
        <f t="shared" si="186"/>
        <v>7.9251279398869032</v>
      </c>
      <c r="AH102" s="616">
        <f t="shared" si="187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1247</v>
      </c>
      <c r="K103" s="103" t="s">
        <v>1195</v>
      </c>
      <c r="L103" s="614" t="s">
        <v>24</v>
      </c>
      <c r="M103" s="34" t="s">
        <v>1472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6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79"/>
        <v>0.18759637736801693</v>
      </c>
      <c r="AA103" s="560">
        <f t="shared" ref="AA103:AA104" si="212">+IF($T103=0,"-",U103/$T103)</f>
        <v>0</v>
      </c>
      <c r="AB103" s="622">
        <f t="shared" si="181"/>
        <v>1058.6607668001971</v>
      </c>
      <c r="AC103" s="623">
        <f t="shared" si="182"/>
        <v>6.3988764764176702</v>
      </c>
      <c r="AD103" s="563">
        <f t="shared" si="183"/>
        <v>1027.9533241655267</v>
      </c>
      <c r="AE103" s="627">
        <f t="shared" si="184"/>
        <v>6.3988764764176693</v>
      </c>
      <c r="AF103" s="563">
        <f t="shared" si="185"/>
        <v>30.707442634670208</v>
      </c>
      <c r="AG103" s="627">
        <f t="shared" si="186"/>
        <v>6.3988764764176702</v>
      </c>
      <c r="AH103" s="616">
        <f t="shared" si="187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1256</v>
      </c>
      <c r="K104" s="103" t="s">
        <v>1195</v>
      </c>
      <c r="L104" s="614" t="s">
        <v>28</v>
      </c>
      <c r="M104" s="626" t="s">
        <v>1473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6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79"/>
        <v>8.7309826136574556E-4</v>
      </c>
      <c r="AA104" s="560">
        <f t="shared" si="212"/>
        <v>0.39345284643786937</v>
      </c>
      <c r="AB104" s="622">
        <f t="shared" si="181"/>
        <v>283.33235609852005</v>
      </c>
      <c r="AC104" s="623">
        <f t="shared" si="182"/>
        <v>9.4876824825658908</v>
      </c>
      <c r="AD104" s="563">
        <f t="shared" si="183"/>
        <v>269.39977011015941</v>
      </c>
      <c r="AE104" s="627">
        <f t="shared" si="184"/>
        <v>9.4876824825658908</v>
      </c>
      <c r="AF104" s="563">
        <f t="shared" si="185"/>
        <v>13.932585988360662</v>
      </c>
      <c r="AG104" s="627">
        <f t="shared" si="186"/>
        <v>9.4876824825658908</v>
      </c>
      <c r="AH104" s="616">
        <f t="shared" si="187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1264</v>
      </c>
      <c r="K105" s="103" t="s">
        <v>1396</v>
      </c>
      <c r="L105" s="614" t="s">
        <v>31</v>
      </c>
      <c r="M105" s="626" t="s">
        <v>1474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6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79"/>
        <v>0.98068002602759363</v>
      </c>
      <c r="AA105" s="560">
        <f>+IF($T105=0,0,U105/$T105)</f>
        <v>0</v>
      </c>
      <c r="AB105" s="622">
        <f t="shared" si="181"/>
        <v>157.75252398843665</v>
      </c>
      <c r="AC105" s="623">
        <f t="shared" si="182"/>
        <v>11.426488619661082</v>
      </c>
      <c r="AD105" s="563">
        <f t="shared" si="183"/>
        <v>0.85610621750016469</v>
      </c>
      <c r="AE105" s="627">
        <f t="shared" si="184"/>
        <v>11.426488619661127</v>
      </c>
      <c r="AF105" s="563">
        <f t="shared" si="185"/>
        <v>156.89641777093649</v>
      </c>
      <c r="AG105" s="627">
        <f t="shared" si="186"/>
        <v>11.426488619661082</v>
      </c>
      <c r="AH105" s="616">
        <f t="shared" si="187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1226</v>
      </c>
      <c r="K106" s="103" t="s">
        <v>1195</v>
      </c>
      <c r="L106" s="614" t="s">
        <v>1475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79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3"/>
        <v>0</v>
      </c>
      <c r="AE106" s="628" t="str">
        <f t="shared" si="184"/>
        <v>-</v>
      </c>
      <c r="AF106" s="627">
        <f t="shared" si="185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1245</v>
      </c>
      <c r="K107" s="103" t="s">
        <v>1195</v>
      </c>
      <c r="L107" s="614" t="s">
        <v>1475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79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3"/>
        <v>0</v>
      </c>
      <c r="AE107" s="628" t="str">
        <f t="shared" si="184"/>
        <v>-</v>
      </c>
      <c r="AF107" s="627">
        <f t="shared" si="185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1245</v>
      </c>
      <c r="K108" s="103" t="s">
        <v>1194</v>
      </c>
      <c r="L108" s="614" t="s">
        <v>1475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79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3"/>
        <v>0</v>
      </c>
      <c r="AE108" s="628" t="str">
        <f t="shared" si="184"/>
        <v>-</v>
      </c>
      <c r="AF108" s="627">
        <f t="shared" si="185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1247</v>
      </c>
      <c r="K109" s="103" t="s">
        <v>1196</v>
      </c>
      <c r="L109" s="614" t="s">
        <v>1475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79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3"/>
        <v>0</v>
      </c>
      <c r="AE109" s="628" t="str">
        <f t="shared" si="184"/>
        <v>-</v>
      </c>
      <c r="AF109" s="627">
        <f t="shared" si="185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1247</v>
      </c>
      <c r="K110" s="103" t="s">
        <v>1194</v>
      </c>
      <c r="L110" s="614" t="s">
        <v>1475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79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3"/>
        <v>33.307514591244193</v>
      </c>
      <c r="AE110" s="627">
        <f t="shared" si="184"/>
        <v>10.152972558945223</v>
      </c>
      <c r="AF110" s="627">
        <f t="shared" si="185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1256</v>
      </c>
      <c r="K111" s="103" t="s">
        <v>1196</v>
      </c>
      <c r="L111" s="614" t="s">
        <v>1475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79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3"/>
        <v>0</v>
      </c>
      <c r="AE111" s="628" t="str">
        <f t="shared" si="184"/>
        <v>-</v>
      </c>
      <c r="AF111" s="627">
        <f t="shared" si="185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1256</v>
      </c>
      <c r="K112" s="103" t="s">
        <v>1194</v>
      </c>
      <c r="L112" s="614" t="s">
        <v>1475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79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3"/>
        <v>0</v>
      </c>
      <c r="AE112" s="628" t="str">
        <f t="shared" si="184"/>
        <v>-</v>
      </c>
      <c r="AF112" s="627">
        <f t="shared" si="185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55" t="s">
        <v>1476</v>
      </c>
      <c r="K116" s="956"/>
      <c r="L116" s="956"/>
      <c r="M116" s="956"/>
      <c r="N116" s="956"/>
      <c r="O116" s="956"/>
      <c r="P116" s="956"/>
      <c r="Q116" s="956"/>
      <c r="R116" s="956"/>
      <c r="S116" s="956"/>
      <c r="T116" s="956"/>
      <c r="U116" s="956"/>
      <c r="V116" s="956"/>
      <c r="W116" s="956"/>
      <c r="X116" s="956"/>
      <c r="Y116" s="956"/>
      <c r="Z116" s="956"/>
      <c r="AA116" s="956"/>
      <c r="AB116" s="956"/>
      <c r="AC116" s="956"/>
      <c r="AD116" s="956"/>
      <c r="AE116" s="956"/>
      <c r="AF116" s="956"/>
      <c r="AG116" s="957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971.57652717500991</v>
      </c>
      <c r="AY117" s="632">
        <f t="shared" si="273"/>
        <v>812.5441838645703</v>
      </c>
      <c r="AZ117" s="632">
        <f t="shared" si="273"/>
        <v>668.92360361378201</v>
      </c>
      <c r="BA117" s="632">
        <f t="shared" si="273"/>
        <v>559.86485266250133</v>
      </c>
      <c r="BB117" s="632">
        <f t="shared" si="273"/>
        <v>400.90866544257676</v>
      </c>
      <c r="BC117" s="632">
        <f t="shared" si="273"/>
        <v>323.95216648114376</v>
      </c>
      <c r="BD117" s="632">
        <f t="shared" si="273"/>
        <v>269.97511844019584</v>
      </c>
      <c r="BE117" s="632">
        <f t="shared" si="273"/>
        <v>224.31431091820514</v>
      </c>
      <c r="BF117" s="632">
        <f t="shared" si="273"/>
        <v>157.10067813612787</v>
      </c>
      <c r="BG117" s="632">
        <f t="shared" si="273"/>
        <v>103.64564921068032</v>
      </c>
      <c r="BH117" s="632">
        <f t="shared" si="273"/>
        <v>88.388980286709</v>
      </c>
      <c r="BI117" s="632">
        <f t="shared" si="273"/>
        <v>79.012481549996423</v>
      </c>
      <c r="BJ117" s="632">
        <f t="shared" si="273"/>
        <v>66.383024371710619</v>
      </c>
      <c r="BK117" s="633">
        <f t="shared" si="273"/>
        <v>334.25667316952502</v>
      </c>
      <c r="BL117" s="632">
        <f t="shared" si="273"/>
        <v>315.79957710288363</v>
      </c>
      <c r="BM117" s="632">
        <f t="shared" si="273"/>
        <v>260.98945875521662</v>
      </c>
      <c r="BN117" s="632">
        <f t="shared" si="273"/>
        <v>199.14856077668688</v>
      </c>
      <c r="BO117" s="632">
        <f t="shared" si="273"/>
        <v>155.93802583631739</v>
      </c>
      <c r="BP117" s="632">
        <f t="shared" si="273"/>
        <v>102.33865688836053</v>
      </c>
      <c r="BQ117" s="632">
        <f t="shared" si="273"/>
        <v>61.685268979559218</v>
      </c>
      <c r="BR117" s="632">
        <f t="shared" si="273"/>
        <v>41.883982717553593</v>
      </c>
      <c r="BS117" s="632">
        <f t="shared" si="273"/>
        <v>31.756161426473941</v>
      </c>
      <c r="BT117" s="632">
        <f t="shared" si="273"/>
        <v>19.422450620785838</v>
      </c>
      <c r="BU117" s="632">
        <f t="shared" si="273"/>
        <v>14.015670611044998</v>
      </c>
      <c r="BV117" s="632">
        <f t="shared" si="273"/>
        <v>10.50143029698169</v>
      </c>
      <c r="BW117" s="632">
        <f t="shared" si="273"/>
        <v>7.8547503912342362</v>
      </c>
      <c r="BX117" s="634">
        <f t="shared" si="273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1477</v>
      </c>
      <c r="AC118" s="12" t="s">
        <v>1478</v>
      </c>
      <c r="AF118" s="12">
        <f>+AF117*(1000/D8)/1000</f>
        <v>302.87191322450025</v>
      </c>
      <c r="AV118" s="47" t="s">
        <v>662</v>
      </c>
      <c r="AW118" s="635">
        <f t="shared" ref="AW118:BJ118" si="274">+AW117*1000/($D$8*365)</f>
        <v>461.63196063013703</v>
      </c>
      <c r="AX118" s="635">
        <f t="shared" si="274"/>
        <v>437.28886767748605</v>
      </c>
      <c r="AY118" s="635">
        <f t="shared" si="274"/>
        <v>365.71131162791244</v>
      </c>
      <c r="AZ118" s="635">
        <f t="shared" si="274"/>
        <v>301.07030893133543</v>
      </c>
      <c r="BA118" s="635">
        <f t="shared" si="274"/>
        <v>251.98495499377984</v>
      </c>
      <c r="BB118" s="635">
        <f t="shared" si="274"/>
        <v>180.4416754110172</v>
      </c>
      <c r="BC118" s="635">
        <f t="shared" si="274"/>
        <v>145.80495936239356</v>
      </c>
      <c r="BD118" s="635">
        <f t="shared" si="274"/>
        <v>121.51087489430755</v>
      </c>
      <c r="BE118" s="635">
        <f t="shared" si="274"/>
        <v>100.95977854723172</v>
      </c>
      <c r="BF118" s="635">
        <f t="shared" si="274"/>
        <v>70.708148799418154</v>
      </c>
      <c r="BG118" s="635">
        <f t="shared" si="274"/>
        <v>46.64901561055548</v>
      </c>
      <c r="BH118" s="635">
        <f t="shared" si="274"/>
        <v>39.782267298209774</v>
      </c>
      <c r="BI118" s="635">
        <f t="shared" si="274"/>
        <v>35.562076298661417</v>
      </c>
      <c r="BJ118" s="635">
        <f t="shared" si="274"/>
        <v>29.877788057433573</v>
      </c>
      <c r="BK118" s="636">
        <f t="shared" ref="BK118:BX118" si="275">+BK117*1000/($D$7*365)</f>
        <v>907.10221917808201</v>
      </c>
      <c r="BL118" s="635">
        <f t="shared" si="275"/>
        <v>857.01354737124529</v>
      </c>
      <c r="BM118" s="635">
        <f t="shared" si="275"/>
        <v>708.27042875184122</v>
      </c>
      <c r="BN118" s="635">
        <f t="shared" si="275"/>
        <v>540.44725484069693</v>
      </c>
      <c r="BO118" s="635">
        <f t="shared" si="275"/>
        <v>423.18296280844186</v>
      </c>
      <c r="BP118" s="635">
        <f t="shared" si="275"/>
        <v>277.72556308563128</v>
      </c>
      <c r="BQ118" s="635">
        <f t="shared" si="275"/>
        <v>167.40082958217096</v>
      </c>
      <c r="BR118" s="635">
        <f t="shared" si="275"/>
        <v>113.66430866090849</v>
      </c>
      <c r="BS118" s="635">
        <f t="shared" si="275"/>
        <v>86.179534515747221</v>
      </c>
      <c r="BT118" s="635">
        <f t="shared" si="275"/>
        <v>52.708440770773045</v>
      </c>
      <c r="BU118" s="635">
        <f t="shared" si="275"/>
        <v>38.035578449319281</v>
      </c>
      <c r="BV118" s="635">
        <f t="shared" si="275"/>
        <v>28.498670308086265</v>
      </c>
      <c r="BW118" s="635">
        <f t="shared" si="275"/>
        <v>21.316138413682069</v>
      </c>
      <c r="BX118" s="637">
        <f t="shared" si="275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1479</v>
      </c>
      <c r="AC119" s="12" t="s">
        <v>1480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1481</v>
      </c>
      <c r="Y120" s="639" t="s">
        <v>1422</v>
      </c>
      <c r="Z120" s="639" t="s">
        <v>1482</v>
      </c>
      <c r="AA120" s="640" t="s">
        <v>1483</v>
      </c>
      <c r="AB120" s="640" t="s">
        <v>1484</v>
      </c>
      <c r="AC120" s="640" t="s">
        <v>1485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 t="shared" ref="N121:N122" si="278">+$T$133/1000</f>
        <v>1.0582000000000001E-2</v>
      </c>
      <c r="O121" s="379" t="s">
        <v>1486</v>
      </c>
      <c r="S121" s="12">
        <v>11.07</v>
      </c>
      <c r="U121" s="12">
        <f t="shared" ref="U121:U127" si="279">+S121*N121</f>
        <v>0.11714274000000001</v>
      </c>
      <c r="X121" s="615" t="s">
        <v>1468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1302</v>
      </c>
      <c r="AB121" s="12" t="s">
        <v>1302</v>
      </c>
      <c r="AC121" s="12" t="s">
        <v>607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0">J100</f>
        <v>Llanos Orientales</v>
      </c>
      <c r="K122" s="103" t="str">
        <f t="shared" si="280"/>
        <v>Light Oil</v>
      </c>
      <c r="L122" s="614" t="str">
        <f t="shared" si="280"/>
        <v>CAM2</v>
      </c>
      <c r="M122" s="626" t="str">
        <f t="shared" si="280"/>
        <v>LLO - Ligth</v>
      </c>
      <c r="N122" s="379">
        <f t="shared" si="278"/>
        <v>1.0582000000000001E-2</v>
      </c>
      <c r="O122" s="379" t="s">
        <v>1486</v>
      </c>
      <c r="S122" s="12">
        <v>363.69</v>
      </c>
      <c r="U122" s="12">
        <f t="shared" si="279"/>
        <v>3.8485675800000005</v>
      </c>
      <c r="X122" s="626" t="s">
        <v>1469</v>
      </c>
      <c r="Y122" s="400">
        <v>0.70411500249785086</v>
      </c>
      <c r="Z122" s="641">
        <v>209.74608813235034</v>
      </c>
      <c r="AA122" s="12" t="s">
        <v>1302</v>
      </c>
      <c r="AB122" s="12" t="s">
        <v>1302</v>
      </c>
      <c r="AC122" s="12" t="s">
        <v>607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1">J101</f>
        <v>Llanos Orientales</v>
      </c>
      <c r="K123" s="103" t="str">
        <f t="shared" si="281"/>
        <v>Heavy Oil</v>
      </c>
      <c r="L123" s="614" t="str">
        <f t="shared" si="281"/>
        <v>CAM3</v>
      </c>
      <c r="M123" s="34" t="str">
        <f t="shared" si="281"/>
        <v>LLO - Heavy</v>
      </c>
      <c r="N123" s="379">
        <f>+(T135+$T$133)/1000</f>
        <v>1.4998000000000001E-2</v>
      </c>
      <c r="O123" s="379" t="s">
        <v>1486</v>
      </c>
      <c r="S123" s="12">
        <v>726.7</v>
      </c>
      <c r="U123" s="12">
        <f t="shared" si="279"/>
        <v>10.899046600000002</v>
      </c>
      <c r="X123" s="34" t="s">
        <v>1470</v>
      </c>
      <c r="Y123" s="400">
        <v>2.8224919834781799E-3</v>
      </c>
      <c r="Z123" s="641">
        <v>0.23786180586758954</v>
      </c>
      <c r="AA123" s="12" t="s">
        <v>1302</v>
      </c>
      <c r="AB123" s="12" t="s">
        <v>607</v>
      </c>
      <c r="AC123" s="12" t="s">
        <v>1302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2">J102</f>
        <v>Putumayo</v>
      </c>
      <c r="K124" s="103" t="str">
        <f t="shared" si="282"/>
        <v>Light Oil</v>
      </c>
      <c r="L124" s="614" t="str">
        <f t="shared" si="282"/>
        <v>CAM4</v>
      </c>
      <c r="M124" s="34" t="str">
        <f t="shared" si="282"/>
        <v>PU - Ligth</v>
      </c>
      <c r="N124" s="379">
        <f t="shared" ref="N124:N127" si="283">+$T$133/1000</f>
        <v>1.0582000000000001E-2</v>
      </c>
      <c r="O124" s="379" t="s">
        <v>1486</v>
      </c>
      <c r="P124" s="1"/>
      <c r="S124" s="12">
        <v>5.64</v>
      </c>
      <c r="U124" s="12">
        <f t="shared" si="279"/>
        <v>5.9682480000000003E-2</v>
      </c>
      <c r="X124" s="34" t="s">
        <v>1471</v>
      </c>
      <c r="Y124" s="400">
        <v>0.2264193930205074</v>
      </c>
      <c r="Z124" s="641">
        <v>0</v>
      </c>
      <c r="AA124" s="12" t="s">
        <v>1302</v>
      </c>
      <c r="AB124" s="12" t="s">
        <v>607</v>
      </c>
      <c r="AC124" s="12" t="s">
        <v>1302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4">J103</f>
        <v>VMM</v>
      </c>
      <c r="K125" s="103" t="str">
        <f t="shared" si="284"/>
        <v>Medium Oil</v>
      </c>
      <c r="L125" s="614" t="str">
        <f t="shared" si="284"/>
        <v>CAM5</v>
      </c>
      <c r="M125" s="34" t="str">
        <f t="shared" si="284"/>
        <v>VMM - Medium</v>
      </c>
      <c r="N125" s="379">
        <f t="shared" si="283"/>
        <v>1.0582000000000001E-2</v>
      </c>
      <c r="O125" s="379" t="s">
        <v>1486</v>
      </c>
      <c r="P125" s="1"/>
      <c r="S125" s="12">
        <v>165.44</v>
      </c>
      <c r="U125" s="12">
        <f t="shared" si="279"/>
        <v>1.7506860800000001</v>
      </c>
      <c r="X125" s="34" t="s">
        <v>1472</v>
      </c>
      <c r="Y125" s="400">
        <v>2.9005932398423979E-2</v>
      </c>
      <c r="Z125" s="641">
        <v>2.2768748695271519</v>
      </c>
      <c r="AA125" s="12" t="s">
        <v>1302</v>
      </c>
      <c r="AB125" s="12" t="s">
        <v>607</v>
      </c>
      <c r="AC125" s="12" t="s">
        <v>1302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5">J104</f>
        <v>VSM</v>
      </c>
      <c r="K126" s="103" t="str">
        <f t="shared" si="285"/>
        <v>Medium Oil</v>
      </c>
      <c r="L126" s="614" t="str">
        <f t="shared" si="285"/>
        <v>CAM6</v>
      </c>
      <c r="M126" s="626" t="str">
        <f t="shared" si="285"/>
        <v>VSM - Medium</v>
      </c>
      <c r="N126" s="379">
        <f t="shared" si="283"/>
        <v>1.0582000000000001E-2</v>
      </c>
      <c r="O126" s="379" t="s">
        <v>1486</v>
      </c>
      <c r="P126" s="1"/>
      <c r="S126" s="12">
        <v>29.86</v>
      </c>
      <c r="U126" s="12">
        <f t="shared" si="279"/>
        <v>0.31597852000000004</v>
      </c>
      <c r="X126" s="626" t="s">
        <v>1473</v>
      </c>
      <c r="Y126" s="400">
        <v>4.9174002504380532E-2</v>
      </c>
      <c r="Z126" s="641">
        <v>0.61987830491387741</v>
      </c>
      <c r="AA126" s="12" t="s">
        <v>1302</v>
      </c>
      <c r="AB126" s="12" t="s">
        <v>607</v>
      </c>
      <c r="AC126" s="12" t="s">
        <v>1302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1264</v>
      </c>
      <c r="K127" s="103" t="str">
        <f t="shared" ref="K127:M127" si="286">+K105</f>
        <v>Doesn't Apply</v>
      </c>
      <c r="L127" s="614" t="str">
        <f t="shared" si="286"/>
        <v>CAM7</v>
      </c>
      <c r="M127" s="626" t="str">
        <f t="shared" si="286"/>
        <v>VIM - GAS</v>
      </c>
      <c r="N127" s="379">
        <f t="shared" si="283"/>
        <v>1.0582000000000001E-2</v>
      </c>
      <c r="O127" s="379" t="s">
        <v>1486</v>
      </c>
      <c r="P127" s="1"/>
      <c r="S127" s="12">
        <v>11.13</v>
      </c>
      <c r="U127" s="12">
        <f t="shared" si="279"/>
        <v>0.11777766000000002</v>
      </c>
      <c r="X127" s="626" t="s">
        <v>1474</v>
      </c>
      <c r="Y127" s="400">
        <v>0.99457310605335914</v>
      </c>
      <c r="Z127" s="641">
        <v>13.465657577297089</v>
      </c>
      <c r="AA127" s="12" t="s">
        <v>1302</v>
      </c>
      <c r="AB127" s="12" t="s">
        <v>1302</v>
      </c>
      <c r="AC127" s="12" t="s">
        <v>607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7">J106</f>
        <v>Llanos Orientales</v>
      </c>
      <c r="K128" s="103" t="str">
        <f t="shared" si="287"/>
        <v>Medium Oil</v>
      </c>
      <c r="L128" s="614" t="str">
        <f t="shared" si="287"/>
        <v>P</v>
      </c>
      <c r="M128" s="103">
        <f t="shared" si="287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8">J107</f>
        <v>Putumayo</v>
      </c>
      <c r="K129" s="103" t="str">
        <f t="shared" si="288"/>
        <v>Medium Oil</v>
      </c>
      <c r="L129" s="614" t="str">
        <f t="shared" si="288"/>
        <v>P</v>
      </c>
      <c r="M129" s="103">
        <f t="shared" si="288"/>
        <v>0</v>
      </c>
      <c r="N129" s="642"/>
      <c r="O129" s="400"/>
      <c r="P129" s="1"/>
      <c r="U129" s="12">
        <f>+U128/0.0036</f>
        <v>4752.4671277777798</v>
      </c>
      <c r="V129" s="12" t="s">
        <v>599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89">J108</f>
        <v>Putumayo</v>
      </c>
      <c r="K130" s="103" t="str">
        <f t="shared" si="289"/>
        <v>Heavy Oil</v>
      </c>
      <c r="L130" s="614" t="str">
        <f t="shared" si="289"/>
        <v>P</v>
      </c>
      <c r="M130" s="103">
        <f t="shared" si="289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0">J109</f>
        <v>VMM</v>
      </c>
      <c r="K131" s="103" t="str">
        <f t="shared" si="290"/>
        <v>Light Oil</v>
      </c>
      <c r="L131" s="614" t="str">
        <f t="shared" si="290"/>
        <v>P</v>
      </c>
      <c r="M131" s="103">
        <f t="shared" si="290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1">J110</f>
        <v>VMM</v>
      </c>
      <c r="K132" s="103" t="str">
        <f t="shared" si="291"/>
        <v>Heavy Oil</v>
      </c>
      <c r="L132" s="614" t="str">
        <f t="shared" si="291"/>
        <v>P</v>
      </c>
      <c r="M132" s="103">
        <f t="shared" si="291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1487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2">J111</f>
        <v>VSM</v>
      </c>
      <c r="K133" s="103" t="str">
        <f t="shared" si="292"/>
        <v>Light Oil</v>
      </c>
      <c r="L133" s="614" t="str">
        <f t="shared" si="292"/>
        <v>P</v>
      </c>
      <c r="M133" s="103">
        <f t="shared" si="292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1487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3">J112</f>
        <v>VSM</v>
      </c>
      <c r="K134" s="103" t="str">
        <f t="shared" si="293"/>
        <v>Heavy Oil</v>
      </c>
      <c r="L134" s="614" t="str">
        <f t="shared" si="293"/>
        <v>P</v>
      </c>
      <c r="M134" s="103">
        <f t="shared" si="293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1487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1487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1487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58" t="s">
        <v>1488</v>
      </c>
      <c r="K138" s="956"/>
      <c r="L138" s="956"/>
      <c r="M138" s="956"/>
      <c r="N138" s="956"/>
      <c r="O138" s="956"/>
      <c r="P138" s="956"/>
      <c r="Q138" s="956"/>
      <c r="R138" s="956"/>
      <c r="S138" s="956"/>
      <c r="T138" s="956"/>
      <c r="U138" s="956"/>
      <c r="V138" s="956"/>
      <c r="W138" s="956"/>
      <c r="X138" s="956"/>
      <c r="Y138" s="956"/>
      <c r="Z138" s="956"/>
      <c r="AA138" s="956"/>
      <c r="AB138" s="956"/>
      <c r="AC138" s="956"/>
      <c r="AD138" s="956"/>
      <c r="AE138" s="956"/>
      <c r="AF138" s="956"/>
      <c r="AG138" s="957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4">J120</f>
        <v>Basin</v>
      </c>
      <c r="K140" s="608" t="str">
        <f t="shared" si="294"/>
        <v>Type Fluid</v>
      </c>
      <c r="L140" s="608" t="str">
        <f t="shared" si="294"/>
        <v>CAM</v>
      </c>
      <c r="M140" s="608" t="str">
        <f t="shared" si="294"/>
        <v>Type of Oil producing</v>
      </c>
      <c r="N140" s="426" t="s">
        <v>1489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5">J121</f>
        <v>Guajira</v>
      </c>
      <c r="K141" s="103" t="str">
        <f t="shared" si="295"/>
        <v>Doesn't Apply</v>
      </c>
      <c r="L141" s="614" t="str">
        <f t="shared" si="295"/>
        <v>CAM1</v>
      </c>
      <c r="M141" s="615" t="str">
        <f t="shared" si="295"/>
        <v>GU - Gas</v>
      </c>
      <c r="N141" s="1">
        <f>+T144</f>
        <v>0.4</v>
      </c>
      <c r="O141" s="1"/>
      <c r="P141" s="1"/>
      <c r="Q141" s="1"/>
      <c r="R141" s="1"/>
      <c r="T141" s="805" t="s">
        <v>1640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6">J122</f>
        <v>Llanos Orientales</v>
      </c>
      <c r="K142" s="103" t="str">
        <f t="shared" si="296"/>
        <v>Light Oil</v>
      </c>
      <c r="L142" s="614" t="str">
        <f t="shared" si="296"/>
        <v>CAM2</v>
      </c>
      <c r="M142" s="626" t="str">
        <f t="shared" si="296"/>
        <v>LLO - Ligth</v>
      </c>
      <c r="N142" s="1">
        <f>+T144+0.5</f>
        <v>0.9</v>
      </c>
      <c r="O142" s="1"/>
      <c r="P142" s="1"/>
      <c r="Q142" s="1"/>
      <c r="R142" s="1"/>
      <c r="S142" s="12" t="s">
        <v>1491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7">J123</f>
        <v>Llanos Orientales</v>
      </c>
      <c r="K143" s="103" t="str">
        <f t="shared" si="297"/>
        <v>Heavy Oil</v>
      </c>
      <c r="L143" s="614" t="str">
        <f t="shared" si="297"/>
        <v>CAM3</v>
      </c>
      <c r="M143" s="34" t="str">
        <f t="shared" si="297"/>
        <v>LLO - Heavy</v>
      </c>
      <c r="N143" s="1">
        <f>+T145</f>
        <v>0.5</v>
      </c>
      <c r="O143" s="1"/>
      <c r="P143" s="1"/>
      <c r="Q143" s="1"/>
      <c r="R143" s="1"/>
      <c r="S143" s="12" t="s">
        <v>1483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8">J124</f>
        <v>Putumayo</v>
      </c>
      <c r="K144" s="103" t="str">
        <f t="shared" si="298"/>
        <v>Light Oil</v>
      </c>
      <c r="L144" s="614" t="str">
        <f t="shared" si="298"/>
        <v>CAM4</v>
      </c>
      <c r="M144" s="34" t="str">
        <f t="shared" si="298"/>
        <v>PU - Ligth</v>
      </c>
      <c r="N144" s="1">
        <f>+T145</f>
        <v>0.5</v>
      </c>
      <c r="O144" s="1"/>
      <c r="P144" s="1"/>
      <c r="Q144" s="1"/>
      <c r="R144" s="1"/>
      <c r="S144" s="12" t="s">
        <v>1492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9">J125</f>
        <v>VMM</v>
      </c>
      <c r="K145" s="103" t="str">
        <f t="shared" si="299"/>
        <v>Medium Oil</v>
      </c>
      <c r="L145" s="614" t="str">
        <f t="shared" si="299"/>
        <v>CAM5</v>
      </c>
      <c r="M145" s="34" t="str">
        <f t="shared" si="299"/>
        <v>VMM - Medium</v>
      </c>
      <c r="N145" s="1">
        <f>+T145</f>
        <v>0.5</v>
      </c>
      <c r="O145" s="1"/>
      <c r="P145" s="1"/>
      <c r="Q145" s="1"/>
      <c r="R145" s="1"/>
      <c r="S145" s="12" t="s">
        <v>1485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0">J126</f>
        <v>VSM</v>
      </c>
      <c r="K146" s="103" t="str">
        <f t="shared" si="300"/>
        <v>Medium Oil</v>
      </c>
      <c r="L146" s="614" t="str">
        <f t="shared" si="300"/>
        <v>CAM6</v>
      </c>
      <c r="M146" s="626" t="str">
        <f t="shared" si="300"/>
        <v>VSM - Medium</v>
      </c>
      <c r="N146" s="1">
        <f>+T145</f>
        <v>0.5</v>
      </c>
      <c r="O146" s="1"/>
      <c r="P146" s="1"/>
      <c r="Q146" s="1"/>
      <c r="R146" s="1"/>
      <c r="S146" s="12" t="s">
        <v>1493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1">J127</f>
        <v>VIM</v>
      </c>
      <c r="K147" s="103" t="str">
        <f t="shared" si="301"/>
        <v>Doesn't Apply</v>
      </c>
      <c r="L147" s="614" t="str">
        <f t="shared" si="301"/>
        <v>CAM7</v>
      </c>
      <c r="M147" s="626" t="str">
        <f t="shared" si="301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58" t="s">
        <v>1494</v>
      </c>
      <c r="K152" s="956"/>
      <c r="L152" s="956"/>
      <c r="M152" s="956"/>
      <c r="N152" s="956"/>
      <c r="O152" s="956"/>
      <c r="P152" s="956"/>
      <c r="Q152" s="956"/>
      <c r="R152" s="956"/>
      <c r="S152" s="956"/>
      <c r="T152" s="956"/>
      <c r="U152" s="956"/>
      <c r="V152" s="956"/>
      <c r="W152" s="956"/>
      <c r="X152" s="956"/>
      <c r="Y152" s="956"/>
      <c r="Z152" s="956"/>
      <c r="AA152" s="956"/>
      <c r="AB152" s="956"/>
      <c r="AC152" s="956"/>
      <c r="AD152" s="956"/>
      <c r="AE152" s="956"/>
      <c r="AF152" s="956"/>
      <c r="AG152" s="957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1495</v>
      </c>
      <c r="W154" s="282" t="s">
        <v>1496</v>
      </c>
      <c r="X154" s="282"/>
      <c r="Y154" s="282"/>
      <c r="Z154" s="282"/>
      <c r="AA154" s="282"/>
      <c r="AB154" s="282"/>
      <c r="AC154" s="282"/>
      <c r="AF154" s="282" t="s">
        <v>1497</v>
      </c>
      <c r="AG154" s="282"/>
      <c r="AH154" s="282"/>
      <c r="AI154" s="282"/>
      <c r="AJ154" s="282"/>
      <c r="AK154" s="282"/>
      <c r="AL154" s="282"/>
      <c r="AY154" s="282" t="s">
        <v>1498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2">J120</f>
        <v>Basin</v>
      </c>
      <c r="K155" s="608" t="str">
        <f t="shared" si="302"/>
        <v>Type Fluid</v>
      </c>
      <c r="L155" s="608" t="str">
        <f t="shared" si="302"/>
        <v>CAM</v>
      </c>
      <c r="M155" s="608" t="str">
        <f t="shared" si="302"/>
        <v>Type of Oil producing</v>
      </c>
      <c r="N155" s="952" t="s">
        <v>1499</v>
      </c>
      <c r="O155" s="908"/>
      <c r="P155" s="952" t="s">
        <v>1499</v>
      </c>
      <c r="Q155" s="908"/>
      <c r="R155" s="643" t="s">
        <v>1500</v>
      </c>
      <c r="S155" s="643" t="s">
        <v>1501</v>
      </c>
      <c r="W155" s="12" t="s">
        <v>1502</v>
      </c>
      <c r="X155" s="12" t="s">
        <v>1503</v>
      </c>
      <c r="Y155" s="12" t="s">
        <v>1243</v>
      </c>
      <c r="Z155" s="12" t="s">
        <v>1352</v>
      </c>
      <c r="AA155" s="12" t="s">
        <v>1356</v>
      </c>
      <c r="AB155" s="12" t="s">
        <v>1257</v>
      </c>
      <c r="AC155" s="12" t="s">
        <v>1504</v>
      </c>
      <c r="AF155" s="12" t="s">
        <v>1502</v>
      </c>
      <c r="AG155" s="12" t="s">
        <v>1503</v>
      </c>
      <c r="AH155" s="12" t="s">
        <v>1243</v>
      </c>
      <c r="AI155" s="12" t="s">
        <v>1352</v>
      </c>
      <c r="AJ155" s="12" t="s">
        <v>1356</v>
      </c>
      <c r="AK155" s="12" t="s">
        <v>1257</v>
      </c>
      <c r="AL155" s="12" t="s">
        <v>1504</v>
      </c>
      <c r="AO155" s="12" t="s">
        <v>1502</v>
      </c>
      <c r="AP155" s="12" t="s">
        <v>1503</v>
      </c>
      <c r="AQ155" s="12" t="s">
        <v>1243</v>
      </c>
      <c r="AR155" s="12" t="s">
        <v>1352</v>
      </c>
      <c r="AS155" s="12" t="s">
        <v>1356</v>
      </c>
      <c r="AT155" s="12" t="s">
        <v>1257</v>
      </c>
      <c r="AU155" s="12" t="s">
        <v>1504</v>
      </c>
      <c r="AY155" s="12" t="s">
        <v>1502</v>
      </c>
      <c r="AZ155" s="12" t="s">
        <v>1503</v>
      </c>
      <c r="BA155" s="12" t="s">
        <v>1243</v>
      </c>
      <c r="BB155" s="12" t="s">
        <v>1352</v>
      </c>
      <c r="BC155" s="12" t="s">
        <v>1356</v>
      </c>
      <c r="BD155" s="12" t="s">
        <v>1257</v>
      </c>
      <c r="BE155" s="12" t="s">
        <v>1504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3">J121</f>
        <v>Guajira</v>
      </c>
      <c r="K156" s="103" t="str">
        <f t="shared" si="303"/>
        <v>Doesn't Apply</v>
      </c>
      <c r="L156" s="614" t="str">
        <f t="shared" si="303"/>
        <v>CAM1</v>
      </c>
      <c r="M156" s="615" t="str">
        <f t="shared" si="303"/>
        <v>GU - Gas</v>
      </c>
      <c r="N156" s="644">
        <v>0</v>
      </c>
      <c r="O156" s="645" t="s">
        <v>585</v>
      </c>
      <c r="P156" s="346">
        <f t="shared" ref="P156:P162" si="304">+N156*(365/1000)*$D$14/1000</f>
        <v>0</v>
      </c>
      <c r="Q156" s="12" t="s">
        <v>59</v>
      </c>
      <c r="R156" s="295">
        <f t="shared" ref="R156:R162" si="305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6">+AF156/W156</f>
        <v>0.15405477025270101</v>
      </c>
      <c r="AP156" s="228">
        <f t="shared" si="306"/>
        <v>0.16313036838542497</v>
      </c>
      <c r="AQ156" s="228">
        <f t="shared" si="306"/>
        <v>0</v>
      </c>
      <c r="AR156" s="228">
        <f t="shared" si="306"/>
        <v>0</v>
      </c>
      <c r="AS156" s="228">
        <f t="shared" si="306"/>
        <v>0.20013123783141773</v>
      </c>
      <c r="AT156" s="228">
        <f t="shared" si="306"/>
        <v>0</v>
      </c>
      <c r="AU156" s="228"/>
      <c r="AX156" s="12">
        <v>2019</v>
      </c>
      <c r="AY156" s="231">
        <f t="shared" ref="AY156:BE156" si="307">+W156-AF156</f>
        <v>1906.70037611931</v>
      </c>
      <c r="AZ156" s="231">
        <f t="shared" si="307"/>
        <v>3340.8684145499046</v>
      </c>
      <c r="BA156" s="231">
        <f t="shared" si="307"/>
        <v>469.74801054894476</v>
      </c>
      <c r="BB156" s="231">
        <f t="shared" si="307"/>
        <v>1938.6301241137664</v>
      </c>
      <c r="BC156" s="231">
        <f t="shared" si="307"/>
        <v>5877.8520308516045</v>
      </c>
      <c r="BD156" s="231">
        <f t="shared" si="307"/>
        <v>162.27952651346473</v>
      </c>
      <c r="BE156" s="231">
        <f t="shared" si="307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8">J122</f>
        <v>Llanos Orientales</v>
      </c>
      <c r="K157" s="103" t="str">
        <f t="shared" si="308"/>
        <v>Light Oil</v>
      </c>
      <c r="L157" s="614" t="str">
        <f t="shared" si="308"/>
        <v>CAM2</v>
      </c>
      <c r="M157" s="626" t="str">
        <f t="shared" si="308"/>
        <v>LLO - Ligth</v>
      </c>
      <c r="N157" s="644">
        <f>+Z164+AA164</f>
        <v>14800</v>
      </c>
      <c r="O157" s="645" t="s">
        <v>585</v>
      </c>
      <c r="P157" s="222">
        <f t="shared" si="304"/>
        <v>21.91194918242925</v>
      </c>
      <c r="Q157" s="12" t="s">
        <v>59</v>
      </c>
      <c r="R157" s="295">
        <f t="shared" si="305"/>
        <v>0.20433496451438232</v>
      </c>
      <c r="S157" s="205">
        <f t="shared" ref="S157:S158" si="309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0">+AF157/W157</f>
        <v>0.1159077129814239</v>
      </c>
      <c r="AP157" s="228">
        <f t="shared" si="310"/>
        <v>0.13677951758401249</v>
      </c>
      <c r="AQ157" s="228">
        <f t="shared" si="310"/>
        <v>0</v>
      </c>
      <c r="AR157" s="228">
        <f t="shared" si="310"/>
        <v>8.2187866631770315E-2</v>
      </c>
      <c r="AS157" s="228">
        <f t="shared" si="310"/>
        <v>0.88546042212861831</v>
      </c>
      <c r="AT157" s="228">
        <f t="shared" si="310"/>
        <v>0</v>
      </c>
      <c r="AU157" s="228">
        <f t="shared" si="310"/>
        <v>0</v>
      </c>
      <c r="AX157" s="12">
        <v>2020</v>
      </c>
      <c r="AY157" s="231">
        <f t="shared" ref="AY157:BE157" si="311">+W157-AF157</f>
        <v>2676.9587365888206</v>
      </c>
      <c r="AZ157" s="231">
        <f t="shared" si="311"/>
        <v>2862.9972848497969</v>
      </c>
      <c r="BA157" s="231">
        <f t="shared" si="311"/>
        <v>347.53424063269131</v>
      </c>
      <c r="BB157" s="231">
        <f t="shared" si="311"/>
        <v>6553.4300639990279</v>
      </c>
      <c r="BC157" s="231">
        <f t="shared" si="311"/>
        <v>849.91505735840656</v>
      </c>
      <c r="BD157" s="231">
        <f t="shared" si="311"/>
        <v>176.72627372066282</v>
      </c>
      <c r="BE157" s="231">
        <f t="shared" si="311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2">J123</f>
        <v>Llanos Orientales</v>
      </c>
      <c r="K158" s="103" t="str">
        <f t="shared" si="312"/>
        <v>Heavy Oil</v>
      </c>
      <c r="L158" s="614" t="str">
        <f t="shared" si="312"/>
        <v>CAM3</v>
      </c>
      <c r="M158" s="34" t="str">
        <f t="shared" si="312"/>
        <v>LLO - Heavy</v>
      </c>
      <c r="N158" s="644">
        <f>+Y164</f>
        <v>800</v>
      </c>
      <c r="O158" s="645" t="s">
        <v>585</v>
      </c>
      <c r="P158" s="222">
        <f t="shared" si="304"/>
        <v>1.1844296855367162</v>
      </c>
      <c r="Q158" s="12" t="s">
        <v>59</v>
      </c>
      <c r="R158" s="295">
        <f t="shared" si="305"/>
        <v>0.4507029118970462</v>
      </c>
      <c r="S158" s="205">
        <f t="shared" si="309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3">+AF158/W158</f>
        <v>0.1407527708968016</v>
      </c>
      <c r="AP158" s="228">
        <f t="shared" si="313"/>
        <v>0.13242258931901152</v>
      </c>
      <c r="AQ158" s="228">
        <f t="shared" si="313"/>
        <v>0</v>
      </c>
      <c r="AR158" s="228">
        <f t="shared" si="313"/>
        <v>0.11199254112697508</v>
      </c>
      <c r="AS158" s="228">
        <f t="shared" si="313"/>
        <v>1</v>
      </c>
      <c r="AT158" s="228">
        <f t="shared" si="313"/>
        <v>0</v>
      </c>
      <c r="AU158" s="228">
        <f t="shared" si="313"/>
        <v>0</v>
      </c>
      <c r="AX158" s="12">
        <v>2021</v>
      </c>
      <c r="AY158" s="231">
        <f t="shared" ref="AY158:BE158" si="314">+W158-AF158</f>
        <v>2819.0135734125929</v>
      </c>
      <c r="AZ158" s="231">
        <f t="shared" si="314"/>
        <v>2620.6328693276228</v>
      </c>
      <c r="BA158" s="231">
        <f t="shared" si="314"/>
        <v>267.12599398671159</v>
      </c>
      <c r="BB158" s="231">
        <f t="shared" si="314"/>
        <v>6260.0876104745112</v>
      </c>
      <c r="BC158" s="231">
        <f t="shared" si="314"/>
        <v>0</v>
      </c>
      <c r="BD158" s="231">
        <f t="shared" si="314"/>
        <v>169.26612475518095</v>
      </c>
      <c r="BE158" s="231">
        <f t="shared" si="314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5">J124</f>
        <v>Putumayo</v>
      </c>
      <c r="K159" s="103" t="str">
        <f t="shared" si="315"/>
        <v>Light Oil</v>
      </c>
      <c r="L159" s="614" t="str">
        <f t="shared" si="315"/>
        <v>CAM4</v>
      </c>
      <c r="M159" s="34" t="str">
        <f t="shared" si="315"/>
        <v>PU - Ligth</v>
      </c>
      <c r="N159" s="644">
        <f>+T102</f>
        <v>0</v>
      </c>
      <c r="O159" s="645" t="s">
        <v>585</v>
      </c>
      <c r="P159" s="346">
        <f t="shared" si="304"/>
        <v>0</v>
      </c>
      <c r="Q159" s="12" t="s">
        <v>59</v>
      </c>
      <c r="R159" s="295">
        <f t="shared" si="305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6">+AF159/W159</f>
        <v>0.12152481352242414</v>
      </c>
      <c r="AP159" s="228">
        <f t="shared" si="316"/>
        <v>0.31368170130091166</v>
      </c>
      <c r="AQ159" s="228">
        <f t="shared" si="316"/>
        <v>1</v>
      </c>
      <c r="AR159" s="228">
        <f t="shared" si="316"/>
        <v>7.2943751298862075E-2</v>
      </c>
      <c r="AS159" s="228">
        <f t="shared" si="316"/>
        <v>0.28868562382529195</v>
      </c>
      <c r="AT159" s="228">
        <f t="shared" si="316"/>
        <v>0</v>
      </c>
      <c r="AU159" s="228"/>
      <c r="AX159" s="12">
        <v>2022</v>
      </c>
      <c r="AY159" s="231">
        <f t="shared" ref="AY159:BE159" si="317">+W159-AF159</f>
        <v>2623.1530688385824</v>
      </c>
      <c r="AZ159" s="231">
        <f t="shared" si="317"/>
        <v>3118.5927400944838</v>
      </c>
      <c r="BA159" s="231">
        <f t="shared" si="317"/>
        <v>0</v>
      </c>
      <c r="BB159" s="231">
        <f t="shared" si="317"/>
        <v>7406.3260273972601</v>
      </c>
      <c r="BC159" s="231">
        <f t="shared" si="317"/>
        <v>5405.9892589277824</v>
      </c>
      <c r="BD159" s="231">
        <f t="shared" si="317"/>
        <v>162.77808219178081</v>
      </c>
      <c r="BE159" s="231">
        <f t="shared" si="317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8">J125</f>
        <v>VMM</v>
      </c>
      <c r="K160" s="103" t="str">
        <f t="shared" si="318"/>
        <v>Medium Oil</v>
      </c>
      <c r="L160" s="614" t="str">
        <f t="shared" si="318"/>
        <v>CAM5</v>
      </c>
      <c r="M160" s="34" t="str">
        <f t="shared" si="318"/>
        <v>VMM - Medium</v>
      </c>
      <c r="N160" s="644">
        <v>0</v>
      </c>
      <c r="O160" s="645" t="s">
        <v>585</v>
      </c>
      <c r="P160" s="346">
        <f t="shared" si="304"/>
        <v>0</v>
      </c>
      <c r="Q160" s="12" t="s">
        <v>59</v>
      </c>
      <c r="R160" s="295">
        <f t="shared" si="305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9">+AF160/W160</f>
        <v>0.12698412698412698</v>
      </c>
      <c r="AP160" s="228">
        <f t="shared" si="319"/>
        <v>0.3537521850207993</v>
      </c>
      <c r="AQ160" s="228">
        <f t="shared" si="319"/>
        <v>1</v>
      </c>
      <c r="AR160" s="228">
        <f t="shared" si="319"/>
        <v>0</v>
      </c>
      <c r="AS160" s="228">
        <f t="shared" si="319"/>
        <v>0.42318994608237315</v>
      </c>
      <c r="AT160" s="228">
        <f t="shared" si="319"/>
        <v>0</v>
      </c>
      <c r="AU160" s="228"/>
      <c r="AX160" s="12">
        <v>2023</v>
      </c>
      <c r="AY160" s="231">
        <f t="shared" ref="AY160:BE160" si="320">+W160-AF160</f>
        <v>2750</v>
      </c>
      <c r="AZ160" s="231">
        <f t="shared" si="320"/>
        <v>2740.2564945621634</v>
      </c>
      <c r="BA160" s="231">
        <f t="shared" si="320"/>
        <v>0</v>
      </c>
      <c r="BB160" s="231">
        <f t="shared" si="320"/>
        <v>8100</v>
      </c>
      <c r="BC160" s="231">
        <f t="shared" si="320"/>
        <v>4197.9034694971524</v>
      </c>
      <c r="BD160" s="231">
        <f t="shared" si="320"/>
        <v>151.73424657534247</v>
      </c>
      <c r="BE160" s="231">
        <f t="shared" si="320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1">J126</f>
        <v>VSM</v>
      </c>
      <c r="K161" s="103" t="str">
        <f t="shared" si="321"/>
        <v>Medium Oil</v>
      </c>
      <c r="L161" s="614" t="str">
        <f t="shared" si="321"/>
        <v>CAM6</v>
      </c>
      <c r="M161" s="626" t="str">
        <f t="shared" si="321"/>
        <v>VSM - Medium</v>
      </c>
      <c r="N161" s="644">
        <f>+AB164</f>
        <v>176.72627372066282</v>
      </c>
      <c r="O161" s="645" t="s">
        <v>585</v>
      </c>
      <c r="P161" s="222">
        <f t="shared" si="304"/>
        <v>0.26164980601130039</v>
      </c>
      <c r="Q161" s="12" t="s">
        <v>59</v>
      </c>
      <c r="R161" s="295">
        <f t="shared" si="305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2">+AF161/W161</f>
        <v>0.126984126984127</v>
      </c>
      <c r="AP161" s="228">
        <f t="shared" si="322"/>
        <v>0.3454379894036303</v>
      </c>
      <c r="AQ161" s="228">
        <f t="shared" si="322"/>
        <v>1</v>
      </c>
      <c r="AR161" s="228">
        <f t="shared" si="322"/>
        <v>0</v>
      </c>
      <c r="AS161" s="228">
        <f t="shared" si="322"/>
        <v>0.53901258557495457</v>
      </c>
      <c r="AT161" s="228">
        <f t="shared" si="322"/>
        <v>0</v>
      </c>
      <c r="AU161" s="228"/>
      <c r="AX161" s="12">
        <v>2024</v>
      </c>
      <c r="AY161" s="231">
        <f t="shared" ref="AY161:BE161" si="323">+W161-AF161</f>
        <v>2757.5342465753424</v>
      </c>
      <c r="AZ161" s="231">
        <f t="shared" si="323"/>
        <v>2850.1005302275316</v>
      </c>
      <c r="BA161" s="231">
        <f t="shared" si="323"/>
        <v>0</v>
      </c>
      <c r="BB161" s="231">
        <f t="shared" si="323"/>
        <v>7666.2742499653305</v>
      </c>
      <c r="BC161" s="231">
        <f t="shared" si="323"/>
        <v>2671.9676736151432</v>
      </c>
      <c r="BD161" s="231">
        <f t="shared" si="323"/>
        <v>137.61095890410959</v>
      </c>
      <c r="BE161" s="231">
        <f t="shared" si="323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4">J127</f>
        <v>VIM</v>
      </c>
      <c r="K162" s="112" t="str">
        <f t="shared" si="324"/>
        <v>Doesn't Apply</v>
      </c>
      <c r="L162" s="646" t="str">
        <f t="shared" si="324"/>
        <v>CAM7</v>
      </c>
      <c r="M162" s="647" t="str">
        <f t="shared" si="324"/>
        <v>VIM - GAS</v>
      </c>
      <c r="N162" s="644">
        <v>0</v>
      </c>
      <c r="O162" s="645" t="s">
        <v>585</v>
      </c>
      <c r="P162" s="346">
        <f t="shared" si="304"/>
        <v>0</v>
      </c>
      <c r="Q162" s="12" t="s">
        <v>59</v>
      </c>
      <c r="R162" s="295">
        <f t="shared" si="305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5">+AF162/W162</f>
        <v>0.12881626914429631</v>
      </c>
      <c r="AP162" s="228">
        <f t="shared" si="325"/>
        <v>0.34536516079758606</v>
      </c>
      <c r="AQ162" s="228"/>
      <c r="AR162" s="228">
        <f t="shared" ref="AR162:AT162" si="326">+AI162/Z162</f>
        <v>0</v>
      </c>
      <c r="AS162" s="228">
        <f t="shared" si="326"/>
        <v>0.6602314418703793</v>
      </c>
      <c r="AT162" s="228">
        <f t="shared" si="326"/>
        <v>0</v>
      </c>
      <c r="AU162" s="228"/>
      <c r="AX162" s="12">
        <v>2025</v>
      </c>
      <c r="AY162" s="231">
        <f t="shared" ref="AY162:BE162" si="327">+W162-AF162</f>
        <v>2705.1978345369666</v>
      </c>
      <c r="AZ162" s="231">
        <f t="shared" si="327"/>
        <v>2843.2290522179519</v>
      </c>
      <c r="BA162" s="231">
        <f t="shared" si="327"/>
        <v>0</v>
      </c>
      <c r="BB162" s="231">
        <f t="shared" si="327"/>
        <v>6475.9477325608286</v>
      </c>
      <c r="BC162" s="231">
        <f t="shared" si="327"/>
        <v>1625.4799448326125</v>
      </c>
      <c r="BD162" s="231">
        <f t="shared" si="327"/>
        <v>122.13972602739726</v>
      </c>
      <c r="BE162" s="231">
        <f t="shared" si="327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8">+AF163/W163</f>
        <v>0.12698412698412698</v>
      </c>
      <c r="AP163" s="228">
        <f t="shared" si="328"/>
        <v>0.33873043815515769</v>
      </c>
      <c r="AQ163" s="228"/>
      <c r="AR163" s="228">
        <f t="shared" ref="AR163:AT163" si="329">+AI163/Z163</f>
        <v>0</v>
      </c>
      <c r="AS163" s="228">
        <f t="shared" si="329"/>
        <v>0.73346577560228654</v>
      </c>
      <c r="AT163" s="228">
        <f t="shared" si="329"/>
        <v>0</v>
      </c>
      <c r="AU163" s="228"/>
      <c r="AX163" s="12">
        <v>2026</v>
      </c>
      <c r="AY163" s="231">
        <f t="shared" ref="AY163:BE163" si="330">+W163-AF163</f>
        <v>2750</v>
      </c>
      <c r="AZ163" s="231">
        <f t="shared" si="330"/>
        <v>2928.3000021182488</v>
      </c>
      <c r="BA163" s="231">
        <f t="shared" si="330"/>
        <v>0</v>
      </c>
      <c r="BB163" s="231">
        <f t="shared" si="330"/>
        <v>5586.0490445797504</v>
      </c>
      <c r="BC163" s="231">
        <f t="shared" si="330"/>
        <v>1147.8040682829555</v>
      </c>
      <c r="BD163" s="231">
        <f t="shared" si="330"/>
        <v>109.89315068493151</v>
      </c>
      <c r="BE163" s="231">
        <f t="shared" si="330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1505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55" t="s">
        <v>1506</v>
      </c>
      <c r="K169" s="956"/>
      <c r="L169" s="956"/>
      <c r="M169" s="956"/>
      <c r="N169" s="956"/>
      <c r="O169" s="956"/>
      <c r="P169" s="956"/>
      <c r="Q169" s="956"/>
      <c r="R169" s="956"/>
      <c r="S169" s="956"/>
      <c r="T169" s="956"/>
      <c r="U169" s="956"/>
      <c r="V169" s="956"/>
      <c r="W169" s="956"/>
      <c r="X169" s="956"/>
      <c r="Y169" s="956"/>
      <c r="Z169" s="956"/>
      <c r="AA169" s="956"/>
      <c r="AB169" s="956"/>
      <c r="AC169" s="956"/>
      <c r="AD169" s="956"/>
      <c r="AE169" s="956"/>
      <c r="AF169" s="956"/>
      <c r="AG169" s="957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42" t="s">
        <v>1507</v>
      </c>
      <c r="K174" s="908"/>
      <c r="L174" s="908"/>
      <c r="M174" s="908"/>
      <c r="N174" s="908"/>
      <c r="O174" s="908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1508</v>
      </c>
      <c r="K176" s="12">
        <v>4.9000000000000004</v>
      </c>
      <c r="L176" s="12" t="s">
        <v>1509</v>
      </c>
      <c r="M176" s="12">
        <f>+K176/1000</f>
        <v>4.9000000000000007E-3</v>
      </c>
      <c r="N176" s="12" t="s">
        <v>1510</v>
      </c>
      <c r="P176" s="12" t="s">
        <v>1511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612</v>
      </c>
      <c r="K177" s="12">
        <v>0.32500000000000001</v>
      </c>
      <c r="L177" s="12" t="s">
        <v>1512</v>
      </c>
      <c r="P177" s="12" t="s">
        <v>1513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1514</v>
      </c>
      <c r="P178" s="12" t="s">
        <v>1515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1516</v>
      </c>
      <c r="P179" s="12" t="s">
        <v>996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1517</v>
      </c>
      <c r="U181" s="14" t="s">
        <v>1518</v>
      </c>
      <c r="V181" s="12" t="s">
        <v>1519</v>
      </c>
      <c r="Y181" s="215" t="s">
        <v>1520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1">J155</f>
        <v>Basin</v>
      </c>
      <c r="K182" s="608" t="str">
        <f t="shared" si="331"/>
        <v>Type Fluid</v>
      </c>
      <c r="L182" s="608" t="str">
        <f t="shared" si="331"/>
        <v>CAM</v>
      </c>
      <c r="M182" s="608" t="str">
        <f t="shared" si="331"/>
        <v>Type of Oil producing</v>
      </c>
      <c r="N182" s="494" t="s">
        <v>1521</v>
      </c>
      <c r="U182" s="446" t="s">
        <v>1522</v>
      </c>
      <c r="V182" s="12" t="s">
        <v>63</v>
      </c>
      <c r="W182" s="12" t="s">
        <v>1523</v>
      </c>
      <c r="X182" s="12" t="s">
        <v>921</v>
      </c>
      <c r="Y182" s="215" t="s">
        <v>1524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1525</v>
      </c>
      <c r="J183" s="103" t="str">
        <f t="shared" ref="J183:M183" si="332">J156</f>
        <v>Guajira</v>
      </c>
      <c r="K183" s="103" t="str">
        <f t="shared" si="332"/>
        <v>Doesn't Apply</v>
      </c>
      <c r="L183" s="614" t="str">
        <f t="shared" si="332"/>
        <v>CAM1</v>
      </c>
      <c r="M183" s="615" t="str">
        <f t="shared" si="332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3">J157</f>
        <v>Llanos Orientales</v>
      </c>
      <c r="K184" s="103" t="str">
        <f t="shared" si="333"/>
        <v>Light Oil</v>
      </c>
      <c r="L184" s="614" t="str">
        <f t="shared" si="333"/>
        <v>CAM2</v>
      </c>
      <c r="M184" s="626" t="str">
        <f t="shared" si="333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4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5">J158</f>
        <v>Llanos Orientales</v>
      </c>
      <c r="K185" s="103" t="str">
        <f t="shared" si="335"/>
        <v>Heavy Oil</v>
      </c>
      <c r="L185" s="614" t="str">
        <f t="shared" si="335"/>
        <v>CAM3</v>
      </c>
      <c r="M185" s="34" t="str">
        <f t="shared" si="335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4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609</v>
      </c>
      <c r="J186" s="103" t="str">
        <f t="shared" ref="J186:M186" si="336">J159</f>
        <v>Putumayo</v>
      </c>
      <c r="K186" s="103" t="str">
        <f t="shared" si="336"/>
        <v>Light Oil</v>
      </c>
      <c r="L186" s="614" t="str">
        <f t="shared" si="336"/>
        <v>CAM4</v>
      </c>
      <c r="M186" s="34" t="str">
        <f t="shared" si="336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4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7">J160</f>
        <v>VMM</v>
      </c>
      <c r="K187" s="103" t="str">
        <f t="shared" si="337"/>
        <v>Medium Oil</v>
      </c>
      <c r="L187" s="614" t="str">
        <f t="shared" si="337"/>
        <v>CAM5</v>
      </c>
      <c r="M187" s="34" t="str">
        <f t="shared" si="337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4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8">J161</f>
        <v>VSM</v>
      </c>
      <c r="K188" s="103" t="str">
        <f t="shared" si="338"/>
        <v>Medium Oil</v>
      </c>
      <c r="L188" s="614" t="str">
        <f t="shared" si="338"/>
        <v>CAM6</v>
      </c>
      <c r="M188" s="626" t="str">
        <f t="shared" si="338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4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39">J162</f>
        <v>VIM</v>
      </c>
      <c r="K189" s="103" t="str">
        <f t="shared" si="339"/>
        <v>Doesn't Apply</v>
      </c>
      <c r="L189" s="614" t="str">
        <f t="shared" si="339"/>
        <v>CAM7</v>
      </c>
      <c r="M189" s="626" t="str">
        <f t="shared" si="339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0">J182</f>
        <v>Basin</v>
      </c>
      <c r="K192" s="608" t="str">
        <f t="shared" si="340"/>
        <v>Type Fluid</v>
      </c>
      <c r="L192" s="608" t="str">
        <f t="shared" si="340"/>
        <v>CAM</v>
      </c>
      <c r="M192" s="608" t="str">
        <f t="shared" si="340"/>
        <v>Type of Oil producing</v>
      </c>
      <c r="N192" s="650" t="s">
        <v>1526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1">J183</f>
        <v>Guajira</v>
      </c>
      <c r="K193" s="103" t="str">
        <f t="shared" si="341"/>
        <v>Doesn't Apply</v>
      </c>
      <c r="L193" s="614" t="str">
        <f t="shared" si="341"/>
        <v>CAM1</v>
      </c>
      <c r="M193" s="615" t="str">
        <f t="shared" si="341"/>
        <v>GU - Gas</v>
      </c>
      <c r="N193" s="12" t="s">
        <v>1527</v>
      </c>
      <c r="Q193" s="330" t="s">
        <v>1528</v>
      </c>
      <c r="R193" s="12">
        <v>3.33</v>
      </c>
      <c r="S193" s="12" t="s">
        <v>1529</v>
      </c>
      <c r="T193" s="12">
        <f>+R193/T197</f>
        <v>0.4052236060193658</v>
      </c>
      <c r="U193" s="12" t="s">
        <v>849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2">J184</f>
        <v>Llanos Orientales</v>
      </c>
      <c r="K194" s="103" t="str">
        <f t="shared" si="342"/>
        <v>Light Oil</v>
      </c>
      <c r="L194" s="614" t="str">
        <f t="shared" si="342"/>
        <v>CAM2</v>
      </c>
      <c r="M194" s="626" t="str">
        <f t="shared" si="342"/>
        <v>LLO - Ligth</v>
      </c>
      <c r="N194" s="286">
        <f>+T193</f>
        <v>0.4052236060193658</v>
      </c>
      <c r="Q194" s="330" t="s">
        <v>1530</v>
      </c>
      <c r="R194" s="12">
        <v>4.5</v>
      </c>
      <c r="S194" s="12" t="s">
        <v>1529</v>
      </c>
      <c r="T194" s="12">
        <f>+R194/T197</f>
        <v>0.54759946759373757</v>
      </c>
      <c r="U194" s="12" t="s">
        <v>849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3">J185</f>
        <v>Llanos Orientales</v>
      </c>
      <c r="K195" s="103" t="str">
        <f t="shared" si="343"/>
        <v>Heavy Oil</v>
      </c>
      <c r="L195" s="614" t="str">
        <f t="shared" si="343"/>
        <v>CAM3</v>
      </c>
      <c r="M195" s="34" t="str">
        <f t="shared" si="343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4">J186</f>
        <v>Putumayo</v>
      </c>
      <c r="K196" s="103" t="str">
        <f t="shared" si="344"/>
        <v>Light Oil</v>
      </c>
      <c r="L196" s="614" t="str">
        <f t="shared" si="344"/>
        <v>CAM4</v>
      </c>
      <c r="M196" s="34" t="str">
        <f t="shared" si="344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5">J187</f>
        <v>VMM</v>
      </c>
      <c r="K197" s="103" t="str">
        <f t="shared" si="345"/>
        <v>Medium Oil</v>
      </c>
      <c r="L197" s="614" t="str">
        <f t="shared" si="345"/>
        <v>CAM5</v>
      </c>
      <c r="M197" s="34" t="str">
        <f t="shared" si="345"/>
        <v>VMM - Medium</v>
      </c>
      <c r="N197" s="286">
        <f>+T193</f>
        <v>0.4052236060193658</v>
      </c>
      <c r="S197" s="12" t="s">
        <v>1531</v>
      </c>
      <c r="T197" s="12">
        <v>8.2176851262728707</v>
      </c>
      <c r="U197" s="12" t="s">
        <v>1529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6">J188</f>
        <v>VSM</v>
      </c>
      <c r="K198" s="103" t="str">
        <f t="shared" si="346"/>
        <v>Medium Oil</v>
      </c>
      <c r="L198" s="614" t="str">
        <f t="shared" si="346"/>
        <v>CAM6</v>
      </c>
      <c r="M198" s="626" t="str">
        <f t="shared" si="346"/>
        <v>VSM - Medium</v>
      </c>
      <c r="N198" s="286">
        <f>+T193</f>
        <v>0.4052236060193658</v>
      </c>
      <c r="U198" s="12" t="s">
        <v>849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7">J189</f>
        <v>VIM</v>
      </c>
      <c r="K199" s="103" t="str">
        <f t="shared" si="347"/>
        <v>Doesn't Apply</v>
      </c>
      <c r="L199" s="614" t="str">
        <f t="shared" si="347"/>
        <v>CAM7</v>
      </c>
      <c r="M199" s="626" t="str">
        <f t="shared" si="347"/>
        <v>VIM - GAS</v>
      </c>
      <c r="N199" s="12" t="s">
        <v>1527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55" t="s">
        <v>1532</v>
      </c>
      <c r="K203" s="956"/>
      <c r="L203" s="956"/>
      <c r="M203" s="956"/>
      <c r="N203" s="956"/>
      <c r="O203" s="956"/>
      <c r="P203" s="956"/>
      <c r="Q203" s="956"/>
      <c r="R203" s="956"/>
      <c r="S203" s="956"/>
      <c r="T203" s="956"/>
      <c r="U203" s="956"/>
      <c r="V203" s="956"/>
      <c r="W203" s="956"/>
      <c r="X203" s="956"/>
      <c r="Y203" s="956"/>
      <c r="Z203" s="956"/>
      <c r="AA203" s="956"/>
      <c r="AB203" s="956"/>
      <c r="AC203" s="956"/>
      <c r="AD203" s="956"/>
      <c r="AE203" s="956"/>
      <c r="AF203" s="956"/>
      <c r="AG203" s="957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52" t="s">
        <v>1533</v>
      </c>
      <c r="P206" s="908"/>
      <c r="Q206" s="908"/>
      <c r="R206" s="908"/>
      <c r="T206" s="907" t="s">
        <v>1534</v>
      </c>
      <c r="U206" s="908"/>
      <c r="V206" s="908"/>
      <c r="W206" s="908"/>
      <c r="Z206" s="959" t="s">
        <v>1535</v>
      </c>
      <c r="AA206" s="905"/>
      <c r="AB206" s="905"/>
      <c r="AC206" s="906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8">J192</f>
        <v>Basin</v>
      </c>
      <c r="K207" s="608" t="str">
        <f t="shared" si="348"/>
        <v>Type Fluid</v>
      </c>
      <c r="L207" s="608" t="str">
        <f t="shared" si="348"/>
        <v>CAM</v>
      </c>
      <c r="M207" s="608" t="str">
        <f t="shared" si="348"/>
        <v>Type of Oil producing</v>
      </c>
      <c r="N207" s="446"/>
      <c r="O207" s="446" t="s">
        <v>22</v>
      </c>
      <c r="P207" s="446" t="s">
        <v>921</v>
      </c>
      <c r="Q207" s="446" t="s">
        <v>1536</v>
      </c>
      <c r="R207" s="446" t="s">
        <v>1096</v>
      </c>
      <c r="T207" s="446" t="s">
        <v>22</v>
      </c>
      <c r="U207" s="446" t="s">
        <v>921</v>
      </c>
      <c r="V207" s="446" t="s">
        <v>1536</v>
      </c>
      <c r="W207" s="446" t="s">
        <v>1096</v>
      </c>
      <c r="Z207" s="499" t="s">
        <v>22</v>
      </c>
      <c r="AA207" s="499" t="s">
        <v>921</v>
      </c>
      <c r="AB207" s="499" t="s">
        <v>1536</v>
      </c>
      <c r="AC207" s="499" t="s">
        <v>1096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49">J193</f>
        <v>Guajira</v>
      </c>
      <c r="K208" s="103" t="str">
        <f t="shared" si="349"/>
        <v>Doesn't Apply</v>
      </c>
      <c r="L208" s="614" t="str">
        <f t="shared" si="349"/>
        <v>CAM1</v>
      </c>
      <c r="M208" s="615" t="str">
        <f t="shared" si="349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0">+(O208*24*365/1000)*0.0036</f>
        <v>0</v>
      </c>
      <c r="AA208" s="535"/>
      <c r="AB208" s="471">
        <f t="shared" ref="AB208:AC208" si="351">+(Q208*24*365/1000)*0.0036</f>
        <v>0</v>
      </c>
      <c r="AC208" s="471">
        <f t="shared" si="351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2">J194</f>
        <v>Llanos Orientales</v>
      </c>
      <c r="K209" s="103" t="str">
        <f t="shared" si="352"/>
        <v>Light Oil</v>
      </c>
      <c r="L209" s="614" t="str">
        <f t="shared" si="352"/>
        <v>CAM2</v>
      </c>
      <c r="M209" s="626" t="str">
        <f t="shared" si="352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0"/>
        <v>0.63071999999999984</v>
      </c>
      <c r="AA209" s="471">
        <f t="shared" ref="AA209:AC209" si="353">+(P209*24*365/1000)*0.0036</f>
        <v>4.7328116359723582</v>
      </c>
      <c r="AB209" s="471">
        <f t="shared" si="353"/>
        <v>1.5220623656853185</v>
      </c>
      <c r="AC209" s="471">
        <f t="shared" si="353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4">J195</f>
        <v>Llanos Orientales</v>
      </c>
      <c r="K210" s="103" t="str">
        <f t="shared" si="354"/>
        <v>Heavy Oil</v>
      </c>
      <c r="L210" s="614" t="str">
        <f t="shared" si="354"/>
        <v>CAM3</v>
      </c>
      <c r="M210" s="34" t="str">
        <f t="shared" si="354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5">J196</f>
        <v>Putumayo</v>
      </c>
      <c r="K211" s="103" t="str">
        <f t="shared" si="355"/>
        <v>Light Oil</v>
      </c>
      <c r="L211" s="614" t="str">
        <f t="shared" si="355"/>
        <v>CAM4</v>
      </c>
      <c r="M211" s="34" t="str">
        <f t="shared" si="355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6">+(O211*24*365/1000)*0.0036</f>
        <v>0</v>
      </c>
      <c r="AA211" s="471">
        <f t="shared" si="356"/>
        <v>0</v>
      </c>
      <c r="AB211" s="471">
        <f t="shared" si="356"/>
        <v>0.66944714800759952</v>
      </c>
      <c r="AC211" s="471">
        <f t="shared" si="356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7">J197</f>
        <v>VMM</v>
      </c>
      <c r="K212" s="103" t="str">
        <f t="shared" si="357"/>
        <v>Medium Oil</v>
      </c>
      <c r="L212" s="614" t="str">
        <f t="shared" si="357"/>
        <v>CAM5</v>
      </c>
      <c r="M212" s="34" t="str">
        <f t="shared" si="357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8">+(O212*24*365/1000)*0.0036</f>
        <v>0</v>
      </c>
      <c r="AA212" s="471">
        <f t="shared" si="358"/>
        <v>0.61324097015441748</v>
      </c>
      <c r="AB212" s="471">
        <f t="shared" si="358"/>
        <v>1.3049984589915189</v>
      </c>
      <c r="AC212" s="471">
        <f t="shared" si="358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59">J198</f>
        <v>VSM</v>
      </c>
      <c r="K213" s="103" t="str">
        <f t="shared" si="359"/>
        <v>Medium Oil</v>
      </c>
      <c r="L213" s="614" t="str">
        <f t="shared" si="359"/>
        <v>CAM6</v>
      </c>
      <c r="M213" s="626" t="str">
        <f t="shared" si="359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0">+(O213*24*365/1000)*0.0036</f>
        <v>0</v>
      </c>
      <c r="AA213" s="471">
        <f t="shared" si="360"/>
        <v>7.2015258812680727E-2</v>
      </c>
      <c r="AB213" s="471">
        <f t="shared" si="360"/>
        <v>0.62054333297305764</v>
      </c>
      <c r="AC213" s="471">
        <f t="shared" si="360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1">J199</f>
        <v>VIM</v>
      </c>
      <c r="K214" s="103" t="str">
        <f t="shared" si="361"/>
        <v>Doesn't Apply</v>
      </c>
      <c r="L214" s="614" t="str">
        <f t="shared" si="361"/>
        <v>CAM7</v>
      </c>
      <c r="M214" s="626" t="str">
        <f t="shared" si="361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2">+(O214*24*365/1000)*0.0036</f>
        <v>0</v>
      </c>
      <c r="AA214" s="471">
        <f t="shared" si="362"/>
        <v>8.0173996489854554E-3</v>
      </c>
      <c r="AB214" s="471">
        <f t="shared" si="362"/>
        <v>0</v>
      </c>
      <c r="AC214" s="471">
        <f t="shared" si="362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04" t="s">
        <v>1537</v>
      </c>
      <c r="P218" s="905"/>
      <c r="Q218" s="906"/>
      <c r="T218" s="907" t="s">
        <v>1534</v>
      </c>
      <c r="U218" s="908"/>
      <c r="V218" s="908"/>
      <c r="W218" s="908"/>
      <c r="Z218" s="960" t="s">
        <v>1538</v>
      </c>
      <c r="AA218" s="905"/>
      <c r="AB218" s="906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3">J207</f>
        <v>Basin</v>
      </c>
      <c r="K219" s="608" t="str">
        <f t="shared" si="363"/>
        <v>Type Fluid</v>
      </c>
      <c r="L219" s="608" t="str">
        <f t="shared" si="363"/>
        <v>CAM</v>
      </c>
      <c r="M219" s="608" t="str">
        <f t="shared" si="363"/>
        <v>Type of Oil producing</v>
      </c>
      <c r="O219" s="429" t="s">
        <v>563</v>
      </c>
      <c r="P219" s="429" t="s">
        <v>1536</v>
      </c>
      <c r="Q219" s="429" t="s">
        <v>63</v>
      </c>
      <c r="T219" s="446" t="s">
        <v>22</v>
      </c>
      <c r="U219" s="446" t="s">
        <v>921</v>
      </c>
      <c r="V219" s="446" t="s">
        <v>1536</v>
      </c>
      <c r="W219" s="446" t="s">
        <v>1096</v>
      </c>
      <c r="Z219" s="652" t="s">
        <v>563</v>
      </c>
      <c r="AA219" s="652" t="s">
        <v>1536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4">J208</f>
        <v>Guajira</v>
      </c>
      <c r="K220" s="103" t="str">
        <f t="shared" si="364"/>
        <v>Doesn't Apply</v>
      </c>
      <c r="L220" s="614" t="str">
        <f t="shared" si="364"/>
        <v>CAM1</v>
      </c>
      <c r="M220" s="615" t="str">
        <f t="shared" si="364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5">+(P220*24*0.365)*0.0036</f>
        <v>0</v>
      </c>
      <c r="AB220" s="654">
        <f t="shared" si="365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6">J209</f>
        <v>Llanos Orientales</v>
      </c>
      <c r="K221" s="103" t="str">
        <f t="shared" si="366"/>
        <v>Light Oil</v>
      </c>
      <c r="L221" s="614" t="str">
        <f t="shared" si="366"/>
        <v>CAM2</v>
      </c>
      <c r="M221" s="626" t="str">
        <f t="shared" si="366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7">+(O221*24*0.365)*0.0036</f>
        <v>8.5591327795199984E-2</v>
      </c>
      <c r="AA221" s="654">
        <f t="shared" si="367"/>
        <v>0.34236531118079994</v>
      </c>
      <c r="AB221" s="654">
        <f t="shared" si="367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8">J210</f>
        <v>Llanos Orientales</v>
      </c>
      <c r="K222" s="103" t="str">
        <f t="shared" si="368"/>
        <v>Heavy Oil</v>
      </c>
      <c r="L222" s="614" t="str">
        <f t="shared" si="368"/>
        <v>CAM3</v>
      </c>
      <c r="M222" s="34" t="str">
        <f t="shared" si="368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0">+(O223*24*0.365)*0.0036</f>
        <v>1.1095172121600003E-2</v>
      </c>
      <c r="AA223" s="654">
        <f t="shared" si="370"/>
        <v>4.4380688486400012E-2</v>
      </c>
      <c r="AB223" s="654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2">+(O224*24*0.365)*0.0036</f>
        <v>2.8530442598399999E-2</v>
      </c>
      <c r="AA224" s="654">
        <f t="shared" si="372"/>
        <v>0.1141217703936</v>
      </c>
      <c r="AB224" s="654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4">+(O225*24*0.365)*0.0036</f>
        <v>1.1095172121600003E-2</v>
      </c>
      <c r="AA225" s="654">
        <f t="shared" si="374"/>
        <v>4.4380688486400012E-2</v>
      </c>
      <c r="AB225" s="654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6">+(O226*24*0.365)*0.0036</f>
        <v>3.1700491776000001E-3</v>
      </c>
      <c r="AA226" s="654">
        <f t="shared" si="376"/>
        <v>1.26801967104E-2</v>
      </c>
      <c r="AB226" s="654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DK1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67" t="s">
        <v>1539</v>
      </c>
      <c r="D3" s="908"/>
      <c r="E3" s="908"/>
      <c r="F3" s="908"/>
      <c r="G3" s="908"/>
      <c r="H3" s="908"/>
      <c r="I3" s="657"/>
      <c r="K3" s="116"/>
      <c r="L3" s="967" t="s">
        <v>1540</v>
      </c>
      <c r="M3" s="908"/>
      <c r="N3" s="908"/>
      <c r="O3" s="908"/>
      <c r="P3" s="908"/>
      <c r="Q3" s="908"/>
      <c r="R3" s="908"/>
      <c r="S3" s="908"/>
      <c r="T3" s="908"/>
      <c r="U3" s="908"/>
      <c r="V3" s="908"/>
      <c r="W3" s="908"/>
      <c r="X3" s="658"/>
      <c r="Y3" s="658"/>
      <c r="Z3" s="658"/>
      <c r="AA3" s="658"/>
      <c r="AB3" s="657"/>
      <c r="AC3" s="380"/>
      <c r="AD3" s="116"/>
      <c r="AE3" s="967" t="s">
        <v>1541</v>
      </c>
      <c r="AF3" s="908"/>
      <c r="AG3" s="908"/>
      <c r="AH3" s="908"/>
      <c r="AI3" s="908"/>
      <c r="AJ3" s="908"/>
      <c r="AK3" s="908"/>
      <c r="AL3" s="655"/>
      <c r="AM3" s="1"/>
      <c r="AN3" s="971" t="s">
        <v>1542</v>
      </c>
      <c r="AO3" s="905"/>
      <c r="AP3" s="905"/>
      <c r="AQ3" s="905"/>
      <c r="AR3" s="905"/>
      <c r="AS3" s="905"/>
      <c r="AT3" s="905"/>
      <c r="AU3" s="905"/>
      <c r="AV3" s="905"/>
      <c r="AW3" s="905"/>
      <c r="AX3" s="905"/>
      <c r="AY3" s="905"/>
      <c r="AZ3" s="905"/>
      <c r="BA3" s="905"/>
      <c r="BB3" s="905"/>
      <c r="BC3" s="905"/>
      <c r="BD3" s="905"/>
      <c r="BE3" s="905"/>
      <c r="BF3" s="905"/>
      <c r="BG3" s="905"/>
      <c r="BH3" s="905"/>
      <c r="BI3" s="905"/>
      <c r="BJ3" s="906"/>
      <c r="BK3" s="43"/>
      <c r="BL3" s="116"/>
      <c r="BM3" s="967" t="s">
        <v>1543</v>
      </c>
      <c r="BN3" s="908"/>
      <c r="BO3" s="908"/>
      <c r="BP3" s="908"/>
      <c r="BQ3" s="908"/>
      <c r="BR3" s="908"/>
      <c r="BS3" s="908"/>
      <c r="BT3" s="908"/>
      <c r="BU3" s="658"/>
      <c r="BV3" s="658"/>
      <c r="BW3" s="658"/>
      <c r="BX3" s="655"/>
      <c r="BZ3" s="659"/>
      <c r="CA3" s="967" t="s">
        <v>1544</v>
      </c>
      <c r="CB3" s="908"/>
      <c r="CC3" s="908"/>
      <c r="CD3" s="908"/>
      <c r="CE3" s="908"/>
      <c r="CF3" s="908"/>
      <c r="CG3" s="908"/>
      <c r="CH3" s="908"/>
      <c r="CI3" s="908"/>
      <c r="CJ3" s="908"/>
      <c r="CK3" s="908"/>
      <c r="CL3" s="908"/>
      <c r="CM3" s="908"/>
      <c r="CN3" s="908"/>
      <c r="CO3" s="288"/>
      <c r="CP3" s="305"/>
      <c r="CR3" s="116"/>
      <c r="CS3" s="967" t="s">
        <v>1545</v>
      </c>
      <c r="CT3" s="908"/>
      <c r="CU3" s="908"/>
      <c r="CV3" s="908"/>
      <c r="CW3" s="908"/>
      <c r="CX3" s="908"/>
      <c r="CY3" s="908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1546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66" t="s">
        <v>1547</v>
      </c>
      <c r="M5" s="908"/>
      <c r="N5" s="908"/>
      <c r="O5" s="908"/>
      <c r="P5" s="660"/>
      <c r="Q5" s="966" t="s">
        <v>1548</v>
      </c>
      <c r="R5" s="908"/>
      <c r="S5" s="908"/>
      <c r="T5" s="660"/>
      <c r="U5" s="966" t="s">
        <v>1549</v>
      </c>
      <c r="V5" s="908"/>
      <c r="W5" s="660"/>
      <c r="X5" s="664"/>
      <c r="Y5" s="965" t="s">
        <v>1550</v>
      </c>
      <c r="Z5" s="905"/>
      <c r="AA5" s="906"/>
      <c r="AB5" s="662"/>
      <c r="AC5" s="380"/>
      <c r="AD5" s="661"/>
      <c r="AE5" s="966" t="s">
        <v>1551</v>
      </c>
      <c r="AF5" s="908"/>
      <c r="AG5" s="908"/>
      <c r="AH5" s="660"/>
      <c r="AI5" s="966" t="s">
        <v>1552</v>
      </c>
      <c r="AJ5" s="908"/>
      <c r="AK5" s="908"/>
      <c r="AL5" s="662"/>
      <c r="AM5" s="665"/>
      <c r="AN5" s="966" t="s">
        <v>1553</v>
      </c>
      <c r="AO5" s="908"/>
      <c r="AP5" s="908"/>
      <c r="AQ5" s="908"/>
      <c r="AR5" s="665"/>
      <c r="AS5" s="965" t="s">
        <v>1554</v>
      </c>
      <c r="AT5" s="905"/>
      <c r="AU5" s="905"/>
      <c r="AV5" s="905"/>
      <c r="AW5" s="905"/>
      <c r="AX5" s="905"/>
      <c r="AY5" s="905"/>
      <c r="AZ5" s="906"/>
      <c r="BA5" s="665"/>
      <c r="BB5" s="666" t="s">
        <v>1555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66" t="s">
        <v>1556</v>
      </c>
      <c r="BN5" s="908"/>
      <c r="BO5" s="908"/>
      <c r="BP5" s="660"/>
      <c r="BQ5" s="668" t="s">
        <v>1557</v>
      </c>
      <c r="BR5" s="660"/>
      <c r="BS5" s="663"/>
      <c r="BT5" s="663"/>
      <c r="BU5" s="666" t="s">
        <v>1558</v>
      </c>
      <c r="BV5" s="664"/>
      <c r="BW5" s="664"/>
      <c r="BX5" s="662"/>
      <c r="BY5" s="660"/>
      <c r="BZ5" s="669"/>
      <c r="CA5" s="968" t="s">
        <v>1559</v>
      </c>
      <c r="CB5" s="969"/>
      <c r="CC5" s="969"/>
      <c r="CD5" s="969"/>
      <c r="CE5" s="969"/>
      <c r="CF5" s="969"/>
      <c r="CG5" s="970"/>
      <c r="CH5" s="665"/>
      <c r="CI5" s="966" t="s">
        <v>1560</v>
      </c>
      <c r="CJ5" s="908"/>
      <c r="CK5" s="908"/>
      <c r="CL5" s="908"/>
      <c r="CM5" s="908"/>
      <c r="CN5" s="908"/>
      <c r="CO5" s="908"/>
      <c r="CP5" s="670"/>
      <c r="CQ5" s="660"/>
      <c r="CR5" s="661"/>
      <c r="CS5" s="968" t="s">
        <v>1561</v>
      </c>
      <c r="CT5" s="969"/>
      <c r="CU5" s="969"/>
      <c r="CV5" s="969"/>
      <c r="CW5" s="969"/>
      <c r="CX5" s="969"/>
      <c r="CY5" s="969"/>
      <c r="CZ5" s="970"/>
      <c r="DA5" s="668" t="s">
        <v>1562</v>
      </c>
      <c r="DB5" s="664"/>
      <c r="DC5" s="664"/>
      <c r="DD5" s="965" t="s">
        <v>1563</v>
      </c>
      <c r="DE5" s="905"/>
      <c r="DF5" s="905"/>
      <c r="DG5" s="906"/>
      <c r="DH5" s="662"/>
      <c r="DI5" s="660"/>
      <c r="DJ5" s="661"/>
      <c r="DK5" s="660" t="s">
        <v>1564</v>
      </c>
      <c r="DL5" s="660"/>
      <c r="DM5" s="660"/>
      <c r="DN5" s="660"/>
      <c r="DO5" s="660"/>
      <c r="DP5" s="660" t="s">
        <v>1565</v>
      </c>
      <c r="DQ5" s="660"/>
      <c r="DR5" s="660"/>
      <c r="DS5" s="660"/>
      <c r="DT5" s="660"/>
      <c r="DU5" s="660" t="s">
        <v>1565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880</v>
      </c>
      <c r="I7" s="655"/>
      <c r="K7" s="116"/>
      <c r="L7" s="381" t="s">
        <v>880</v>
      </c>
      <c r="Q7" s="381" t="s">
        <v>880</v>
      </c>
      <c r="U7" s="381" t="s">
        <v>880</v>
      </c>
      <c r="X7" s="1"/>
      <c r="Y7" s="381" t="s">
        <v>880</v>
      </c>
      <c r="Z7" s="1"/>
      <c r="AA7" s="1"/>
      <c r="AB7" s="655"/>
      <c r="AC7" s="1"/>
      <c r="AD7" s="116"/>
      <c r="AE7" s="381" t="s">
        <v>880</v>
      </c>
      <c r="AI7" s="381" t="s">
        <v>880</v>
      </c>
      <c r="AL7" s="655"/>
      <c r="AM7" s="1"/>
      <c r="AN7" s="381" t="s">
        <v>880</v>
      </c>
      <c r="AR7" s="1"/>
      <c r="AS7" s="381" t="s">
        <v>880</v>
      </c>
      <c r="AT7" s="1"/>
      <c r="AU7" s="1"/>
      <c r="AV7" s="1"/>
      <c r="AW7" s="1"/>
      <c r="AX7" s="381" t="s">
        <v>880</v>
      </c>
      <c r="AY7" s="1"/>
      <c r="AZ7" s="1"/>
      <c r="BA7" s="1"/>
      <c r="BB7" s="381" t="s">
        <v>880</v>
      </c>
      <c r="BC7" s="1"/>
      <c r="BD7" s="1"/>
      <c r="BE7" s="1"/>
      <c r="BF7" s="1"/>
      <c r="BG7" s="381" t="s">
        <v>880</v>
      </c>
      <c r="BH7" s="1"/>
      <c r="BI7" s="1"/>
      <c r="BJ7" s="1"/>
      <c r="BK7" s="43"/>
      <c r="BL7" s="116"/>
      <c r="BM7" s="381" t="s">
        <v>880</v>
      </c>
      <c r="BQ7" s="381" t="s">
        <v>880</v>
      </c>
      <c r="BU7" s="381" t="s">
        <v>880</v>
      </c>
      <c r="BV7" s="381"/>
      <c r="BW7" s="1"/>
      <c r="BX7" s="655"/>
      <c r="BZ7" s="656"/>
      <c r="CA7" s="381" t="s">
        <v>880</v>
      </c>
      <c r="CD7" s="1"/>
      <c r="CE7" s="381" t="s">
        <v>880</v>
      </c>
      <c r="CH7" s="1"/>
      <c r="CI7" s="381" t="s">
        <v>880</v>
      </c>
      <c r="CM7" s="381" t="s">
        <v>880</v>
      </c>
      <c r="CP7" s="305"/>
      <c r="CR7" s="116"/>
      <c r="CS7" s="381" t="s">
        <v>880</v>
      </c>
      <c r="CW7" s="381" t="s">
        <v>880</v>
      </c>
      <c r="CX7" s="381"/>
      <c r="CZ7" s="1"/>
      <c r="DA7" s="381" t="s">
        <v>880</v>
      </c>
      <c r="DE7" s="381" t="s">
        <v>880</v>
      </c>
      <c r="DF7" s="381"/>
      <c r="DH7" s="655"/>
      <c r="DJ7" s="116"/>
      <c r="DK7" s="381" t="s">
        <v>880</v>
      </c>
      <c r="DP7" s="381" t="s">
        <v>880</v>
      </c>
      <c r="DU7" s="381" t="s">
        <v>880</v>
      </c>
    </row>
    <row r="8" spans="1:128" x14ac:dyDescent="0.25">
      <c r="B8" s="116"/>
      <c r="C8" s="354" t="s">
        <v>312</v>
      </c>
      <c r="D8" s="671" t="s">
        <v>882</v>
      </c>
      <c r="E8" s="671" t="s">
        <v>46</v>
      </c>
      <c r="F8" s="671" t="s">
        <v>1566</v>
      </c>
      <c r="G8" s="671" t="s">
        <v>1567</v>
      </c>
      <c r="H8" s="671" t="s">
        <v>930</v>
      </c>
      <c r="I8" s="672"/>
      <c r="K8" s="116"/>
      <c r="L8" s="354" t="s">
        <v>312</v>
      </c>
      <c r="M8" s="355" t="s">
        <v>928</v>
      </c>
      <c r="N8" s="355" t="s">
        <v>1114</v>
      </c>
      <c r="O8" s="355" t="s">
        <v>973</v>
      </c>
      <c r="Q8" s="673" t="s">
        <v>312</v>
      </c>
      <c r="R8" s="671" t="s">
        <v>881</v>
      </c>
      <c r="S8" s="671" t="s">
        <v>943</v>
      </c>
      <c r="U8" s="354" t="s">
        <v>312</v>
      </c>
      <c r="V8" s="674" t="s">
        <v>882</v>
      </c>
      <c r="W8" s="674" t="s">
        <v>930</v>
      </c>
      <c r="X8" s="426"/>
      <c r="Y8" s="354" t="s">
        <v>312</v>
      </c>
      <c r="Z8" s="674" t="s">
        <v>1567</v>
      </c>
      <c r="AA8" s="426"/>
      <c r="AB8" s="675"/>
      <c r="AC8" s="1"/>
      <c r="AD8" s="116"/>
      <c r="AE8" s="334" t="s">
        <v>312</v>
      </c>
      <c r="AF8" s="209" t="s">
        <v>881</v>
      </c>
      <c r="AG8" s="209" t="s">
        <v>930</v>
      </c>
      <c r="AI8" s="334" t="s">
        <v>312</v>
      </c>
      <c r="AJ8" s="209" t="s">
        <v>882</v>
      </c>
      <c r="AK8" s="371" t="s">
        <v>1568</v>
      </c>
      <c r="AL8" s="676"/>
      <c r="AM8" s="677"/>
      <c r="AN8" s="371" t="s">
        <v>312</v>
      </c>
      <c r="AO8" s="371" t="s">
        <v>881</v>
      </c>
      <c r="AP8" s="678" t="s">
        <v>882</v>
      </c>
      <c r="AQ8" s="679" t="s">
        <v>930</v>
      </c>
      <c r="AR8" s="677"/>
      <c r="AS8" s="371" t="s">
        <v>312</v>
      </c>
      <c r="AT8" s="371" t="s">
        <v>881</v>
      </c>
      <c r="AU8" s="678" t="s">
        <v>882</v>
      </c>
      <c r="AV8" s="679" t="s">
        <v>930</v>
      </c>
      <c r="AW8" s="1"/>
      <c r="AX8" s="371" t="s">
        <v>312</v>
      </c>
      <c r="AY8" s="680" t="s">
        <v>1115</v>
      </c>
      <c r="AZ8" s="680" t="s">
        <v>46</v>
      </c>
      <c r="BA8" s="681"/>
      <c r="BB8" s="682" t="s">
        <v>312</v>
      </c>
      <c r="BC8" s="682" t="s">
        <v>881</v>
      </c>
      <c r="BD8" s="683" t="s">
        <v>882</v>
      </c>
      <c r="BE8" s="684" t="s">
        <v>930</v>
      </c>
      <c r="BF8" s="681"/>
      <c r="BG8" s="682" t="s">
        <v>312</v>
      </c>
      <c r="BH8" s="685" t="s">
        <v>1115</v>
      </c>
      <c r="BI8" s="685" t="s">
        <v>46</v>
      </c>
      <c r="BJ8" s="677"/>
      <c r="BK8" s="43"/>
      <c r="BL8" s="116"/>
      <c r="BM8" s="334" t="s">
        <v>312</v>
      </c>
      <c r="BN8" s="371" t="s">
        <v>46</v>
      </c>
      <c r="BO8" s="680" t="s">
        <v>1115</v>
      </c>
      <c r="BQ8" s="334" t="s">
        <v>312</v>
      </c>
      <c r="BR8" s="678" t="s">
        <v>881</v>
      </c>
      <c r="BS8" s="678" t="s">
        <v>930</v>
      </c>
      <c r="BU8" s="334" t="s">
        <v>312</v>
      </c>
      <c r="BV8" s="678" t="s">
        <v>882</v>
      </c>
      <c r="BW8" s="678" t="s">
        <v>1568</v>
      </c>
      <c r="BX8" s="686"/>
      <c r="BZ8" s="687"/>
      <c r="CA8" s="688" t="s">
        <v>312</v>
      </c>
      <c r="CB8" s="689" t="s">
        <v>881</v>
      </c>
      <c r="CC8" s="688" t="s">
        <v>1050</v>
      </c>
      <c r="CD8" s="677"/>
      <c r="CE8" s="690" t="s">
        <v>312</v>
      </c>
      <c r="CF8" s="689" t="s">
        <v>882</v>
      </c>
      <c r="CG8" s="691" t="s">
        <v>930</v>
      </c>
      <c r="CH8" s="677"/>
      <c r="CI8" s="371" t="s">
        <v>312</v>
      </c>
      <c r="CJ8" s="678" t="s">
        <v>881</v>
      </c>
      <c r="CK8" s="371" t="s">
        <v>1050</v>
      </c>
      <c r="CM8" s="334" t="s">
        <v>312</v>
      </c>
      <c r="CN8" s="678" t="s">
        <v>882</v>
      </c>
      <c r="CO8" s="372" t="s">
        <v>930</v>
      </c>
      <c r="CP8" s="305"/>
      <c r="CR8" s="116"/>
      <c r="CS8" s="692" t="s">
        <v>312</v>
      </c>
      <c r="CT8" s="683" t="s">
        <v>881</v>
      </c>
      <c r="CU8" s="677"/>
      <c r="CW8" s="692" t="s">
        <v>312</v>
      </c>
      <c r="CX8" s="683" t="s">
        <v>882</v>
      </c>
      <c r="CY8" s="684" t="s">
        <v>930</v>
      </c>
      <c r="CZ8" s="693"/>
      <c r="DA8" s="334" t="s">
        <v>312</v>
      </c>
      <c r="DB8" s="678" t="s">
        <v>881</v>
      </c>
      <c r="DC8" s="677"/>
      <c r="DE8" s="334" t="s">
        <v>312</v>
      </c>
      <c r="DF8" s="678" t="s">
        <v>882</v>
      </c>
      <c r="DG8" s="679" t="s">
        <v>930</v>
      </c>
      <c r="DH8" s="694"/>
      <c r="DJ8" s="116"/>
      <c r="DK8" s="334" t="s">
        <v>312</v>
      </c>
      <c r="DL8" s="678" t="s">
        <v>881</v>
      </c>
      <c r="DM8" s="678" t="s">
        <v>882</v>
      </c>
      <c r="DN8" s="371" t="s">
        <v>930</v>
      </c>
      <c r="DP8" s="334" t="s">
        <v>312</v>
      </c>
      <c r="DQ8" s="678" t="s">
        <v>881</v>
      </c>
      <c r="DR8" s="678" t="s">
        <v>882</v>
      </c>
      <c r="DS8" s="371" t="s">
        <v>930</v>
      </c>
      <c r="DU8" s="334" t="s">
        <v>312</v>
      </c>
      <c r="DV8" s="678" t="s">
        <v>881</v>
      </c>
      <c r="DW8" s="678" t="s">
        <v>882</v>
      </c>
      <c r="DX8" s="371" t="s">
        <v>930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973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1115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1569</v>
      </c>
      <c r="AK9" s="11">
        <f>+('5. Data'!O99-'5. Data'!S99)/('5. Data'!AH99-'5. Data'!S99)</f>
        <v>1</v>
      </c>
      <c r="AL9" s="701"/>
      <c r="AM9" s="19"/>
      <c r="AN9" s="12" t="str">
        <f t="array" ref="AN9:AN29">+PROCESS!N135:N155</f>
        <v>FTE-FUEL-GAS-CAM1</v>
      </c>
      <c r="AO9" s="12" t="str">
        <f t="array" ref="AO9:AO15">+COMM!D30:D36</f>
        <v>GAS-CAM1</v>
      </c>
      <c r="AP9" s="12" t="str">
        <f t="array" ref="AP9:AP15">+COMM!D114:D120</f>
        <v>FUEL-GAS-CAM1</v>
      </c>
      <c r="AQ9" s="228">
        <v>1</v>
      </c>
      <c r="AR9" s="19"/>
      <c r="AS9" s="702" t="str">
        <f t="array" ref="AS9:AS11">+PROCESS!N157:N159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973</v>
      </c>
      <c r="BA9" s="19"/>
      <c r="BB9" s="19" t="str">
        <f t="array" ref="BB9:BB11">+PROCESS!N176:N178</f>
        <v>AUTO-COL-GAS-CAM1</v>
      </c>
      <c r="BC9" s="19" t="str">
        <f t="array" ref="BC9:BC23">+AT9:AT23</f>
        <v>FUEL-GAS-CAM1</v>
      </c>
      <c r="BD9" s="19" t="str">
        <f>+COMM!D138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973</v>
      </c>
      <c r="BJ9" s="19"/>
      <c r="BK9" s="43"/>
      <c r="BL9" s="116"/>
      <c r="BM9" s="14" t="str" cm="1">
        <f t="array" ref="BM9:BM15">+PROCESS!N78:N84</f>
        <v>PLT-CAM1</v>
      </c>
      <c r="BN9" s="14" t="s">
        <v>973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+PROCESS!N116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+PROCESS!N111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1569</v>
      </c>
      <c r="CU9" s="228"/>
      <c r="CW9" s="214" t="str">
        <f>+(PROCESS!N104)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1569</v>
      </c>
      <c r="DC9" s="228"/>
      <c r="DE9" s="214" t="str">
        <f t="array" ref="DE9:DE15">+PROCESS!N97:N103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+PROCESS!N85:N90</f>
        <v>COMPRA-ELC-CAM1</v>
      </c>
      <c r="DL9" s="12" t="str">
        <f>+'1. EXP_IMP'!$K$64</f>
        <v>ELC-SIN</v>
      </c>
      <c r="DM9" s="11" t="str">
        <f>+AU9</f>
        <v>ELC-CAM1</v>
      </c>
      <c r="DN9" s="292">
        <v>1</v>
      </c>
      <c r="DP9" s="12" t="str">
        <f t="array" ref="DP9:DP14">+PROCESS!N91:N96</f>
        <v>COMPRA-ELC-COLO-CAM1</v>
      </c>
      <c r="DQ9" s="14" t="str">
        <f>+'1. EXP_IMP'!$K$64</f>
        <v>ELC-SIN</v>
      </c>
      <c r="DR9" s="11" t="str">
        <f t="array" ref="DR9:DR14">+COMM!D151:D156</f>
        <v>ELC-O-COL-CAM1</v>
      </c>
      <c r="DS9" s="292">
        <v>1</v>
      </c>
      <c r="DU9" s="12" t="str">
        <f t="array" ref="DU9:DU14">+PROCESS!N194:N199</f>
        <v>COMPRA-ELC-COLG-CAM1</v>
      </c>
      <c r="DV9" s="14" t="str">
        <f>+'1. EXP_IMP'!$K$64</f>
        <v>ELC-SIN</v>
      </c>
      <c r="DW9" s="11" t="str">
        <f t="array" ref="DW9:DW14">+COMM!D157:D162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973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1115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973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973</v>
      </c>
      <c r="BJ10" s="19"/>
      <c r="BK10" s="43"/>
      <c r="BL10" s="116"/>
      <c r="BM10" s="14" t="str">
        <v>PLT-CAM2</v>
      </c>
      <c r="BN10" s="14" t="s">
        <v>973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1570</v>
      </c>
      <c r="CU10" s="228"/>
      <c r="CW10" s="214" t="str">
        <f>+(PROCESS!N105)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EXP_IMP'!$K$64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EXP_IMP'!$K$64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EXP_IMP'!$K$64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973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1115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973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973</v>
      </c>
      <c r="BJ11" s="19"/>
      <c r="BK11" s="43"/>
      <c r="BL11" s="116"/>
      <c r="BM11" s="14" t="str">
        <v>PLT-CAM3</v>
      </c>
      <c r="BN11" s="14" t="s">
        <v>973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+PROCESS!N117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+PROCESS!N112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+(PROCESS!N106)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COMPRA-ELC-CAM4</v>
      </c>
      <c r="DL11" s="12" t="str">
        <f>+'1. EXP_IMP'!$K$64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EXP_IMP'!$K$64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EXP_IMP'!$K$64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973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1115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+PROCESS!N164:N175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973</v>
      </c>
      <c r="BA12" s="19"/>
      <c r="BB12" s="19" t="str">
        <f t="array" ref="BB12:BB23">+PROCESS!N182:N193</f>
        <v>AUTO-COL-GAS-CAM4</v>
      </c>
      <c r="BC12" s="19" t="str">
        <v>FUEL-GAS-CAM4</v>
      </c>
      <c r="BD12" s="19" t="str">
        <f>+COMM!D141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973</v>
      </c>
      <c r="BJ12" s="698"/>
      <c r="BK12" s="43"/>
      <c r="BL12" s="116"/>
      <c r="BM12" s="14" t="str">
        <v>PLT-CAM4</v>
      </c>
      <c r="BN12" s="14" t="s">
        <v>973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+(PROCESS!N107)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COMPRA-ELC-CAM5</v>
      </c>
      <c r="DL12" s="12" t="str">
        <f>+'1. EXP_IMP'!$K$64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EXP_IMP'!$K$64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EXP_IMP'!$K$64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973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1115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973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973</v>
      </c>
      <c r="BJ13" s="19"/>
      <c r="BK13" s="43"/>
      <c r="BL13" s="116"/>
      <c r="BM13" s="14" t="str">
        <v>PLT-CAM5</v>
      </c>
      <c r="BN13" s="14" t="s">
        <v>973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+PROCESS!N118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+PROCESS!N113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+(PROCESS!N108)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COMPRA-ELC-CAM6</v>
      </c>
      <c r="DL13" s="12" t="str">
        <f>+'1. EXP_IMP'!$K$64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EXP_IMP'!$K$64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EXP_IMP'!$K$64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973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1115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973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973</v>
      </c>
      <c r="BJ14" s="309"/>
      <c r="BK14" s="43"/>
      <c r="BL14" s="116"/>
      <c r="BM14" s="14" t="str">
        <v>PLT-CAM6</v>
      </c>
      <c r="BN14" s="14" t="s">
        <v>973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ELC-O-COL-CAM4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+(PROCESS!N109)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COMPRA-ELC-CAM7</v>
      </c>
      <c r="DL14" s="12" t="str">
        <f>+'1. EXP_IMP'!$K$64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EXP_IMP'!$K$64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EXP_IMP'!$K$64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973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1115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973</v>
      </c>
      <c r="BA15" s="19"/>
      <c r="BB15" s="19" t="str">
        <v>AUTO-COL-GAS-CAM5</v>
      </c>
      <c r="BC15" s="19" t="str">
        <v>FUEL-GAS-CAM5</v>
      </c>
      <c r="BD15" s="19" t="str">
        <f>+COMM!D142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973</v>
      </c>
      <c r="BJ15" s="19"/>
      <c r="BK15" s="43"/>
      <c r="BL15" s="116"/>
      <c r="BM15" s="14" t="str">
        <v>PLT-CAM7</v>
      </c>
      <c r="BN15" s="14" t="s">
        <v>973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+PROCESS!N119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+PROCESS!N114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+(PROCESS!N110)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1115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+COMM!D128:D134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973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973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ELC-O-COL-CAM6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1115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973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973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+PROCESS!N120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+PROCESS!N115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1115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556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973</v>
      </c>
      <c r="BA18" s="19"/>
      <c r="BB18" s="19" t="str">
        <v>AUTO-COL-GAS-CAM6</v>
      </c>
      <c r="BC18" s="19" t="str">
        <v>FUEL-GAS-CAM6</v>
      </c>
      <c r="BD18" s="19" t="str">
        <f>+COMM!D143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973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ELC-O-COL-CAM6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556</v>
      </c>
    </row>
    <row r="19" spans="2:127" x14ac:dyDescent="0.25">
      <c r="B19" s="116"/>
      <c r="I19" s="655"/>
      <c r="K19" s="116"/>
      <c r="L19" s="214"/>
      <c r="M19" s="214" t="s">
        <v>1115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1571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973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973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1115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973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973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880</v>
      </c>
      <c r="DP20" s="381" t="s">
        <v>880</v>
      </c>
      <c r="DU20" s="381" t="s">
        <v>880</v>
      </c>
    </row>
    <row r="21" spans="2:127" ht="15.75" customHeight="1" x14ac:dyDescent="0.25">
      <c r="B21" s="116"/>
      <c r="I21" s="655"/>
      <c r="K21" s="116"/>
      <c r="L21" s="214"/>
      <c r="M21" s="214" t="s">
        <v>1115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973</v>
      </c>
      <c r="BA21" s="19"/>
      <c r="BB21" s="19" t="str">
        <v>AUTO-COL-GAS-CAM7</v>
      </c>
      <c r="BC21" s="19" t="str">
        <v>FUEL-GAS-CAM7</v>
      </c>
      <c r="BD21" s="19" t="str">
        <f>+COMM!D144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973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312</v>
      </c>
      <c r="DL21" s="337" t="s">
        <v>882</v>
      </c>
      <c r="DM21" s="337" t="s">
        <v>1054</v>
      </c>
      <c r="DP21" s="337" t="s">
        <v>312</v>
      </c>
      <c r="DQ21" s="337" t="s">
        <v>882</v>
      </c>
      <c r="DR21" s="337" t="s">
        <v>1054</v>
      </c>
      <c r="DU21" s="337" t="s">
        <v>312</v>
      </c>
      <c r="DV21" s="337" t="s">
        <v>882</v>
      </c>
      <c r="DW21" s="337" t="s">
        <v>1054</v>
      </c>
    </row>
    <row r="22" spans="2:127" ht="15.75" customHeight="1" x14ac:dyDescent="0.25">
      <c r="B22" s="116"/>
      <c r="I22" s="655"/>
      <c r="K22" s="116"/>
      <c r="L22" s="214"/>
      <c r="M22" s="214" t="s">
        <v>1115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973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973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880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1572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1572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1572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1115</v>
      </c>
      <c r="N23" s="214">
        <v>2019</v>
      </c>
      <c r="O23" s="287">
        <f t="array" ref="O23:O36">+TRANSPOSE('5. Data'!AI100:AV100)</f>
        <v>363.68563536317856</v>
      </c>
      <c r="U23" s="381" t="s">
        <v>880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+COMM!D121:D127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973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973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312</v>
      </c>
      <c r="CN23" s="713" t="s">
        <v>1567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1115</v>
      </c>
      <c r="N24" s="214">
        <v>2020</v>
      </c>
      <c r="O24" s="287">
        <v>357.03963544887284</v>
      </c>
      <c r="U24" s="337" t="s">
        <v>312</v>
      </c>
      <c r="V24" s="337" t="s">
        <v>882</v>
      </c>
      <c r="W24" s="337" t="s">
        <v>1054</v>
      </c>
      <c r="X24" s="677"/>
      <c r="Y24" s="677"/>
      <c r="Z24" s="677"/>
      <c r="AA24" s="677"/>
      <c r="AB24" s="676"/>
      <c r="AC24" s="1"/>
      <c r="AD24" s="116"/>
      <c r="AE24" s="381" t="s">
        <v>880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973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973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880</v>
      </c>
      <c r="CZ24" s="1"/>
      <c r="DA24" s="381" t="s">
        <v>880</v>
      </c>
      <c r="DH24" s="655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1115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312</v>
      </c>
      <c r="AF25" s="337" t="s">
        <v>882</v>
      </c>
      <c r="AG25" s="337" t="s">
        <v>1054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973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973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312</v>
      </c>
      <c r="CT25" s="683" t="s">
        <v>881</v>
      </c>
      <c r="CU25" s="715" t="s">
        <v>1050</v>
      </c>
      <c r="CZ25" s="1"/>
      <c r="DA25" s="334" t="s">
        <v>312</v>
      </c>
      <c r="DB25" s="678" t="s">
        <v>881</v>
      </c>
      <c r="DC25" s="371" t="s">
        <v>1050</v>
      </c>
      <c r="DH25" s="655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1115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973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973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1115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880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973</v>
      </c>
      <c r="BA27" s="1"/>
      <c r="BB27" s="381" t="s">
        <v>880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556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1115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312</v>
      </c>
      <c r="AT28" s="371" t="s">
        <v>881</v>
      </c>
      <c r="AU28" s="678" t="s">
        <v>882</v>
      </c>
      <c r="AV28" s="679" t="s">
        <v>930</v>
      </c>
      <c r="AW28" s="1"/>
      <c r="AX28" s="1"/>
      <c r="AY28" s="1"/>
      <c r="AZ28" s="1"/>
      <c r="BA28" s="1"/>
      <c r="BB28" s="682" t="s">
        <v>312</v>
      </c>
      <c r="BC28" s="682" t="s">
        <v>881</v>
      </c>
      <c r="BD28" s="683" t="s">
        <v>882</v>
      </c>
      <c r="BE28" s="684" t="s">
        <v>930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1571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1115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+PROCESS!N160</f>
        <v>AUTO-GAS-CAM2-CAM3</v>
      </c>
      <c r="AT29" s="344" t="str">
        <f>AP10</f>
        <v>FUEL-GAS-CAM2</v>
      </c>
      <c r="AU29" s="344" t="str">
        <f>+COMM!D137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+PROCESS!N179</f>
        <v>AUTO-COL-GAS-CAM2-CAM3</v>
      </c>
      <c r="BC29" s="344" t="str">
        <f t="array" ref="BC29:BC34">+AT29:AT34</f>
        <v>FUEL-GAS-CAM2</v>
      </c>
      <c r="BD29" s="344" t="str">
        <f>+COMM!D139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1115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+PROCESS!N156</f>
        <v>FTE-FUEL-LPG-CAM2</v>
      </c>
      <c r="AO30" s="1" t="s">
        <v>22</v>
      </c>
      <c r="AP30" s="1" t="str">
        <f>+COMM!D135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1115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+PROCESS!N161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+PROCESS!N180</f>
        <v>AUTO-COL-OIL-CAM2-CAM3</v>
      </c>
      <c r="BC31" s="717" t="str">
        <v>FUEL-OIL-CAM2</v>
      </c>
      <c r="BD31" s="344" t="str">
        <f>+COMM!D139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1115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1643</v>
      </c>
      <c r="DL32">
        <v>1646</v>
      </c>
      <c r="DM32" t="s">
        <v>599</v>
      </c>
      <c r="DN32">
        <f>+DL32*0.0036</f>
        <v>5.9256000000000002</v>
      </c>
      <c r="DO32" t="s">
        <v>59</v>
      </c>
      <c r="DP32" s="381" t="s">
        <v>880</v>
      </c>
    </row>
    <row r="33" spans="2:121" ht="15.75" customHeight="1" x14ac:dyDescent="0.25">
      <c r="B33" s="116"/>
      <c r="I33" s="655"/>
      <c r="K33" s="116"/>
      <c r="M33" s="214" t="s">
        <v>1115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+PROCESS!N162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+PROCESS!N181</f>
        <v>AUTO-COL-DSL-CAM2-CAM3</v>
      </c>
      <c r="BC33" s="719" t="str">
        <v>FUEL-DSL-CAM2</v>
      </c>
      <c r="BD33" s="344" t="str">
        <f>+COMM!D139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1644</v>
      </c>
      <c r="DL33">
        <v>509</v>
      </c>
      <c r="DM33" t="s">
        <v>599</v>
      </c>
      <c r="DN33">
        <f>+DL33*0.0036</f>
        <v>1.8324</v>
      </c>
      <c r="DO33" t="s">
        <v>59</v>
      </c>
      <c r="DP33" s="334" t="s">
        <v>312</v>
      </c>
      <c r="DQ33" s="334" t="s">
        <v>1115</v>
      </c>
    </row>
    <row r="34" spans="2:121" ht="15.75" customHeight="1" x14ac:dyDescent="0.25">
      <c r="B34" s="116"/>
      <c r="I34" s="655"/>
      <c r="K34" s="116"/>
      <c r="M34" s="214" t="s">
        <v>1115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1645</v>
      </c>
      <c r="DL34" s="812">
        <f>3566038/1000000</f>
        <v>3.5660379999999998</v>
      </c>
      <c r="DM34" t="s">
        <v>599</v>
      </c>
      <c r="DN34" s="811">
        <f>+DL34*0.0036</f>
        <v>1.2837736799999999E-2</v>
      </c>
      <c r="DO34" t="s">
        <v>59</v>
      </c>
      <c r="DP34" s="813" t="str">
        <f>+'1. EXP_IMP'!I64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1115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+PROCESS!N163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599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1115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1115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1646</v>
      </c>
      <c r="DL37">
        <v>725000</v>
      </c>
      <c r="DM37" t="s">
        <v>1649</v>
      </c>
    </row>
    <row r="38" spans="2:121" ht="15.75" customHeight="1" x14ac:dyDescent="0.25">
      <c r="B38" s="116"/>
      <c r="I38" s="655"/>
      <c r="K38" s="116"/>
      <c r="M38" s="214" t="s">
        <v>1115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1647</v>
      </c>
    </row>
    <row r="39" spans="2:121" ht="15.75" customHeight="1" x14ac:dyDescent="0.25">
      <c r="B39" s="116"/>
      <c r="I39" s="655"/>
      <c r="K39" s="116"/>
      <c r="M39" s="214" t="s">
        <v>1115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1648</v>
      </c>
      <c r="DL39">
        <v>168813</v>
      </c>
      <c r="DM39" t="s">
        <v>615</v>
      </c>
    </row>
    <row r="40" spans="2:121" ht="15.75" customHeight="1" x14ac:dyDescent="0.25">
      <c r="B40" s="116"/>
      <c r="I40" s="655"/>
      <c r="K40" s="116"/>
      <c r="M40" s="214" t="s">
        <v>1115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1115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1115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986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1115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1115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1115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1115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1115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986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1115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1115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1115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1115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986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1115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1115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1115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1115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986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1115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1115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1115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1115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986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1115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1115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1115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1115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986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1115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1115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1115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1115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1115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986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1115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1115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1115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1115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1115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1115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1573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1115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1115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1115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1115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1115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1115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1115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1115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1115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1115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1115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1115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1115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1115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1115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1115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1115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1115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1115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1115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1115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1115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1115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1115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1115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1115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1115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1115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1115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1115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1115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1115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1574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workbookViewId="0">
      <selection activeCell="F30" sqref="F30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562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556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941" t="s">
        <v>1575</v>
      </c>
      <c r="K6" s="940"/>
      <c r="L6" s="920"/>
      <c r="M6" s="730" t="s">
        <v>1576</v>
      </c>
      <c r="N6" s="729"/>
      <c r="O6" s="1"/>
      <c r="P6" s="728"/>
      <c r="Q6" s="1"/>
      <c r="R6" s="941" t="s">
        <v>1577</v>
      </c>
      <c r="S6" s="940"/>
      <c r="T6" s="920"/>
      <c r="U6" s="730" t="s">
        <v>1578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1579</v>
      </c>
      <c r="E7" s="732" t="s">
        <v>1580</v>
      </c>
      <c r="F7" s="733" t="s">
        <v>1576</v>
      </c>
      <c r="G7" s="1"/>
      <c r="H7" s="728"/>
      <c r="I7" s="538"/>
      <c r="J7" s="734" t="s">
        <v>1490</v>
      </c>
      <c r="K7" s="735" t="s">
        <v>1581</v>
      </c>
      <c r="L7" s="736" t="s">
        <v>996</v>
      </c>
      <c r="M7" s="737" t="s">
        <v>996</v>
      </c>
      <c r="N7" s="729"/>
      <c r="O7" s="1"/>
      <c r="P7" s="728"/>
      <c r="Q7" s="538"/>
      <c r="R7" s="734" t="s">
        <v>1490</v>
      </c>
      <c r="S7" s="735" t="s">
        <v>1581</v>
      </c>
      <c r="T7" s="736" t="s">
        <v>996</v>
      </c>
      <c r="U7" s="737" t="s">
        <v>996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1582</v>
      </c>
      <c r="D8" s="739">
        <f>+D9+D10+D11</f>
        <v>38.799999999999997</v>
      </c>
      <c r="E8" s="740"/>
      <c r="F8" s="741"/>
      <c r="G8" s="1"/>
      <c r="H8" s="728"/>
      <c r="I8" s="742" t="s">
        <v>1491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1491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1483</v>
      </c>
      <c r="D9" s="656">
        <v>14.3</v>
      </c>
      <c r="E9" s="655">
        <v>0.74</v>
      </c>
      <c r="F9" s="748">
        <v>0.3</v>
      </c>
      <c r="G9" s="1"/>
      <c r="H9" s="728"/>
      <c r="I9" s="749" t="s">
        <v>1483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1483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1484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1492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1492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1485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1485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1485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1583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1493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1493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1579</v>
      </c>
      <c r="E13" s="762" t="s">
        <v>1580</v>
      </c>
      <c r="F13" s="763" t="s">
        <v>1576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1584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1513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1515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1575</v>
      </c>
      <c r="K16" s="730" t="s">
        <v>1576</v>
      </c>
      <c r="L16" s="1"/>
      <c r="M16" s="1"/>
      <c r="N16" s="729"/>
      <c r="O16" s="1"/>
      <c r="P16" s="728"/>
      <c r="Q16" s="1"/>
      <c r="R16" s="766" t="s">
        <v>1577</v>
      </c>
      <c r="S16" s="730" t="s">
        <v>1576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1585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1586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1586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1579</v>
      </c>
      <c r="E18" s="762" t="s">
        <v>1580</v>
      </c>
      <c r="F18" s="763" t="s">
        <v>1576</v>
      </c>
      <c r="G18" s="1"/>
      <c r="H18" s="728"/>
      <c r="I18" s="749" t="s">
        <v>1587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1587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1588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1589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1589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1549</v>
      </c>
      <c r="D20" s="656">
        <v>0.5</v>
      </c>
      <c r="E20" s="655"/>
      <c r="F20" s="748">
        <v>0.03</v>
      </c>
      <c r="G20" s="1"/>
      <c r="H20" s="728"/>
      <c r="I20" s="752" t="s">
        <v>1590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1590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1591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1592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1593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1594</v>
      </c>
      <c r="D24" s="656">
        <v>11.83</v>
      </c>
      <c r="E24" s="655"/>
      <c r="F24" s="748">
        <v>0.17</v>
      </c>
      <c r="G24" s="1"/>
      <c r="H24" s="728"/>
      <c r="I24" s="1"/>
      <c r="J24" s="62" t="s">
        <v>1575</v>
      </c>
      <c r="K24" s="62" t="s">
        <v>1576</v>
      </c>
      <c r="L24" s="1"/>
      <c r="M24" s="1"/>
      <c r="N24" s="729"/>
      <c r="O24" s="1"/>
      <c r="P24" s="728"/>
      <c r="Q24" s="1"/>
      <c r="R24" s="62" t="s">
        <v>1577</v>
      </c>
      <c r="S24" s="62" t="s">
        <v>1576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1595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1588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1588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1596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1597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1597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1598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1599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1599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1600</v>
      </c>
      <c r="E50" s="1"/>
      <c r="F50" s="2" t="s">
        <v>556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1582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1483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1484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1485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1583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72" t="s">
        <v>1601</v>
      </c>
      <c r="J5" s="925"/>
      <c r="K5" s="925"/>
      <c r="L5" s="925"/>
      <c r="M5" s="925"/>
      <c r="N5" s="925"/>
      <c r="O5" s="925"/>
      <c r="P5" s="925"/>
      <c r="Q5" s="925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1602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1603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1604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1605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1606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1012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1607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1608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1609</v>
      </c>
      <c r="J16" s="40" t="s">
        <v>1099</v>
      </c>
      <c r="K16" s="785">
        <v>0.29699999999999999</v>
      </c>
      <c r="L16" s="40" t="s">
        <v>1099</v>
      </c>
      <c r="M16" s="40" t="s">
        <v>1099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1610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1611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1612</v>
      </c>
    </row>
    <row r="21" spans="2:17" ht="15.75" customHeight="1" x14ac:dyDescent="0.25">
      <c r="C21" s="12" t="s">
        <v>1331</v>
      </c>
      <c r="D21" s="343">
        <v>6117863200</v>
      </c>
      <c r="E21" s="12" t="s">
        <v>1394</v>
      </c>
      <c r="I21" s="112" t="s">
        <v>1613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1331</v>
      </c>
      <c r="D22" s="343">
        <f>+D21*1000/(1000000000000)</f>
        <v>6.1178632000000004</v>
      </c>
      <c r="E22" s="12" t="s">
        <v>1315</v>
      </c>
      <c r="I22" s="12" t="s">
        <v>1614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1615</v>
      </c>
      <c r="I23" s="12" t="s">
        <v>1616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1617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1618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1619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1435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1620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1621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1622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1623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72" t="s">
        <v>1624</v>
      </c>
      <c r="J44" s="925"/>
      <c r="K44" s="925"/>
      <c r="L44" s="925"/>
      <c r="M44" s="925"/>
      <c r="N44" s="925"/>
      <c r="O44" s="925"/>
      <c r="P44" s="925"/>
      <c r="Q44" s="99"/>
    </row>
    <row r="45" spans="9:17" ht="15.75" customHeight="1" x14ac:dyDescent="0.25">
      <c r="I45" s="118"/>
      <c r="J45" s="973" t="s">
        <v>1625</v>
      </c>
      <c r="K45" s="925"/>
      <c r="L45" s="973" t="s">
        <v>1626</v>
      </c>
      <c r="M45" s="923"/>
      <c r="N45" s="792"/>
      <c r="O45" s="49" t="s">
        <v>1627</v>
      </c>
      <c r="P45" s="793" t="s">
        <v>1626</v>
      </c>
    </row>
    <row r="46" spans="9:17" ht="15.75" customHeight="1" x14ac:dyDescent="0.25">
      <c r="I46" s="12" t="s">
        <v>1628</v>
      </c>
      <c r="J46" s="14">
        <v>2234</v>
      </c>
      <c r="K46" s="14" t="s">
        <v>1629</v>
      </c>
      <c r="L46" s="402">
        <f>+('5. Data'!AF100+'5. Data'!AF101)*$D$7</f>
        <v>1536.6908880451988</v>
      </c>
      <c r="M46" s="14" t="s">
        <v>1629</v>
      </c>
      <c r="N46" s="794" t="s">
        <v>1628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1264</v>
      </c>
      <c r="J47" s="14">
        <v>508</v>
      </c>
      <c r="K47" s="14" t="s">
        <v>1629</v>
      </c>
      <c r="L47" s="14" t="s">
        <v>1099</v>
      </c>
      <c r="M47" s="14"/>
      <c r="N47" s="794" t="s">
        <v>1264</v>
      </c>
      <c r="O47" s="295">
        <f t="shared" si="10"/>
        <v>0.13575628006413681</v>
      </c>
      <c r="P47" s="795" t="s">
        <v>1099</v>
      </c>
    </row>
    <row r="48" spans="9:17" ht="15.75" customHeight="1" x14ac:dyDescent="0.25">
      <c r="I48" s="12" t="s">
        <v>1222</v>
      </c>
      <c r="J48" s="14">
        <v>584</v>
      </c>
      <c r="K48" s="14" t="s">
        <v>1629</v>
      </c>
      <c r="L48" s="402">
        <f>+'5. Data'!AF99-'5. Data'!AF69</f>
        <v>243.24624083200007</v>
      </c>
      <c r="M48" s="14" t="s">
        <v>1629</v>
      </c>
      <c r="N48" s="794" t="s">
        <v>1222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1247</v>
      </c>
      <c r="J49" s="14">
        <v>226</v>
      </c>
      <c r="K49" s="14" t="s">
        <v>1629</v>
      </c>
      <c r="L49" s="402">
        <f>+'5. Data'!AF103</f>
        <v>30.707442634670208</v>
      </c>
      <c r="M49" s="14" t="s">
        <v>1629</v>
      </c>
      <c r="N49" s="794" t="s">
        <v>1247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1630</v>
      </c>
      <c r="J50" s="14">
        <v>168</v>
      </c>
      <c r="K50" s="14" t="s">
        <v>1629</v>
      </c>
      <c r="L50" s="402">
        <f>+'5. Data'!AF69</f>
        <v>23.492594688000001</v>
      </c>
      <c r="M50" s="14" t="s">
        <v>1629</v>
      </c>
      <c r="N50" s="794" t="s">
        <v>1630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1256</v>
      </c>
      <c r="J51" s="14">
        <v>22</v>
      </c>
      <c r="K51" s="14" t="s">
        <v>1629</v>
      </c>
      <c r="L51" s="402">
        <f>+'5. Data'!AF104</f>
        <v>13.932585988360662</v>
      </c>
      <c r="M51" s="14" t="s">
        <v>1629</v>
      </c>
      <c r="N51" s="794" t="s">
        <v>1256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1631</v>
      </c>
      <c r="J52" s="49" t="s">
        <v>1099</v>
      </c>
      <c r="K52" s="49"/>
      <c r="L52" s="788">
        <f>+'5. Data'!AF102</f>
        <v>10.111980967983444</v>
      </c>
      <c r="M52" s="793" t="s">
        <v>1629</v>
      </c>
      <c r="N52" s="792" t="s">
        <v>1631</v>
      </c>
      <c r="O52" s="796" t="s">
        <v>1099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1629</v>
      </c>
      <c r="L53" s="402">
        <f>+SUM(L46:L52)</f>
        <v>1858.1817331562133</v>
      </c>
      <c r="M53" s="14" t="s">
        <v>1629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72" t="s">
        <v>1632</v>
      </c>
      <c r="J57" s="925"/>
      <c r="K57" s="925"/>
      <c r="L57" s="925"/>
      <c r="M57" s="925"/>
      <c r="N57" s="925"/>
      <c r="O57" s="925"/>
      <c r="P57" s="925"/>
    </row>
    <row r="58" spans="9:16" ht="15.75" customHeight="1" x14ac:dyDescent="0.25">
      <c r="J58" s="798" t="s">
        <v>1633</v>
      </c>
      <c r="K58" s="798" t="s">
        <v>1634</v>
      </c>
      <c r="L58" s="798" t="s">
        <v>1635</v>
      </c>
      <c r="M58" s="799" t="s">
        <v>1633</v>
      </c>
      <c r="N58" s="798" t="s">
        <v>1634</v>
      </c>
      <c r="O58" s="800" t="s">
        <v>1635</v>
      </c>
    </row>
    <row r="59" spans="9:16" ht="15.75" customHeight="1" x14ac:dyDescent="0.25">
      <c r="I59" s="12" t="s">
        <v>1628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1264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1222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1247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1630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1256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1631</v>
      </c>
      <c r="J65" s="214" t="s">
        <v>1099</v>
      </c>
      <c r="K65" s="214" t="s">
        <v>1099</v>
      </c>
      <c r="L65" s="214" t="s">
        <v>1099</v>
      </c>
      <c r="M65" s="801"/>
      <c r="N65" s="228"/>
      <c r="O65" s="363"/>
    </row>
    <row r="66" spans="9:17" ht="15.75" customHeight="1" x14ac:dyDescent="0.25">
      <c r="I66" s="12" t="s">
        <v>1636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1637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1638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1639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1620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1633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1634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1635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2022-12-14T05:04:48Z</dcterms:modified>
</cp:coreProperties>
</file>