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45D6AC8A-8A4F-451B-ABB6-A321EE7425FA}" xr6:coauthVersionLast="47" xr6:coauthVersionMax="47" xr10:uidLastSave="{00000000-0000-0000-0000-000000000000}"/>
  <bookViews>
    <workbookView xWindow="-120" yWindow="-120" windowWidth="29040" windowHeight="15840" xr2:uid="{FC596A1D-735D-47D8-8E25-30449B5B17D4}"/>
  </bookViews>
  <sheets>
    <sheet name="6. Reservas" sheetId="1" r:id="rId1"/>
  </sheets>
  <externalReferences>
    <externalReference r:id="rId2"/>
    <externalReference r:id="rId3"/>
    <externalReference r:id="rId4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" i="1" l="1"/>
  <c r="Y20" i="1"/>
  <c r="Y18" i="1" a="1"/>
  <c r="Y18" i="1" s="1"/>
  <c r="H11" i="1"/>
  <c r="H10" i="1"/>
  <c r="H9" i="1"/>
  <c r="I5" i="1"/>
  <c r="AF27" i="1"/>
  <c r="H7" i="1"/>
  <c r="AE27" i="1"/>
  <c r="AC33" i="1"/>
  <c r="AB33" i="1"/>
  <c r="AC32" i="1"/>
  <c r="AB32" i="1"/>
  <c r="AB27" i="1"/>
  <c r="AC27" i="1"/>
  <c r="AC26" i="1"/>
  <c r="AB26" i="1"/>
  <c r="Z20" i="1" l="1"/>
  <c r="Z19" i="1" s="1"/>
  <c r="AA20" i="1"/>
  <c r="AA19" i="1" s="1"/>
  <c r="AB20" i="1"/>
  <c r="AB19" i="1" s="1"/>
  <c r="Y19" i="1"/>
  <c r="O7" i="1"/>
  <c r="O8" i="1"/>
  <c r="O9" i="1"/>
  <c r="O6" i="1"/>
  <c r="N7" i="1"/>
  <c r="N6" i="1"/>
  <c r="K71" i="1"/>
  <c r="K70" i="1"/>
  <c r="S57" i="1"/>
  <c r="R57" i="1" s="1"/>
  <c r="K57" i="1"/>
  <c r="K58" i="1" s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4" i="1"/>
  <c r="Q24" i="1"/>
  <c r="P24" i="1"/>
  <c r="O24" i="1"/>
  <c r="N24" i="1"/>
  <c r="M24" i="1"/>
  <c r="L24" i="1"/>
  <c r="K24" i="1"/>
  <c r="U23" i="1"/>
  <c r="T23" i="1"/>
  <c r="T26" i="1" s="1"/>
  <c r="U22" i="1"/>
  <c r="U30" i="1" s="1"/>
  <c r="T22" i="1"/>
  <c r="C22" i="1"/>
  <c r="U21" i="1"/>
  <c r="U29" i="1" s="1"/>
  <c r="T21" i="1"/>
  <c r="U20" i="1"/>
  <c r="U28" i="1" s="1"/>
  <c r="T20" i="1"/>
  <c r="U19" i="1"/>
  <c r="U27" i="1" s="1"/>
  <c r="T19" i="1"/>
  <c r="U18" i="1"/>
  <c r="T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W68" i="1" s="1"/>
  <c r="C7" i="1"/>
  <c r="B7" i="1"/>
  <c r="E6" i="1"/>
  <c r="D6" i="1"/>
  <c r="C6" i="1"/>
  <c r="E5" i="1"/>
  <c r="E4" i="1"/>
  <c r="D4" i="1"/>
  <c r="T27" i="1" l="1"/>
  <c r="T29" i="1"/>
  <c r="T30" i="1"/>
  <c r="U24" i="1"/>
  <c r="T24" i="1"/>
  <c r="K75" i="1"/>
  <c r="T28" i="1"/>
  <c r="U26" i="1"/>
  <c r="R58" i="1"/>
  <c r="R54" i="1"/>
  <c r="S54" i="1" s="1"/>
  <c r="X64" i="1"/>
  <c r="Y65" i="1"/>
  <c r="W67" i="1"/>
  <c r="X68" i="1"/>
  <c r="Y64" i="1"/>
  <c r="W66" i="1"/>
  <c r="X67" i="1"/>
  <c r="Y68" i="1"/>
  <c r="W65" i="1"/>
  <c r="X66" i="1"/>
  <c r="Y67" i="1"/>
  <c r="W64" i="1"/>
  <c r="X65" i="1"/>
  <c r="Y66" i="1"/>
  <c r="Y70" i="1" l="1"/>
  <c r="X70" i="1"/>
  <c r="W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7" authorId="0" shapeId="0" xr:uid="{EBD1C0AD-8BD7-4A41-8B7F-20FBAD45341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file:///C:/Users/JULIAN/Desktop/El+Grupo+Ecopetrol+increment%C3%B3+sus+reservas+probadas+de+hidrocarburos+a+1.727+millones+de+barriles+equivalentes+al+cierre+de+2018.pdf</t>
        </r>
      </text>
    </comment>
    <comment ref="P17" authorId="0" shapeId="0" xr:uid="{525A8863-FA20-4202-A4DA-29B4246886F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Q17" authorId="0" shapeId="0" xr:uid="{1F460F06-D733-4D04-9190-26AEE1529BD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R17" authorId="0" shapeId="0" xr:uid="{82C88550-FFB6-4154-A07B-8483BA4E9D9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Z17" authorId="0" shapeId="0" xr:uid="{7A8A23D7-0DF0-4C4F-9259-9462F4C94A2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AA17" authorId="0" shapeId="0" xr:uid="{740CD038-8CC1-41B7-B809-FD2E6E8AC8A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AB17" authorId="0" shapeId="0" xr:uid="{CCCFE97B-E710-40F4-8E19-535E14E5B46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<sst xmlns="http://schemas.openxmlformats.org/spreadsheetml/2006/main" count="91" uniqueCount="65">
  <si>
    <t>Reportes de ECP</t>
  </si>
  <si>
    <t>2014-2019</t>
  </si>
  <si>
    <t>2014-2021</t>
  </si>
  <si>
    <t>RI</t>
  </si>
  <si>
    <t>Revisiones</t>
  </si>
  <si>
    <t>Recobro Mejorado</t>
  </si>
  <si>
    <t>Boe</t>
  </si>
  <si>
    <t>J/bl</t>
  </si>
  <si>
    <t>Extensiones, Descrubrimientos</t>
  </si>
  <si>
    <t>TJ/kbl</t>
  </si>
  <si>
    <t>Compras</t>
  </si>
  <si>
    <t>Pc</t>
  </si>
  <si>
    <t>Producción</t>
  </si>
  <si>
    <t>I/R</t>
  </si>
  <si>
    <t>I/R Revisiones</t>
  </si>
  <si>
    <t>I/R Recobro Mejorado</t>
  </si>
  <si>
    <t>I/R Extensiones</t>
  </si>
  <si>
    <t>I/R Compras</t>
  </si>
  <si>
    <t>TIMES</t>
  </si>
  <si>
    <t>PEN, Bajo</t>
  </si>
  <si>
    <t>PEN, Medio</t>
  </si>
  <si>
    <t>ECP</t>
  </si>
  <si>
    <t>O</t>
  </si>
  <si>
    <t>G</t>
  </si>
  <si>
    <t>Reservas, PJ</t>
  </si>
  <si>
    <t>Reservas, Mboe</t>
  </si>
  <si>
    <t>Abastecimiento Gas natural, 2020, GPC</t>
  </si>
  <si>
    <t>Abastecimiento Gas natural, 2020, PJ</t>
  </si>
  <si>
    <t>Escenario Bajo</t>
  </si>
  <si>
    <t>Escenario Medio</t>
  </si>
  <si>
    <t>Probadas</t>
  </si>
  <si>
    <t>Probables</t>
  </si>
  <si>
    <t>Posibles</t>
  </si>
  <si>
    <t>Reservas probadas</t>
  </si>
  <si>
    <t>LLO</t>
  </si>
  <si>
    <t>Reservas probables</t>
  </si>
  <si>
    <t>VIM</t>
  </si>
  <si>
    <t>Reservas posibles</t>
  </si>
  <si>
    <t>Guajira</t>
  </si>
  <si>
    <t>Yet To Find</t>
  </si>
  <si>
    <t>VMM</t>
  </si>
  <si>
    <t>YNC</t>
  </si>
  <si>
    <t>CO</t>
  </si>
  <si>
    <t>Cusiana</t>
  </si>
  <si>
    <t>Cupiagua</t>
  </si>
  <si>
    <t>Pauto</t>
  </si>
  <si>
    <t>Floreña</t>
  </si>
  <si>
    <t xml:space="preserve">Reservas </t>
  </si>
  <si>
    <t>Colombia, PEN, 2020</t>
  </si>
  <si>
    <t>Modelo</t>
  </si>
  <si>
    <t>Porcentaje que es de gas</t>
  </si>
  <si>
    <t>-</t>
  </si>
  <si>
    <t>ECP, Oil</t>
  </si>
  <si>
    <t>ECP, Gas</t>
  </si>
  <si>
    <t>ECO, T</t>
  </si>
  <si>
    <t>ECP, Oil, ANH</t>
  </si>
  <si>
    <t>66% del pais</t>
  </si>
  <si>
    <t>ECP, GAS, ANH</t>
  </si>
  <si>
    <t>58,2% del pais</t>
  </si>
  <si>
    <t>ANH P1</t>
  </si>
  <si>
    <t>ANH P2</t>
  </si>
  <si>
    <t>ANH P3</t>
  </si>
  <si>
    <t>Mpc</t>
  </si>
  <si>
    <t>PJ</t>
  </si>
  <si>
    <t>Gpc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</si>
</sst>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E+00"/>
    <numFmt numFmtId="166" formatCode="_-* #,##0.0_-;\-* #,##0.0_-;_-* &quot;-&quot;??_-;_-@_-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0" xfId="0" applyNumberFormat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165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7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9" fontId="0" fillId="0" borderId="15" xfId="2" applyFont="1" applyBorder="1" applyAlignment="1">
      <alignment horizontal="center" vertical="center"/>
    </xf>
    <xf numFmtId="1" fontId="0" fillId="0" borderId="0" xfId="0" applyNumberFormat="1"/>
    <xf numFmtId="166" fontId="0" fillId="0" borderId="0" xfId="1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2" xfId="0" applyBorder="1"/>
    <xf numFmtId="167" fontId="0" fillId="0" borderId="0" xfId="1" applyNumberFormat="1" applyFo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56933508311463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 Reservas'!$J$26</c:f>
              <c:strCache>
                <c:ptCount val="1"/>
                <c:pt idx="0">
                  <c:v>I/R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Reservas'!$L$26:$R$26</c:f>
              <c:numCache>
                <c:formatCode>0%</c:formatCode>
                <c:ptCount val="7"/>
                <c:pt idx="0">
                  <c:v>5.9760956175298807E-2</c:v>
                </c:pt>
                <c:pt idx="1">
                  <c:v>-6.8085106382978725E-2</c:v>
                </c:pt>
                <c:pt idx="2">
                  <c:v>1.2606837606837606</c:v>
                </c:pt>
                <c:pt idx="3">
                  <c:v>1.2845188284518829</c:v>
                </c:pt>
                <c:pt idx="4">
                  <c:v>1.6859504132231404</c:v>
                </c:pt>
                <c:pt idx="5">
                  <c:v>0.48050847457627122</c:v>
                </c:pt>
                <c:pt idx="6">
                  <c:v>2.002164502164502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2-4E0B-AF1F-02A21229DABD}"/>
            </c:ext>
          </c:extLst>
        </c:ser>
        <c:ser>
          <c:idx val="1"/>
          <c:order val="1"/>
          <c:tx>
            <c:strRef>
              <c:f>'6. Reservas'!$J$27</c:f>
              <c:strCache>
                <c:ptCount val="1"/>
                <c:pt idx="0">
                  <c:v>I/R Revisiones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Reservas'!$L$27:$R$27</c:f>
              <c:numCache>
                <c:formatCode>0%</c:formatCode>
                <c:ptCount val="7"/>
                <c:pt idx="0">
                  <c:v>-9.9601593625498003E-2</c:v>
                </c:pt>
                <c:pt idx="1">
                  <c:v>-0.22978723404255319</c:v>
                </c:pt>
                <c:pt idx="2">
                  <c:v>0.74358974358974361</c:v>
                </c:pt>
                <c:pt idx="3">
                  <c:v>0.50627615062761511</c:v>
                </c:pt>
                <c:pt idx="4">
                  <c:v>0.34297520661157027</c:v>
                </c:pt>
                <c:pt idx="5">
                  <c:v>-0.30296610169491528</c:v>
                </c:pt>
                <c:pt idx="6">
                  <c:v>1.3636363636363635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2-4E0B-AF1F-02A21229DABD}"/>
            </c:ext>
          </c:extLst>
        </c:ser>
        <c:ser>
          <c:idx val="2"/>
          <c:order val="2"/>
          <c:tx>
            <c:strRef>
              <c:f>'6. Reservas'!$J$28</c:f>
              <c:strCache>
                <c:ptCount val="1"/>
                <c:pt idx="0">
                  <c:v>I/R Recobro Mejorado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Reservas'!$L$28:$R$28</c:f>
              <c:numCache>
                <c:formatCode>0%</c:formatCode>
                <c:ptCount val="7"/>
                <c:pt idx="0">
                  <c:v>6.3745019920318724E-2</c:v>
                </c:pt>
                <c:pt idx="1">
                  <c:v>4.6808510638297871E-2</c:v>
                </c:pt>
                <c:pt idx="2">
                  <c:v>0.31196581196581197</c:v>
                </c:pt>
                <c:pt idx="3">
                  <c:v>0.53974895397489542</c:v>
                </c:pt>
                <c:pt idx="4">
                  <c:v>0.38842975206611569</c:v>
                </c:pt>
                <c:pt idx="5">
                  <c:v>0.4788135593220339</c:v>
                </c:pt>
                <c:pt idx="6">
                  <c:v>0.60173160173160178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2-4E0B-AF1F-02A21229DABD}"/>
            </c:ext>
          </c:extLst>
        </c:ser>
        <c:ser>
          <c:idx val="3"/>
          <c:order val="3"/>
          <c:tx>
            <c:strRef>
              <c:f>'6. Reservas'!$J$29</c:f>
              <c:strCache>
                <c:ptCount val="1"/>
                <c:pt idx="0">
                  <c:v>I/R Extensiones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Reservas'!$L$29:$R$29</c:f>
              <c:numCache>
                <c:formatCode>0%</c:formatCode>
                <c:ptCount val="7"/>
                <c:pt idx="0">
                  <c:v>9.5617529880478086E-2</c:v>
                </c:pt>
                <c:pt idx="1">
                  <c:v>0.1148936170212766</c:v>
                </c:pt>
                <c:pt idx="2">
                  <c:v>1.7094017094017096E-2</c:v>
                </c:pt>
                <c:pt idx="3">
                  <c:v>0</c:v>
                </c:pt>
                <c:pt idx="4">
                  <c:v>0.6776859504132231</c:v>
                </c:pt>
                <c:pt idx="5">
                  <c:v>0.18220338983050846</c:v>
                </c:pt>
                <c:pt idx="6">
                  <c:v>5.1948051948051951E-2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2-4E0B-AF1F-02A21229DABD}"/>
            </c:ext>
          </c:extLst>
        </c:ser>
        <c:ser>
          <c:idx val="4"/>
          <c:order val="4"/>
          <c:tx>
            <c:strRef>
              <c:f>'6. Reservas'!$J$30</c:f>
              <c:strCache>
                <c:ptCount val="1"/>
                <c:pt idx="0">
                  <c:v>I/R Compras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Reservas'!$L$30:$R$30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0.18803418803418803</c:v>
                </c:pt>
                <c:pt idx="3">
                  <c:v>0.2384937238493724</c:v>
                </c:pt>
                <c:pt idx="4">
                  <c:v>0.27685950413223143</c:v>
                </c:pt>
                <c:pt idx="5">
                  <c:v>0.12245762711864407</c:v>
                </c:pt>
                <c:pt idx="6">
                  <c:v>-1.5151515151515152E-2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2-4E0B-AF1F-02A21229D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235327"/>
        <c:axId val="1628249055"/>
      </c:lineChart>
      <c:catAx>
        <c:axId val="16282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49055"/>
        <c:crosses val="autoZero"/>
        <c:auto val="1"/>
        <c:lblAlgn val="ctr"/>
        <c:lblOffset val="100"/>
        <c:noMultiLvlLbl val="0"/>
      </c:catAx>
      <c:valAx>
        <c:axId val="16282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140074</xdr:colOff>
      <xdr:row>35</xdr:row>
      <xdr:rowOff>1120</xdr:rowOff>
    </xdr:from>
    <xdr:to>
      <xdr:col>12</xdr:col>
      <xdr:colOff>184897</xdr:colOff>
      <xdr:row>49</xdr:row>
      <xdr:rowOff>77320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8280D2-02EA-4626-921C-BB943C8A1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627530</xdr:colOff>
      <xdr:row>32</xdr:row>
      <xdr:rowOff>33618</xdr:rowOff>
    </xdr:from>
    <xdr:to>
      <xdr:col>18</xdr:col>
      <xdr:colOff>310654</xdr:colOff>
      <xdr:row>41</xdr:row>
      <xdr:rowOff>129121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D1F89-4D88-44AE-9C49-3FCF4A76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57605" y="6129618"/>
          <a:ext cx="5798174" cy="1810003"/>
        </a:xfrm>
        <a:prstGeom prst="rect">
          <a:avLst/>
        </a:prstGeom>
      </xdr:spPr>
    </xdr:pic>
    <xdr:clientData/>
  </xdr:twoCellAnchor>
  <xdr:twoCellAnchor editAs="oneCell">
    <xdr:from>
      <xdr:col>1</xdr:col>
      <xdr:colOff>467847</xdr:colOff>
      <xdr:row>85</xdr:row>
      <xdr:rowOff>121863</xdr:rowOff>
    </xdr:from>
    <xdr:to>
      <xdr:col>9</xdr:col>
      <xdr:colOff>1116860</xdr:colOff>
      <xdr:row>109</xdr:row>
      <xdr:rowOff>93922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7FA28E-1ED0-4AB6-8511-2074A1F4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847" y="16314363"/>
          <a:ext cx="7392713" cy="454405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6.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D4" t="str">
            <v>PCI</v>
          </cell>
          <cell r="E4" t="str">
            <v>F.E. CO2eq</v>
          </cell>
        </row>
        <row r="5">
          <cell r="E5" t="str">
            <v>kt/PJ</v>
          </cell>
        </row>
        <row r="6">
          <cell r="C6" t="str">
            <v>Energético</v>
          </cell>
          <cell r="D6" t="str">
            <v>TJ/kbl*</v>
          </cell>
          <cell r="E6" t="str">
            <v>t/TJ</v>
          </cell>
        </row>
        <row r="7">
          <cell r="B7" t="str">
            <v>GAS</v>
          </cell>
          <cell r="C7" t="str">
            <v>Gas Natural</v>
          </cell>
          <cell r="D7">
            <v>1.0095573442026637</v>
          </cell>
          <cell r="E7">
            <v>55.539114956987063</v>
          </cell>
        </row>
        <row r="8">
          <cell r="B8" t="str">
            <v>LOIL</v>
          </cell>
          <cell r="C8" t="str">
            <v>Petróleo liviano</v>
          </cell>
          <cell r="D8">
            <v>6.0871741676095334</v>
          </cell>
          <cell r="E8">
            <v>77.841777688967127</v>
          </cell>
        </row>
        <row r="9">
          <cell r="B9" t="str">
            <v>MOIL</v>
          </cell>
          <cell r="C9" t="str">
            <v>Petróleo mediano</v>
          </cell>
          <cell r="D9">
            <v>6.0871741676095334</v>
          </cell>
          <cell r="E9">
            <v>77.841777688967127</v>
          </cell>
        </row>
        <row r="10">
          <cell r="B10" t="str">
            <v>HOIL</v>
          </cell>
          <cell r="C10" t="str">
            <v>Petróleo pesado</v>
          </cell>
          <cell r="D10">
            <v>6.0871741676095334</v>
          </cell>
          <cell r="E10">
            <v>77.841777688967127</v>
          </cell>
        </row>
        <row r="11">
          <cell r="B11" t="str">
            <v>GSL</v>
          </cell>
          <cell r="C11" t="str">
            <v>Gasolina antes de blending</v>
          </cell>
          <cell r="D11">
            <v>5.3308987344700309</v>
          </cell>
          <cell r="E11">
            <v>69.193827140333724</v>
          </cell>
        </row>
        <row r="12">
          <cell r="B12" t="str">
            <v>DSL</v>
          </cell>
          <cell r="C12" t="str">
            <v>Diesel antes de blending</v>
          </cell>
          <cell r="D12">
            <v>5.6708498400612823</v>
          </cell>
          <cell r="E12">
            <v>75.166375708662926</v>
          </cell>
        </row>
        <row r="13">
          <cell r="B13" t="str">
            <v>KER</v>
          </cell>
          <cell r="C13" t="str">
            <v>Keroseno-Jet</v>
          </cell>
          <cell r="D13">
            <v>4.7117947967516214</v>
          </cell>
          <cell r="E13">
            <v>87.735056011523966</v>
          </cell>
        </row>
        <row r="14">
          <cell r="B14" t="str">
            <v>LPG</v>
          </cell>
          <cell r="C14" t="str">
            <v>Gas licuado de Petróleo</v>
          </cell>
          <cell r="D14">
            <v>4.0562660463586173</v>
          </cell>
          <cell r="E14">
            <v>47.28933824683137</v>
          </cell>
        </row>
        <row r="15">
          <cell r="B15" t="str">
            <v>HFO</v>
          </cell>
          <cell r="C15" t="str">
            <v>Fuel Oil (Combustoleo</v>
          </cell>
          <cell r="D15">
            <v>5.4608206169323079</v>
          </cell>
          <cell r="E15">
            <v>78.281203343664757</v>
          </cell>
        </row>
        <row r="16">
          <cell r="B16" t="str">
            <v>AVG</v>
          </cell>
          <cell r="C16" t="str">
            <v>Gasolina de aviación</v>
          </cell>
          <cell r="D16">
            <v>4.7615165047769556</v>
          </cell>
          <cell r="E16">
            <v>56.337812381502502</v>
          </cell>
        </row>
        <row r="17">
          <cell r="B17" t="str">
            <v>RFG</v>
          </cell>
          <cell r="C17" t="str">
            <v>Refinery Gas</v>
          </cell>
          <cell r="D17">
            <v>4.1867999999999999</v>
          </cell>
          <cell r="E17">
            <v>40.784041574326501</v>
          </cell>
        </row>
        <row r="18">
          <cell r="B18" t="str">
            <v>*Para todos, menos gas natural, las unidades son TJ/Mpc; PJ/kpc</v>
          </cell>
        </row>
        <row r="90">
          <cell r="P90">
            <v>1</v>
          </cell>
          <cell r="AB90">
            <v>266.73883552000007</v>
          </cell>
        </row>
        <row r="91">
          <cell r="P91">
            <v>0.70411500249785086</v>
          </cell>
          <cell r="AB91">
            <v>2182.2418034400002</v>
          </cell>
        </row>
        <row r="92">
          <cell r="P92">
            <v>2.8224919834781799E-3</v>
          </cell>
          <cell r="AB92">
            <v>7958.3611650879984</v>
          </cell>
        </row>
        <row r="93">
          <cell r="P93">
            <v>0.2264193930205074</v>
          </cell>
          <cell r="AB93">
            <v>44.660401360000002</v>
          </cell>
        </row>
        <row r="94">
          <cell r="P94">
            <v>2.9005932398423979E-2</v>
          </cell>
          <cell r="AB94">
            <v>1100.1753392559999</v>
          </cell>
        </row>
        <row r="95">
          <cell r="P95">
            <v>4.9174002504380532E-2</v>
          </cell>
          <cell r="AB95">
            <v>317.27238555200006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CC8-2C56-4CAC-AD4A-B1AFE9FC8086}">
  <dimension ref="B3:AF79"/>
  <sheetViews>
    <sheetView showGridLines="0" tabSelected="1" topLeftCell="K4" zoomScaleNormal="100" workbookViewId="0">
      <selection activeCell="X24" sqref="X24:Z33"/>
    </sheetView>
  </sheetViews>
  <sheetFormatPr baseColWidth="10" defaultRowHeight="15" x14ac:dyDescent="0.25"/>
  <cols>
    <col min="8" max="9" width="16.28515625" customWidth="1"/>
    <col min="10" max="10" width="34.5703125" customWidth="1"/>
    <col min="11" max="11" width="16.28515625" customWidth="1"/>
    <col min="12" max="12" width="17" customWidth="1"/>
    <col min="13" max="13" width="19.140625" customWidth="1"/>
    <col min="14" max="14" width="15.28515625" customWidth="1"/>
    <col min="15" max="15" width="19.140625" customWidth="1"/>
    <col min="18" max="18" width="15.28515625" customWidth="1"/>
    <col min="19" max="19" width="10.5703125" customWidth="1"/>
    <col min="20" max="20" width="11.85546875" bestFit="1" customWidth="1"/>
  </cols>
  <sheetData>
    <row r="3" spans="2:21" x14ac:dyDescent="0.25">
      <c r="J3" s="49" t="s">
        <v>48</v>
      </c>
      <c r="K3" s="50"/>
      <c r="L3" s="51"/>
      <c r="M3" s="49" t="s">
        <v>48</v>
      </c>
      <c r="N3" s="50"/>
      <c r="O3" s="51"/>
    </row>
    <row r="4" spans="2:21" x14ac:dyDescent="0.25">
      <c r="D4" s="1" t="str">
        <f>'[3]5. Data'!D4</f>
        <v>PCI</v>
      </c>
      <c r="E4" s="1" t="str">
        <f>'[3]5. Data'!E4</f>
        <v>F.E. CO2eq</v>
      </c>
      <c r="H4" s="1" t="s">
        <v>49</v>
      </c>
      <c r="I4" s="1" t="s">
        <v>21</v>
      </c>
      <c r="J4" s="25"/>
      <c r="K4" s="32" t="s">
        <v>28</v>
      </c>
      <c r="L4" s="33" t="s">
        <v>29</v>
      </c>
      <c r="M4" s="25"/>
      <c r="N4" s="32" t="s">
        <v>28</v>
      </c>
      <c r="O4" s="32" t="s">
        <v>29</v>
      </c>
    </row>
    <row r="5" spans="2:21" x14ac:dyDescent="0.25">
      <c r="D5" s="1"/>
      <c r="E5" s="1" t="str">
        <f>'[3]5. Data'!E5</f>
        <v>kt/PJ</v>
      </c>
      <c r="H5" s="20">
        <v>1640</v>
      </c>
      <c r="I5" s="39">
        <f>1893*0.71</f>
        <v>1344.03</v>
      </c>
      <c r="J5" s="31" t="s">
        <v>33</v>
      </c>
      <c r="K5" s="34">
        <v>2037</v>
      </c>
      <c r="L5" s="35">
        <v>2037</v>
      </c>
      <c r="M5" s="31" t="s">
        <v>33</v>
      </c>
      <c r="N5" s="34">
        <v>2037</v>
      </c>
      <c r="O5" s="34">
        <v>2037</v>
      </c>
    </row>
    <row r="6" spans="2:21" x14ac:dyDescent="0.25">
      <c r="C6" t="str">
        <f>'[3]5. Data'!C6</f>
        <v>Energético</v>
      </c>
      <c r="D6" s="1" t="str">
        <f>'[3]5. Data'!D6</f>
        <v>TJ/kbl*</v>
      </c>
      <c r="E6" s="1" t="str">
        <f>'[3]5. Data'!E6</f>
        <v>t/TJ</v>
      </c>
      <c r="H6">
        <v>1949.911338725042</v>
      </c>
      <c r="J6" s="25" t="s">
        <v>35</v>
      </c>
      <c r="K6" s="27">
        <v>532</v>
      </c>
      <c r="L6" s="26">
        <v>638</v>
      </c>
      <c r="M6" s="25" t="s">
        <v>35</v>
      </c>
      <c r="N6" s="36">
        <f>+K6/K$5</f>
        <v>0.2611683848797251</v>
      </c>
      <c r="O6" s="36">
        <f>+L6/$L5</f>
        <v>0.31320569464899362</v>
      </c>
    </row>
    <row r="7" spans="2:21" x14ac:dyDescent="0.25">
      <c r="B7" s="1" t="str">
        <f>'[3]5. Data'!B7</f>
        <v>GAS</v>
      </c>
      <c r="C7" s="2" t="str">
        <f>'[3]5. Data'!C7</f>
        <v>Gas Natural</v>
      </c>
      <c r="D7" s="3">
        <f>'[3]5. Data'!D7</f>
        <v>1.0095573442026637</v>
      </c>
      <c r="E7" s="4">
        <f>'[3]5. Data'!E7</f>
        <v>55.539114956987063</v>
      </c>
      <c r="H7" s="38">
        <f>+H6-H5</f>
        <v>309.91133872504201</v>
      </c>
      <c r="J7" s="25" t="s">
        <v>37</v>
      </c>
      <c r="K7" s="27">
        <v>307</v>
      </c>
      <c r="L7" s="26">
        <v>461</v>
      </c>
      <c r="M7" s="25" t="s">
        <v>37</v>
      </c>
      <c r="N7" s="36">
        <f>+K7/K$5</f>
        <v>0.15071183112420225</v>
      </c>
      <c r="O7" s="36">
        <f t="shared" ref="O7:O9" si="0">+L7/$L6</f>
        <v>0.72257053291536055</v>
      </c>
    </row>
    <row r="8" spans="2:21" x14ac:dyDescent="0.25">
      <c r="B8" s="1" t="str">
        <f>'[3]5. Data'!B8</f>
        <v>LOIL</v>
      </c>
      <c r="C8" s="2" t="str">
        <f>'[3]5. Data'!C8</f>
        <v>Petróleo liviano</v>
      </c>
      <c r="D8" s="3">
        <f>'[3]5. Data'!D8</f>
        <v>6.0871741676095334</v>
      </c>
      <c r="E8" s="4">
        <f>'[3]5. Data'!E8</f>
        <v>77.841777688967127</v>
      </c>
      <c r="J8" s="25" t="s">
        <v>39</v>
      </c>
      <c r="K8" s="27"/>
      <c r="L8" s="26">
        <v>1691</v>
      </c>
      <c r="M8" s="25" t="s">
        <v>39</v>
      </c>
      <c r="N8" s="27"/>
      <c r="O8" s="36">
        <f t="shared" si="0"/>
        <v>3.6681127982646422</v>
      </c>
    </row>
    <row r="9" spans="2:21" x14ac:dyDescent="0.25">
      <c r="B9" s="1" t="str">
        <f>'[3]5. Data'!B9</f>
        <v>MOIL</v>
      </c>
      <c r="C9" s="5" t="str">
        <f>'[3]5. Data'!C9</f>
        <v>Petróleo mediano</v>
      </c>
      <c r="D9" s="6">
        <f>'[3]5. Data'!D9</f>
        <v>6.0871741676095334</v>
      </c>
      <c r="E9" s="7">
        <f>'[3]5. Data'!E9</f>
        <v>77.841777688967127</v>
      </c>
      <c r="H9" s="11">
        <f>+H7*1000*D8/1000</f>
        <v>1886.4842953363639</v>
      </c>
      <c r="I9" t="s">
        <v>63</v>
      </c>
      <c r="J9" s="28" t="s">
        <v>41</v>
      </c>
      <c r="K9" s="29"/>
      <c r="L9" s="30">
        <v>1809</v>
      </c>
      <c r="M9" s="28" t="s">
        <v>41</v>
      </c>
      <c r="N9" s="29"/>
      <c r="O9" s="37">
        <f t="shared" si="0"/>
        <v>1.0697811945594322</v>
      </c>
    </row>
    <row r="10" spans="2:21" x14ac:dyDescent="0.25">
      <c r="B10" s="1" t="str">
        <f>'[3]5. Data'!B10</f>
        <v>HOIL</v>
      </c>
      <c r="C10" s="8" t="str">
        <f>'[3]5. Data'!C10</f>
        <v>Petróleo pesado</v>
      </c>
      <c r="D10" s="9">
        <f>'[3]5. Data'!D10</f>
        <v>6.0871741676095334</v>
      </c>
      <c r="E10" s="10">
        <f>'[3]5. Data'!E10</f>
        <v>77.841777688967127</v>
      </c>
      <c r="H10" s="11">
        <f>+(H9*1000)/D7</f>
        <v>1868625.2011036444</v>
      </c>
      <c r="I10" t="s">
        <v>62</v>
      </c>
    </row>
    <row r="11" spans="2:21" x14ac:dyDescent="0.25">
      <c r="B11" s="1" t="str">
        <f>'[3]5. Data'!B11</f>
        <v>GSL</v>
      </c>
      <c r="C11" s="2" t="str">
        <f>'[3]5. Data'!C11</f>
        <v>Gasolina antes de blending</v>
      </c>
      <c r="D11" s="3">
        <f>'[3]5. Data'!D11</f>
        <v>5.3308987344700309</v>
      </c>
      <c r="E11" s="4">
        <f>'[3]5. Data'!E11</f>
        <v>69.193827140333724</v>
      </c>
      <c r="H11" s="11">
        <f>+H10/1000</f>
        <v>1868.6252011036445</v>
      </c>
      <c r="I11" t="s">
        <v>64</v>
      </c>
    </row>
    <row r="12" spans="2:21" x14ac:dyDescent="0.25">
      <c r="B12" s="1" t="str">
        <f>'[3]5. Data'!B12</f>
        <v>DSL</v>
      </c>
      <c r="C12" s="5" t="str">
        <f>'[3]5. Data'!C12</f>
        <v>Diesel antes de blending</v>
      </c>
      <c r="D12" s="6">
        <f>'[3]5. Data'!D12</f>
        <v>5.6708498400612823</v>
      </c>
      <c r="E12" s="7">
        <f>'[3]5. Data'!E12</f>
        <v>75.166375708662926</v>
      </c>
    </row>
    <row r="13" spans="2:21" x14ac:dyDescent="0.25">
      <c r="B13" s="1" t="str">
        <f>'[3]5. Data'!B13</f>
        <v>KER</v>
      </c>
      <c r="C13" s="8" t="str">
        <f>'[3]5. Data'!C13</f>
        <v>Keroseno-Jet</v>
      </c>
      <c r="D13" s="9">
        <f>'[3]5. Data'!D13</f>
        <v>4.7117947967516214</v>
      </c>
      <c r="E13" s="10">
        <f>'[3]5. Data'!E13</f>
        <v>87.735056011523966</v>
      </c>
      <c r="U13" s="11"/>
    </row>
    <row r="14" spans="2:21" x14ac:dyDescent="0.25">
      <c r="B14" s="1" t="str">
        <f>'[3]5. Data'!B14</f>
        <v>LPG</v>
      </c>
      <c r="C14" s="2" t="str">
        <f>'[3]5. Data'!C14</f>
        <v>Gas licuado de Petróleo</v>
      </c>
      <c r="D14" s="3">
        <f>'[3]5. Data'!D14</f>
        <v>4.0562660463586173</v>
      </c>
      <c r="E14" s="4">
        <f>'[3]5. Data'!E14</f>
        <v>47.28933824683137</v>
      </c>
    </row>
    <row r="15" spans="2:21" x14ac:dyDescent="0.25">
      <c r="B15" s="1" t="str">
        <f>'[3]5. Data'!B15</f>
        <v>HFO</v>
      </c>
      <c r="C15" s="5" t="str">
        <f>'[3]5. Data'!C15</f>
        <v>Fuel Oil (Combustoleo</v>
      </c>
      <c r="D15" s="6">
        <f>'[3]5. Data'!D15</f>
        <v>5.4608206169323079</v>
      </c>
      <c r="E15" s="7">
        <f>'[3]5. Data'!E15</f>
        <v>78.281203343664757</v>
      </c>
      <c r="J15" t="s">
        <v>50</v>
      </c>
    </row>
    <row r="16" spans="2:21" x14ac:dyDescent="0.25">
      <c r="B16" s="1" t="str">
        <f>'[3]5. Data'!B16</f>
        <v>AVG</v>
      </c>
      <c r="C16" s="5" t="str">
        <f>'[3]5. Data'!C16</f>
        <v>Gasolina de aviación</v>
      </c>
      <c r="D16" s="6">
        <f>'[3]5. Data'!D16</f>
        <v>4.7615165047769556</v>
      </c>
      <c r="E16" s="7">
        <f>'[3]5. Data'!E16</f>
        <v>56.337812381502502</v>
      </c>
      <c r="J16" t="s">
        <v>0</v>
      </c>
      <c r="K16" t="s">
        <v>51</v>
      </c>
      <c r="L16" s="41">
        <v>0.29699999999999999</v>
      </c>
      <c r="O16" s="40">
        <v>0.3</v>
      </c>
      <c r="P16" s="40">
        <v>0.27</v>
      </c>
      <c r="Q16" s="40">
        <v>0.28999999999999998</v>
      </c>
      <c r="R16" s="40">
        <v>0.28000000000000003</v>
      </c>
    </row>
    <row r="17" spans="2:32" x14ac:dyDescent="0.25">
      <c r="B17" s="1" t="str">
        <f>'[3]5. Data'!B17</f>
        <v>RFG</v>
      </c>
      <c r="C17" s="8" t="str">
        <f>'[3]5. Data'!C17</f>
        <v>Refinery Gas</v>
      </c>
      <c r="D17" s="9">
        <f>'[3]5. Data'!D17</f>
        <v>4.1867999999999999</v>
      </c>
      <c r="E17" s="10">
        <f>'[3]5. Data'!E17</f>
        <v>40.784041574326501</v>
      </c>
      <c r="J17" s="12"/>
      <c r="K17">
        <v>2014</v>
      </c>
      <c r="L17">
        <v>2015</v>
      </c>
      <c r="M17">
        <v>2016</v>
      </c>
      <c r="N17" s="12">
        <v>2017</v>
      </c>
      <c r="O17" s="12">
        <v>2018</v>
      </c>
      <c r="P17" s="12">
        <v>2019</v>
      </c>
      <c r="Q17" s="12">
        <v>2020</v>
      </c>
      <c r="R17" s="12">
        <v>2021</v>
      </c>
      <c r="T17" t="s">
        <v>1</v>
      </c>
      <c r="U17" t="s">
        <v>2</v>
      </c>
      <c r="X17" s="2"/>
      <c r="Y17" s="42">
        <v>2018</v>
      </c>
      <c r="Z17" s="42">
        <v>2019</v>
      </c>
      <c r="AA17" s="42">
        <v>2020</v>
      </c>
      <c r="AB17" s="43">
        <v>2021</v>
      </c>
    </row>
    <row r="18" spans="2:32" x14ac:dyDescent="0.25">
      <c r="B18" s="13" t="str">
        <f>'[3]5. Data'!B18</f>
        <v>*Para todos, menos gas natural, las unidades son TJ/Mpc; PJ/kpc</v>
      </c>
      <c r="J18" s="12" t="s">
        <v>3</v>
      </c>
      <c r="K18">
        <v>1972</v>
      </c>
      <c r="L18">
        <v>2084</v>
      </c>
      <c r="M18">
        <v>1849</v>
      </c>
      <c r="N18" s="12">
        <v>1598</v>
      </c>
      <c r="O18" s="12">
        <v>1659</v>
      </c>
      <c r="P18" s="12">
        <v>1727</v>
      </c>
      <c r="Q18" s="12">
        <v>1893</v>
      </c>
      <c r="R18" s="12">
        <v>1770</v>
      </c>
      <c r="T18" s="11">
        <f>+AVERAGE(K18:P18)</f>
        <v>1814.8333333333333</v>
      </c>
      <c r="U18" s="11">
        <f>+AVERAGE(K18:R18)</f>
        <v>1819</v>
      </c>
      <c r="X18" s="5" t="s">
        <v>54</v>
      </c>
      <c r="Y18" s="38" cm="1">
        <f t="array" ref="Y18:AB18">+O24:R24</f>
        <v>1727</v>
      </c>
      <c r="Z18" s="38">
        <v>1893</v>
      </c>
      <c r="AA18" s="38">
        <v>1770.4</v>
      </c>
      <c r="AB18" s="44">
        <v>2001.5</v>
      </c>
      <c r="AE18" s="48"/>
    </row>
    <row r="19" spans="2:32" x14ac:dyDescent="0.25">
      <c r="J19" s="14" t="s">
        <v>4</v>
      </c>
      <c r="K19">
        <v>271</v>
      </c>
      <c r="L19">
        <v>-25</v>
      </c>
      <c r="M19">
        <v>-54</v>
      </c>
      <c r="N19">
        <v>174</v>
      </c>
      <c r="O19">
        <v>121</v>
      </c>
      <c r="P19">
        <v>83</v>
      </c>
      <c r="Q19">
        <v>-71.5</v>
      </c>
      <c r="R19">
        <v>315</v>
      </c>
      <c r="T19" s="11">
        <f t="shared" ref="T19:T24" si="1">+AVERAGE(K19:P19)</f>
        <v>95</v>
      </c>
      <c r="U19" s="11">
        <f t="shared" ref="U19:U24" si="2">+AVERAGE(K19:R19)</f>
        <v>101.6875</v>
      </c>
      <c r="X19" s="5" t="s">
        <v>52</v>
      </c>
      <c r="Y19" s="38">
        <f>+Y18-Y20</f>
        <v>1208.9000000000001</v>
      </c>
      <c r="Z19" s="38">
        <f t="shared" ref="Z19:AB19" si="3">+Z18-Z20</f>
        <v>1381.8899999999999</v>
      </c>
      <c r="AA19" s="38">
        <f t="shared" si="3"/>
        <v>1256.9840000000002</v>
      </c>
      <c r="AB19" s="44">
        <f t="shared" si="3"/>
        <v>1441.08</v>
      </c>
    </row>
    <row r="20" spans="2:32" x14ac:dyDescent="0.25">
      <c r="J20" s="14" t="s">
        <v>5</v>
      </c>
      <c r="K20">
        <v>34</v>
      </c>
      <c r="L20">
        <v>16</v>
      </c>
      <c r="M20">
        <v>11</v>
      </c>
      <c r="N20">
        <v>73</v>
      </c>
      <c r="O20">
        <v>129</v>
      </c>
      <c r="P20">
        <v>94</v>
      </c>
      <c r="Q20">
        <v>113</v>
      </c>
      <c r="R20">
        <v>139</v>
      </c>
      <c r="T20" s="11">
        <f t="shared" si="1"/>
        <v>59.5</v>
      </c>
      <c r="U20" s="11">
        <f t="shared" si="2"/>
        <v>76.125</v>
      </c>
      <c r="X20" s="8" t="s">
        <v>53</v>
      </c>
      <c r="Y20" s="45">
        <f>+Y18*O16</f>
        <v>518.1</v>
      </c>
      <c r="Z20" s="45">
        <f t="shared" ref="Z20:AB20" si="4">+Z18*P16</f>
        <v>511.11</v>
      </c>
      <c r="AA20" s="45">
        <f t="shared" si="4"/>
        <v>513.41599999999994</v>
      </c>
      <c r="AB20" s="46">
        <f t="shared" si="4"/>
        <v>560.42000000000007</v>
      </c>
    </row>
    <row r="21" spans="2:32" x14ac:dyDescent="0.25">
      <c r="B21" t="s">
        <v>6</v>
      </c>
      <c r="C21" s="15">
        <v>6117863200</v>
      </c>
      <c r="D21" t="s">
        <v>7</v>
      </c>
      <c r="J21" s="14" t="s">
        <v>8</v>
      </c>
      <c r="K21">
        <v>50</v>
      </c>
      <c r="L21">
        <v>24</v>
      </c>
      <c r="M21">
        <v>27</v>
      </c>
      <c r="N21">
        <v>4</v>
      </c>
      <c r="O21">
        <v>0</v>
      </c>
      <c r="P21">
        <v>164</v>
      </c>
      <c r="Q21">
        <v>43</v>
      </c>
      <c r="R21">
        <v>12</v>
      </c>
      <c r="T21" s="11">
        <f t="shared" si="1"/>
        <v>44.833333333333336</v>
      </c>
      <c r="U21" s="11">
        <f t="shared" si="2"/>
        <v>40.5</v>
      </c>
      <c r="X21" s="2" t="s">
        <v>55</v>
      </c>
      <c r="Y21" s="47"/>
      <c r="Z21" s="47"/>
      <c r="AA21" s="47"/>
      <c r="AB21" s="24">
        <v>1339</v>
      </c>
      <c r="AC21" t="s">
        <v>56</v>
      </c>
    </row>
    <row r="22" spans="2:32" x14ac:dyDescent="0.25">
      <c r="B22" t="s">
        <v>6</v>
      </c>
      <c r="C22" s="15">
        <f>+C21*1000/(1000000000000)</f>
        <v>6.1178632000000004</v>
      </c>
      <c r="D22" t="s">
        <v>9</v>
      </c>
      <c r="J22" t="s">
        <v>10</v>
      </c>
      <c r="K22">
        <v>0</v>
      </c>
      <c r="L22">
        <v>0</v>
      </c>
      <c r="M22">
        <v>0</v>
      </c>
      <c r="N22">
        <v>44</v>
      </c>
      <c r="O22">
        <v>57</v>
      </c>
      <c r="P22">
        <v>67</v>
      </c>
      <c r="Q22">
        <v>28.9</v>
      </c>
      <c r="R22">
        <v>-3.5</v>
      </c>
      <c r="T22" s="11">
        <f t="shared" si="1"/>
        <v>28</v>
      </c>
      <c r="U22" s="11">
        <f t="shared" si="2"/>
        <v>24.175000000000001</v>
      </c>
      <c r="X22" s="8" t="s">
        <v>57</v>
      </c>
      <c r="Y22" s="23"/>
      <c r="Z22" s="23"/>
      <c r="AA22" s="23"/>
      <c r="AB22" s="46">
        <f>(1840*(1000000000)/C23)/1000000</f>
        <v>317.24137931034483</v>
      </c>
      <c r="AC22" t="s">
        <v>58</v>
      </c>
    </row>
    <row r="23" spans="2:32" x14ac:dyDescent="0.25">
      <c r="C23">
        <v>5800</v>
      </c>
      <c r="D23" t="s">
        <v>11</v>
      </c>
      <c r="J23" t="s">
        <v>12</v>
      </c>
      <c r="K23">
        <v>-243</v>
      </c>
      <c r="L23">
        <v>-251</v>
      </c>
      <c r="M23">
        <v>-235</v>
      </c>
      <c r="N23">
        <v>-234</v>
      </c>
      <c r="O23">
        <v>-239</v>
      </c>
      <c r="P23">
        <v>-242</v>
      </c>
      <c r="Q23">
        <v>-236</v>
      </c>
      <c r="R23">
        <v>-231</v>
      </c>
      <c r="T23" s="11">
        <f t="shared" si="1"/>
        <v>-240.66666666666666</v>
      </c>
      <c r="U23" s="11">
        <f t="shared" si="2"/>
        <v>-238.875</v>
      </c>
    </row>
    <row r="24" spans="2:32" x14ac:dyDescent="0.25">
      <c r="K24" s="12">
        <f t="shared" ref="K24:M24" si="5">+SUM(K18:K23)</f>
        <v>2084</v>
      </c>
      <c r="L24" s="12">
        <f t="shared" si="5"/>
        <v>1848</v>
      </c>
      <c r="M24" s="12">
        <f t="shared" si="5"/>
        <v>1598</v>
      </c>
      <c r="N24" s="12">
        <f>+SUM(N18:N23)</f>
        <v>1659</v>
      </c>
      <c r="O24" s="12">
        <f t="shared" ref="O24:Q24" si="6">+SUM(O18:O23)</f>
        <v>1727</v>
      </c>
      <c r="P24" s="12">
        <f t="shared" si="6"/>
        <v>1893</v>
      </c>
      <c r="Q24" s="12">
        <f t="shared" si="6"/>
        <v>1770.4</v>
      </c>
      <c r="R24" s="12">
        <f>+SUM(R18:R23)</f>
        <v>2001.5</v>
      </c>
      <c r="T24" s="11">
        <f t="shared" si="1"/>
        <v>1801.5</v>
      </c>
      <c r="U24" s="11">
        <f t="shared" si="2"/>
        <v>1822.6125</v>
      </c>
      <c r="Y24">
        <v>2020</v>
      </c>
      <c r="Z24">
        <v>2021</v>
      </c>
      <c r="AE24" s="1" t="s">
        <v>49</v>
      </c>
    </row>
    <row r="25" spans="2:32" x14ac:dyDescent="0.25">
      <c r="X25" t="s">
        <v>59</v>
      </c>
      <c r="Y25">
        <v>1816</v>
      </c>
      <c r="Z25">
        <v>2039</v>
      </c>
      <c r="AE25">
        <v>1000</v>
      </c>
    </row>
    <row r="26" spans="2:32" x14ac:dyDescent="0.25">
      <c r="J26" t="s">
        <v>13</v>
      </c>
      <c r="K26" s="16">
        <f>-SUM(K19:K22)/K23</f>
        <v>1.4609053497942386</v>
      </c>
      <c r="L26" s="16">
        <f>-SUM(L19:L22)/L23</f>
        <v>5.9760956175298807E-2</v>
      </c>
      <c r="M26" s="16">
        <f t="shared" ref="M26" si="7">-SUM(M19:M22)/M23</f>
        <v>-6.8085106382978725E-2</v>
      </c>
      <c r="N26" s="16">
        <f>-SUM(N19:N22)/N23</f>
        <v>1.2606837606837606</v>
      </c>
      <c r="O26" s="16">
        <f t="shared" ref="O26:R26" si="8">-SUM(O19:O22)/O23</f>
        <v>1.2845188284518829</v>
      </c>
      <c r="P26" s="16">
        <f t="shared" si="8"/>
        <v>1.6859504132231404</v>
      </c>
      <c r="Q26" s="16">
        <f t="shared" si="8"/>
        <v>0.48050847457627122</v>
      </c>
      <c r="R26" s="16">
        <f t="shared" si="8"/>
        <v>2.002164502164502</v>
      </c>
      <c r="S26" s="16"/>
      <c r="T26" s="16">
        <f t="shared" ref="T26:U26" si="9">-SUM(T19:T22)/T23</f>
        <v>0.94459833795013859</v>
      </c>
      <c r="U26" s="16">
        <f t="shared" si="9"/>
        <v>1.0151229722658295</v>
      </c>
      <c r="X26" t="s">
        <v>60</v>
      </c>
      <c r="Y26">
        <v>2513</v>
      </c>
      <c r="Z26">
        <v>2821</v>
      </c>
      <c r="AB26" s="16">
        <f>+(Y26-$Y25)/$Y25</f>
        <v>0.38381057268722468</v>
      </c>
      <c r="AC26" s="16">
        <f>+(Z26-$Z25)/$Z25</f>
        <v>0.38352133398724864</v>
      </c>
    </row>
    <row r="27" spans="2:32" x14ac:dyDescent="0.25">
      <c r="J27" t="s">
        <v>14</v>
      </c>
      <c r="K27" s="16">
        <f t="shared" ref="K27:M27" si="10">-K19/K23</f>
        <v>1.1152263374485596</v>
      </c>
      <c r="L27" s="16">
        <f t="shared" si="10"/>
        <v>-9.9601593625498003E-2</v>
      </c>
      <c r="M27" s="16">
        <f t="shared" si="10"/>
        <v>-0.22978723404255319</v>
      </c>
      <c r="N27" s="16">
        <f>-N19/N23</f>
        <v>0.74358974358974361</v>
      </c>
      <c r="O27" s="16">
        <f t="shared" ref="O27:R27" si="11">-O19/O23</f>
        <v>0.50627615062761511</v>
      </c>
      <c r="P27" s="16">
        <f t="shared" si="11"/>
        <v>0.34297520661157027</v>
      </c>
      <c r="Q27" s="16">
        <f t="shared" si="11"/>
        <v>-0.30296610169491528</v>
      </c>
      <c r="R27" s="16">
        <f t="shared" si="11"/>
        <v>1.3636363636363635</v>
      </c>
      <c r="S27" s="16"/>
      <c r="T27" s="16">
        <f t="shared" ref="T27:U27" si="12">-T19/T23</f>
        <v>0.39473684210526316</v>
      </c>
      <c r="U27" s="16">
        <f t="shared" si="12"/>
        <v>0.42569335426478283</v>
      </c>
      <c r="X27" t="s">
        <v>61</v>
      </c>
      <c r="Y27">
        <v>3066</v>
      </c>
      <c r="Z27">
        <v>3462</v>
      </c>
      <c r="AB27" s="16">
        <f>+(Y27-$Y25)/$Y25</f>
        <v>0.68832599118942728</v>
      </c>
      <c r="AC27" s="16">
        <f>+(Z27-$Z25)/$Z25</f>
        <v>0.69789112309955859</v>
      </c>
      <c r="AE27" s="20">
        <f>+H5</f>
        <v>1640</v>
      </c>
      <c r="AF27">
        <f>+AE25*(100%+AB27)</f>
        <v>1688.3259911894272</v>
      </c>
    </row>
    <row r="28" spans="2:32" x14ac:dyDescent="0.25">
      <c r="J28" t="s">
        <v>15</v>
      </c>
      <c r="K28" s="16">
        <f t="shared" ref="K28:M28" si="13">-K20/K23</f>
        <v>0.13991769547325103</v>
      </c>
      <c r="L28" s="16">
        <f t="shared" si="13"/>
        <v>6.3745019920318724E-2</v>
      </c>
      <c r="M28" s="16">
        <f t="shared" si="13"/>
        <v>4.6808510638297871E-2</v>
      </c>
      <c r="N28" s="16">
        <f>-N20/N23</f>
        <v>0.31196581196581197</v>
      </c>
      <c r="O28" s="16">
        <f t="shared" ref="O28:R28" si="14">-O20/O23</f>
        <v>0.53974895397489542</v>
      </c>
      <c r="P28" s="16">
        <f t="shared" si="14"/>
        <v>0.38842975206611569</v>
      </c>
      <c r="Q28" s="16">
        <f t="shared" si="14"/>
        <v>0.4788135593220339</v>
      </c>
      <c r="R28" s="16">
        <f t="shared" si="14"/>
        <v>0.60173160173160178</v>
      </c>
      <c r="S28" s="16"/>
      <c r="T28" s="16">
        <f t="shared" ref="T28:U28" si="15">-T20/T23</f>
        <v>0.24722991689750692</v>
      </c>
      <c r="U28" s="16">
        <f t="shared" si="15"/>
        <v>0.31868131868131866</v>
      </c>
    </row>
    <row r="29" spans="2:32" x14ac:dyDescent="0.25">
      <c r="J29" t="s">
        <v>16</v>
      </c>
      <c r="K29" s="16">
        <f t="shared" ref="K29:M29" si="16">-K21/K23</f>
        <v>0.20576131687242799</v>
      </c>
      <c r="L29" s="16">
        <f t="shared" si="16"/>
        <v>9.5617529880478086E-2</v>
      </c>
      <c r="M29" s="16">
        <f t="shared" si="16"/>
        <v>0.1148936170212766</v>
      </c>
      <c r="N29" s="16">
        <f>-N21/N23</f>
        <v>1.7094017094017096E-2</v>
      </c>
      <c r="O29" s="16">
        <f t="shared" ref="O29:R29" si="17">-O21/O23</f>
        <v>0</v>
      </c>
      <c r="P29" s="16">
        <f t="shared" si="17"/>
        <v>0.6776859504132231</v>
      </c>
      <c r="Q29" s="16">
        <f t="shared" si="17"/>
        <v>0.18220338983050846</v>
      </c>
      <c r="R29" s="16">
        <f t="shared" si="17"/>
        <v>5.1948051948051951E-2</v>
      </c>
      <c r="S29" s="16"/>
      <c r="T29" s="16">
        <f t="shared" ref="T29:U29" si="18">-T21/T23</f>
        <v>0.18628808864265931</v>
      </c>
      <c r="U29" s="16">
        <f t="shared" si="18"/>
        <v>0.1695447409733124</v>
      </c>
    </row>
    <row r="30" spans="2:32" x14ac:dyDescent="0.25">
      <c r="J30" t="s">
        <v>17</v>
      </c>
      <c r="K30" s="16">
        <f t="shared" ref="K30:M30" si="19">-K22/K23</f>
        <v>0</v>
      </c>
      <c r="L30" s="16">
        <f t="shared" si="19"/>
        <v>0</v>
      </c>
      <c r="M30" s="16">
        <f t="shared" si="19"/>
        <v>0</v>
      </c>
      <c r="N30" s="16">
        <f>-N22/N23</f>
        <v>0.18803418803418803</v>
      </c>
      <c r="O30" s="16">
        <f t="shared" ref="O30:R30" si="20">-O22/O23</f>
        <v>0.2384937238493724</v>
      </c>
      <c r="P30" s="16">
        <f t="shared" si="20"/>
        <v>0.27685950413223143</v>
      </c>
      <c r="Q30" s="16">
        <f t="shared" si="20"/>
        <v>0.12245762711864407</v>
      </c>
      <c r="R30" s="16">
        <f t="shared" si="20"/>
        <v>-1.5151515151515152E-2</v>
      </c>
      <c r="S30" s="16"/>
      <c r="T30" s="16">
        <f t="shared" ref="T30:U30" si="21">-T22/T23</f>
        <v>0.11634349030470914</v>
      </c>
      <c r="U30" s="16">
        <f t="shared" si="21"/>
        <v>0.10120355834641549</v>
      </c>
      <c r="Y30">
        <v>2020</v>
      </c>
      <c r="Z30">
        <v>2021</v>
      </c>
    </row>
    <row r="31" spans="2:32" x14ac:dyDescent="0.25">
      <c r="X31" t="s">
        <v>59</v>
      </c>
      <c r="Y31">
        <v>2949</v>
      </c>
      <c r="Z31">
        <v>3164</v>
      </c>
    </row>
    <row r="32" spans="2:32" x14ac:dyDescent="0.25">
      <c r="X32" t="s">
        <v>60</v>
      </c>
      <c r="Y32">
        <v>3581</v>
      </c>
      <c r="Z32">
        <v>3852</v>
      </c>
      <c r="AB32" s="16">
        <f>+(Y32-$Y31)/$Y31</f>
        <v>0.21430993557138012</v>
      </c>
      <c r="AC32" s="16">
        <f>+(Z32-$Z31)/$Z31</f>
        <v>0.21744627054361568</v>
      </c>
    </row>
    <row r="33" spans="24:29" x14ac:dyDescent="0.25">
      <c r="X33" t="s">
        <v>61</v>
      </c>
      <c r="Y33">
        <v>4031</v>
      </c>
      <c r="Z33">
        <v>4493</v>
      </c>
      <c r="AB33" s="16">
        <f>+(Y33-$Y31)/$Y31</f>
        <v>0.36690403526619192</v>
      </c>
      <c r="AC33" s="16">
        <f>+(Z33-$Z31)/$Z31</f>
        <v>0.42003792667509482</v>
      </c>
    </row>
    <row r="54" spans="10:25" x14ac:dyDescent="0.25">
      <c r="R54" s="17">
        <f>+R57/(R57+S57)</f>
        <v>0.84132579052697143</v>
      </c>
      <c r="S54" s="18">
        <f>100%-R54</f>
        <v>0.15867420947302857</v>
      </c>
    </row>
    <row r="55" spans="10:25" x14ac:dyDescent="0.25">
      <c r="Q55" s="1"/>
      <c r="R55" s="19" t="s">
        <v>18</v>
      </c>
      <c r="S55" s="19"/>
    </row>
    <row r="56" spans="10:25" x14ac:dyDescent="0.25">
      <c r="J56" s="1"/>
      <c r="K56" s="1" t="s">
        <v>18</v>
      </c>
      <c r="L56" s="1" t="s">
        <v>19</v>
      </c>
      <c r="M56" t="s">
        <v>20</v>
      </c>
      <c r="N56" s="1" t="s">
        <v>21</v>
      </c>
      <c r="Q56" s="1"/>
      <c r="R56" s="19" t="s">
        <v>22</v>
      </c>
      <c r="S56" s="19" t="s">
        <v>23</v>
      </c>
    </row>
    <row r="57" spans="10:25" x14ac:dyDescent="0.25">
      <c r="J57" s="1" t="s">
        <v>24</v>
      </c>
      <c r="K57" s="20">
        <f>+SUM('[3]5. Data'!AB90:AB95)</f>
        <v>11869.449930216</v>
      </c>
      <c r="Q57" s="1" t="s">
        <v>24</v>
      </c>
      <c r="R57" s="21">
        <f>+K57-S57</f>
        <v>9986.0743456592827</v>
      </c>
      <c r="S57" s="21">
        <f>+SUMPRODUCT('[3]5. Data'!AB90:AB95,'[3]5. Data'!P90:P95)</f>
        <v>1883.3755845567166</v>
      </c>
    </row>
    <row r="58" spans="10:25" x14ac:dyDescent="0.25">
      <c r="J58" s="1" t="s">
        <v>25</v>
      </c>
      <c r="K58" s="20">
        <f>+(K57*1000/$C$22)/1000</f>
        <v>1940.1299999999997</v>
      </c>
      <c r="L58" s="1">
        <v>2037</v>
      </c>
      <c r="M58" s="1">
        <v>2037</v>
      </c>
      <c r="Q58" t="s">
        <v>24</v>
      </c>
      <c r="R58" s="20">
        <f>+(R57*1000/$C$22)/1000</f>
        <v>1632.2814059750929</v>
      </c>
    </row>
    <row r="62" spans="10:25" x14ac:dyDescent="0.25">
      <c r="Q62" t="s">
        <v>26</v>
      </c>
      <c r="V62" t="s">
        <v>27</v>
      </c>
    </row>
    <row r="63" spans="10:25" x14ac:dyDescent="0.25">
      <c r="R63" t="s">
        <v>30</v>
      </c>
      <c r="S63" t="s">
        <v>31</v>
      </c>
      <c r="T63" t="s">
        <v>32</v>
      </c>
      <c r="W63" t="s">
        <v>30</v>
      </c>
      <c r="X63" t="s">
        <v>31</v>
      </c>
      <c r="Y63" t="s">
        <v>32</v>
      </c>
    </row>
    <row r="64" spans="10:25" x14ac:dyDescent="0.25">
      <c r="Q64" t="s">
        <v>34</v>
      </c>
      <c r="R64">
        <v>2234</v>
      </c>
      <c r="S64">
        <v>322</v>
      </c>
      <c r="T64">
        <v>16</v>
      </c>
      <c r="V64" t="s">
        <v>34</v>
      </c>
      <c r="W64" s="11">
        <f>+R64*1000*$D$7/1000</f>
        <v>2255.3511069487508</v>
      </c>
      <c r="X64" s="11">
        <f t="shared" ref="X64:Y68" si="22">+S64*1000*$D$7/1000</f>
        <v>325.07746483325769</v>
      </c>
      <c r="Y64" s="11">
        <f t="shared" si="22"/>
        <v>16.15291750724262</v>
      </c>
    </row>
    <row r="65" spans="10:25" x14ac:dyDescent="0.25">
      <c r="Q65" t="s">
        <v>36</v>
      </c>
      <c r="R65">
        <v>508</v>
      </c>
      <c r="S65">
        <v>233</v>
      </c>
      <c r="T65">
        <v>229</v>
      </c>
      <c r="V65" t="s">
        <v>36</v>
      </c>
      <c r="W65" s="11">
        <f t="shared" ref="W65:W68" si="23">+R65*1000*$D$7/1000</f>
        <v>512.85513085495325</v>
      </c>
      <c r="X65" s="11">
        <f t="shared" si="22"/>
        <v>235.22686119922065</v>
      </c>
      <c r="Y65" s="11">
        <f t="shared" si="22"/>
        <v>231.18863182241</v>
      </c>
    </row>
    <row r="66" spans="10:25" x14ac:dyDescent="0.25">
      <c r="Q66" t="s">
        <v>38</v>
      </c>
      <c r="R66">
        <v>584</v>
      </c>
      <c r="S66">
        <v>0</v>
      </c>
      <c r="T66">
        <v>22</v>
      </c>
      <c r="V66" t="s">
        <v>38</v>
      </c>
      <c r="W66" s="11">
        <f t="shared" si="23"/>
        <v>589.58148901435561</v>
      </c>
      <c r="X66" s="11">
        <f t="shared" si="22"/>
        <v>0</v>
      </c>
      <c r="Y66" s="11">
        <f t="shared" si="22"/>
        <v>22.210261572458602</v>
      </c>
    </row>
    <row r="67" spans="10:25" x14ac:dyDescent="0.25">
      <c r="Q67" t="s">
        <v>40</v>
      </c>
      <c r="R67">
        <v>226</v>
      </c>
      <c r="S67">
        <v>115</v>
      </c>
      <c r="T67">
        <v>73</v>
      </c>
      <c r="V67" t="s">
        <v>40</v>
      </c>
      <c r="W67" s="11">
        <f t="shared" si="23"/>
        <v>228.159959789802</v>
      </c>
      <c r="X67" s="11">
        <f t="shared" si="22"/>
        <v>116.09909458330633</v>
      </c>
      <c r="Y67" s="11">
        <f t="shared" si="22"/>
        <v>73.697686126794451</v>
      </c>
    </row>
    <row r="68" spans="10:25" x14ac:dyDescent="0.25">
      <c r="Q68" t="s">
        <v>42</v>
      </c>
      <c r="R68">
        <v>168</v>
      </c>
      <c r="S68">
        <v>85</v>
      </c>
      <c r="T68">
        <v>56</v>
      </c>
      <c r="V68" t="s">
        <v>42</v>
      </c>
      <c r="W68" s="11">
        <f t="shared" si="23"/>
        <v>169.60563382604749</v>
      </c>
      <c r="X68" s="11">
        <f t="shared" si="22"/>
        <v>85.812374257226423</v>
      </c>
      <c r="Y68" s="11">
        <f t="shared" si="22"/>
        <v>56.53521127534917</v>
      </c>
    </row>
    <row r="70" spans="10:25" x14ac:dyDescent="0.25">
      <c r="J70" t="s">
        <v>43</v>
      </c>
      <c r="K70">
        <f>357.74+504.38</f>
        <v>862.12</v>
      </c>
      <c r="W70" s="11">
        <f>+SUM(W64:W68)</f>
        <v>3755.553320433909</v>
      </c>
      <c r="X70" s="11">
        <f t="shared" ref="X70:Y70" si="24">+SUM(X64:X68)</f>
        <v>762.21579487301108</v>
      </c>
      <c r="Y70" s="11">
        <f t="shared" si="24"/>
        <v>399.78470830425488</v>
      </c>
    </row>
    <row r="71" spans="10:25" x14ac:dyDescent="0.25">
      <c r="J71" t="s">
        <v>44</v>
      </c>
      <c r="K71">
        <f>60.26+97.48</f>
        <v>157.74</v>
      </c>
    </row>
    <row r="72" spans="10:25" x14ac:dyDescent="0.25">
      <c r="J72" t="s">
        <v>45</v>
      </c>
      <c r="K72">
        <v>284</v>
      </c>
    </row>
    <row r="73" spans="10:25" x14ac:dyDescent="0.25">
      <c r="J73" t="s">
        <v>46</v>
      </c>
      <c r="K73">
        <v>7.45</v>
      </c>
    </row>
    <row r="75" spans="10:25" x14ac:dyDescent="0.25">
      <c r="K75">
        <f>+K71+K70</f>
        <v>1019.86</v>
      </c>
      <c r="T75" s="22"/>
    </row>
    <row r="76" spans="10:25" x14ac:dyDescent="0.25">
      <c r="T76" s="22"/>
    </row>
    <row r="77" spans="10:25" x14ac:dyDescent="0.25">
      <c r="T77" s="22"/>
    </row>
    <row r="78" spans="10:25" x14ac:dyDescent="0.25">
      <c r="J78" t="s">
        <v>21</v>
      </c>
      <c r="K78">
        <v>2018</v>
      </c>
      <c r="L78">
        <v>2019</v>
      </c>
      <c r="M78">
        <v>2020</v>
      </c>
      <c r="N78">
        <v>2021</v>
      </c>
    </row>
    <row r="79" spans="10:25" x14ac:dyDescent="0.25">
      <c r="J79" t="s">
        <v>47</v>
      </c>
      <c r="K79">
        <v>1727</v>
      </c>
      <c r="L79">
        <v>1891</v>
      </c>
      <c r="M79">
        <v>1770</v>
      </c>
      <c r="N79">
        <v>2002</v>
      </c>
    </row>
  </sheetData>
  <mergeCells count="2">
    <mergeCell ref="J3:L3"/>
    <mergeCell ref="M3:O3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 Reservas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2022-11-23T22:08:40Z</dcterms:created>
  <dcterms:modified xsi:type="dcterms:W3CDTF">2022-11-23T23:35:37Z</dcterms:modified>
</cp:coreProperties>
</file>