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D8AD3191-7D6D-409F-92C4-288FE239E9A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13" l="1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O153" i="10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52" i="10"/>
  <c r="O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51" i="10"/>
  <c r="F153" i="10"/>
  <c r="G153" i="10"/>
  <c r="H153" i="10"/>
  <c r="I153" i="10"/>
  <c r="J153" i="10"/>
  <c r="K153" i="10"/>
  <c r="L153" i="10"/>
  <c r="M153" i="10"/>
  <c r="E153" i="10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E123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K26" i="12" s="1"/>
  <c r="K27" i="12" s="1"/>
  <c r="K33" i="12" s="1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D5" i="12"/>
  <c r="N174" i="10"/>
  <c r="R619" i="6"/>
  <c r="M146" i="10" s="1"/>
  <c r="U208" i="10" s="1"/>
  <c r="W206" i="10" s="1"/>
  <c r="F123" i="10"/>
  <c r="G123" i="10"/>
  <c r="H123" i="10"/>
  <c r="I123" i="10"/>
  <c r="J123" i="10"/>
  <c r="K123" i="10"/>
  <c r="L123" i="10"/>
  <c r="M123" i="10"/>
  <c r="N123" i="10" s="1"/>
  <c r="O123" i="10" s="1"/>
  <c r="F124" i="10"/>
  <c r="G124" i="10"/>
  <c r="H124" i="10"/>
  <c r="I124" i="10"/>
  <c r="J124" i="10"/>
  <c r="K124" i="10"/>
  <c r="L124" i="10"/>
  <c r="M124" i="10"/>
  <c r="N124" i="10" s="1"/>
  <c r="O124" i="10" s="1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4" i="10"/>
  <c r="G134" i="10"/>
  <c r="H134" i="10"/>
  <c r="I134" i="10"/>
  <c r="J134" i="10"/>
  <c r="K134" i="10"/>
  <c r="L134" i="10"/>
  <c r="M134" i="10"/>
  <c r="N134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F137" i="10"/>
  <c r="G137" i="10"/>
  <c r="H137" i="10"/>
  <c r="I137" i="10"/>
  <c r="J137" i="10"/>
  <c r="K137" i="10"/>
  <c r="L137" i="10"/>
  <c r="M137" i="10"/>
  <c r="N137" i="10" s="1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N11" i="12" l="1"/>
  <c r="O11" i="12" s="1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D6" i="4" l="1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<sst xmlns="http://schemas.openxmlformats.org/spreadsheetml/2006/main" count="41273" uniqueCount="870">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</sst>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7" borderId="0" xfId="0" applyFont="1" applyFill="1"/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6688.0571232876719</c:v>
                </c:pt>
                <c:pt idx="11">
                  <c:v>4684.6815890410962</c:v>
                </c:pt>
                <c:pt idx="12">
                  <c:v>4583.6177808219181</c:v>
                </c:pt>
                <c:pt idx="13">
                  <c:v>4459.6295890410956</c:v>
                </c:pt>
                <c:pt idx="14">
                  <c:v>4233.3403013698626</c:v>
                </c:pt>
                <c:pt idx="15">
                  <c:v>4210.8083835616435</c:v>
                </c:pt>
                <c:pt idx="16">
                  <c:v>4154.1152328767121</c:v>
                </c:pt>
                <c:pt idx="17">
                  <c:v>3941.1335068493149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0.81074708815928143</c:v>
                </c:pt>
                <c:pt idx="9">
                  <c:v>0.82841001013604298</c:v>
                </c:pt>
                <c:pt idx="10">
                  <c:v>0.84096877119300328</c:v>
                </c:pt>
                <c:pt idx="11">
                  <c:v>0.84976561542147888</c:v>
                </c:pt>
                <c:pt idx="12">
                  <c:v>0.85837268312808357</c:v>
                </c:pt>
                <c:pt idx="13">
                  <c:v>0.86674692715424484</c:v>
                </c:pt>
                <c:pt idx="14">
                  <c:v>0.87469624761273546</c:v>
                </c:pt>
                <c:pt idx="15">
                  <c:v>0.88260325788058436</c:v>
                </c:pt>
                <c:pt idx="16">
                  <c:v>0.89040381036556848</c:v>
                </c:pt>
                <c:pt idx="17">
                  <c:v>0.8978044280776627</c:v>
                </c:pt>
                <c:pt idx="18">
                  <c:v>0.90148877184179643</c:v>
                </c:pt>
                <c:pt idx="19">
                  <c:v>0.90426137201314782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tabSelected="1"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7"/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</row>
    <row r="2" spans="1:19" x14ac:dyDescent="0.25">
      <c r="A2" s="108" t="s">
        <v>571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</row>
    <row r="3" spans="1:19" x14ac:dyDescent="0.25">
      <c r="A3" s="108" t="s">
        <v>572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</row>
    <row r="4" spans="1:19" x14ac:dyDescent="0.25">
      <c r="A4" s="108" t="s">
        <v>573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</row>
    <row r="5" spans="1:19" x14ac:dyDescent="0.25">
      <c r="A5" s="109" t="s">
        <v>574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</row>
    <row r="6" spans="1:19" x14ac:dyDescent="0.2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</row>
    <row r="7" spans="1:19" x14ac:dyDescent="0.25">
      <c r="A7" s="98" t="s">
        <v>575</v>
      </c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100"/>
    </row>
    <row r="8" spans="1:19" x14ac:dyDescent="0.25">
      <c r="A8" s="101" t="s">
        <v>576</v>
      </c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3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4" t="s">
        <v>578</v>
      </c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6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V11" sqref="V11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topLeftCell="A8"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7"/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</row>
    <row r="2" spans="1:24" x14ac:dyDescent="0.25">
      <c r="A2" s="108" t="s">
        <v>571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</row>
    <row r="3" spans="1:24" x14ac:dyDescent="0.25">
      <c r="A3" s="108" t="s">
        <v>572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T3" s="14" t="s">
        <v>794</v>
      </c>
      <c r="V3" s="14" t="s">
        <v>810</v>
      </c>
      <c r="X3" s="14" t="s">
        <v>819</v>
      </c>
    </row>
    <row r="4" spans="1:24" x14ac:dyDescent="0.25">
      <c r="A4" s="108" t="s">
        <v>573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T4" s="14" t="s">
        <v>795</v>
      </c>
      <c r="V4" s="14" t="s">
        <v>811</v>
      </c>
    </row>
    <row r="5" spans="1:24" x14ac:dyDescent="0.25">
      <c r="A5" s="109" t="s">
        <v>574</v>
      </c>
      <c r="B5" s="109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T5" s="14" t="s">
        <v>796</v>
      </c>
      <c r="V5" s="14" t="s">
        <v>812</v>
      </c>
    </row>
    <row r="6" spans="1:24" x14ac:dyDescent="0.2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T6" s="14" t="s">
        <v>801</v>
      </c>
      <c r="V6" s="14" t="s">
        <v>813</v>
      </c>
    </row>
    <row r="7" spans="1:24" x14ac:dyDescent="0.25">
      <c r="A7" s="98" t="s">
        <v>575</v>
      </c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100"/>
      <c r="T7" s="14" t="s">
        <v>808</v>
      </c>
      <c r="V7" s="14" t="s">
        <v>814</v>
      </c>
    </row>
    <row r="8" spans="1:24" x14ac:dyDescent="0.25">
      <c r="A8" s="101" t="s">
        <v>576</v>
      </c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3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4" t="s">
        <v>578</v>
      </c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6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opLeftCell="A28" zoomScaleNormal="100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432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SANTANDER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SANTANDER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3608.1700000000005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19.73</v>
      </c>
      <c r="I11" s="28">
        <f>+SUMIFS('Compilado-g-19'!L3:L3524,'Compilado-g-19'!$F$3:$F$3524,$D$4)</f>
        <v>0</v>
      </c>
      <c r="J11" s="28">
        <f>+SUMIFS('Compilado-g-19'!M3:M3524,'Compilado-g-19'!$F$3:$F$3524,$D$4)</f>
        <v>3588.4500000000003</v>
      </c>
      <c r="K11" s="28">
        <f>+SUMIFS('Compilado-g-19'!N3:N3524,'Compilado-g-19'!$F$3:$F$3524,$D$4)</f>
        <v>1109.9099999999999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+SUMIFS('Compilado-g-19'!H$3:H$3524,'Compilado-g-19'!$F$3:$F$3524,$D$4,'Compilado-g-19'!$B$3:$B$3524,Reporte_ECP_GAS_2019!$D12)</f>
        <v>360.66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0</v>
      </c>
      <c r="H12" s="28">
        <f>+SUMIFS('Compilado-g-19'!K$3:K$3524,'Compilado-g-19'!$F$3:$F$3524,$D$4,'Compilado-g-19'!$B$3:$B$3524,Reporte_ECP_GAS_2019!$D12)</f>
        <v>3.26</v>
      </c>
      <c r="I12" s="28">
        <f>+SUMIFS('Compilado-g-19'!L$3:L$3524,'Compilado-g-19'!$F$3:$F$3524,$D$4,'Compilado-g-19'!$B$3:$B$3524,Reporte_ECP_GAS_2019!$D12)</f>
        <v>0</v>
      </c>
      <c r="J12" s="28">
        <f>+SUMIFS('Compilado-g-19'!M$3:M$3524,'Compilado-g-19'!$F$3:$F$3524,$D$4,'Compilado-g-19'!$B$3:$B$3524,Reporte_ECP_GAS_2019!$D12)</f>
        <v>357.4</v>
      </c>
      <c r="K12" s="28">
        <f>+SUMIFS('Compilado-g-19'!N$3:N$3524,'Compilado-g-19'!$F$3:$F$3524,$D$4,'Compilado-g-19'!$B$3:$B$3524,Reporte_ECP_GAS_2019!$D12)</f>
        <v>96.83</v>
      </c>
      <c r="L12" s="28">
        <f>+SUMIFS('Compilado-g-19'!O$3:O$3524,'Compilado-g-19'!$F$3:$F$3524,$D$4,'Compilado-g-19'!$B$3:$B$3524,Reporte_ECP_GAS_2019!$D12)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+SUMIFS('Compilado-g-19'!H$3:H$3524,'Compilado-g-19'!$F$3:$F$3524,$D$4,'Compilado-g-19'!$B$3:$B$3524,Reporte_ECP_GAS_2019!$D13)</f>
        <v>324.01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0</v>
      </c>
      <c r="H13" s="28">
        <f>+SUMIFS('Compilado-g-19'!K$3:K$3524,'Compilado-g-19'!$F$3:$F$3524,$D$4,'Compilado-g-19'!$B$3:$B$3524,Reporte_ECP_GAS_2019!$D13)</f>
        <v>1.81</v>
      </c>
      <c r="I13" s="28">
        <f>+SUMIFS('Compilado-g-19'!L$3:L$3524,'Compilado-g-19'!$F$3:$F$3524,$D$4,'Compilado-g-19'!$B$3:$B$3524,Reporte_ECP_GAS_2019!$D13)</f>
        <v>0</v>
      </c>
      <c r="J13" s="28">
        <f>+SUMIFS('Compilado-g-19'!M$3:M$3524,'Compilado-g-19'!$F$3:$F$3524,$D$4,'Compilado-g-19'!$B$3:$B$3524,Reporte_ECP_GAS_2019!$D13)</f>
        <v>322.2</v>
      </c>
      <c r="K13" s="28">
        <f>+SUMIFS('Compilado-g-19'!N$3:N$3524,'Compilado-g-19'!$F$3:$F$3524,$D$4,'Compilado-g-19'!$B$3:$B$3524,Reporte_ECP_GAS_2019!$D13)</f>
        <v>99.58</v>
      </c>
      <c r="L13" s="28">
        <f>+SUMIFS('Compilado-g-19'!O$3:O$3524,'Compilado-g-19'!$F$3:$F$3524,$D$4,'Compilado-g-19'!$B$3:$B$3524,Reporte_ECP_GAS_2019!$D13)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+SUMIFS('Compilado-g-19'!H$3:H$3524,'Compilado-g-19'!$F$3:$F$3524,$D$4,'Compilado-g-19'!$B$3:$B$3524,Reporte_ECP_GAS_2019!$D14)</f>
        <v>377.13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0</v>
      </c>
      <c r="H14" s="28">
        <f>+SUMIFS('Compilado-g-19'!K$3:K$3524,'Compilado-g-19'!$F$3:$F$3524,$D$4,'Compilado-g-19'!$B$3:$B$3524,Reporte_ECP_GAS_2019!$D14)</f>
        <v>0.95</v>
      </c>
      <c r="I14" s="28">
        <f>+SUMIFS('Compilado-g-19'!L$3:L$3524,'Compilado-g-19'!$F$3:$F$3524,$D$4,'Compilado-g-19'!$B$3:$B$3524,Reporte_ECP_GAS_2019!$D14)</f>
        <v>0</v>
      </c>
      <c r="J14" s="28">
        <f>+SUMIFS('Compilado-g-19'!M$3:M$3524,'Compilado-g-19'!$F$3:$F$3524,$D$4,'Compilado-g-19'!$B$3:$B$3524,Reporte_ECP_GAS_2019!$D14)</f>
        <v>376.18</v>
      </c>
      <c r="K14" s="28">
        <f>+SUMIFS('Compilado-g-19'!N$3:N$3524,'Compilado-g-19'!$F$3:$F$3524,$D$4,'Compilado-g-19'!$B$3:$B$3524,Reporte_ECP_GAS_2019!$D14)</f>
        <v>10.28</v>
      </c>
      <c r="L14" s="28">
        <f>+SUMIFS('Compilado-g-19'!O$3:O$3524,'Compilado-g-19'!$F$3:$F$3524,$D$4,'Compilado-g-19'!$B$3:$B$3524,Reporte_ECP_GAS_2019!$D14)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294.8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0</v>
      </c>
      <c r="H15" s="28">
        <f>+SUMIFS('Compilado-g-19'!K$3:K$3524,'Compilado-g-19'!$F$3:$F$3524,$D$4,'Compilado-g-19'!$B$3:$B$3524,Reporte_ECP_GAS_2019!$D15)</f>
        <v>3.05</v>
      </c>
      <c r="I15" s="28">
        <f>+SUMIFS('Compilado-g-19'!L$3:L$3524,'Compilado-g-19'!$F$3:$F$3524,$D$4,'Compilado-g-19'!$B$3:$B$3524,Reporte_ECP_GAS_2019!$D15)</f>
        <v>0</v>
      </c>
      <c r="J15" s="28">
        <f>+SUMIFS('Compilado-g-19'!M$3:M$3524,'Compilado-g-19'!$F$3:$F$3524,$D$4,'Compilado-g-19'!$B$3:$B$3524,Reporte_ECP_GAS_2019!$D15)</f>
        <v>291.75</v>
      </c>
      <c r="K15" s="28">
        <f>+SUMIFS('Compilado-g-19'!N$3:N$3524,'Compilado-g-19'!$F$3:$F$3524,$D$4,'Compilado-g-19'!$B$3:$B$3524,Reporte_ECP_GAS_2019!$D15)</f>
        <v>100.44</v>
      </c>
      <c r="L15" s="28">
        <f>+SUMIFS('Compilado-g-19'!O$3:O$3524,'Compilado-g-19'!$F$3:$F$3524,$D$4,'Compilado-g-19'!$B$3:$B$3524,Reporte_ECP_GAS_2019!$D15)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297.95999999999998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0</v>
      </c>
      <c r="H16" s="28">
        <f>+SUMIFS('Compilado-g-19'!K$3:K$3524,'Compilado-g-19'!$F$3:$F$3524,$D$4,'Compilado-g-19'!$B$3:$B$3524,Reporte_ECP_GAS_2019!$D16)</f>
        <v>1.29</v>
      </c>
      <c r="I16" s="28">
        <f>+SUMIFS('Compilado-g-19'!L$3:L$3524,'Compilado-g-19'!$F$3:$F$3524,$D$4,'Compilado-g-19'!$B$3:$B$3524,Reporte_ECP_GAS_2019!$D16)</f>
        <v>0</v>
      </c>
      <c r="J16" s="28">
        <f>+SUMIFS('Compilado-g-19'!M$3:M$3524,'Compilado-g-19'!$F$3:$F$3524,$D$4,'Compilado-g-19'!$B$3:$B$3524,Reporte_ECP_GAS_2019!$D16)</f>
        <v>296.67</v>
      </c>
      <c r="K16" s="28">
        <f>+SUMIFS('Compilado-g-19'!N$3:N$3524,'Compilado-g-19'!$F$3:$F$3524,$D$4,'Compilado-g-19'!$B$3:$B$3524,Reporte_ECP_GAS_2019!$D16)</f>
        <v>101.52</v>
      </c>
      <c r="L16" s="28">
        <f>+SUMIFS('Compilado-g-19'!O$3:O$3524,'Compilado-g-19'!$F$3:$F$3524,$D$4,'Compilado-g-19'!$B$3:$B$3524,Reporte_ECP_GAS_2019!$D16)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+SUMIFS('Compilado-g-19'!H$3:H$3524,'Compilado-g-19'!$F$3:$F$3524,$D$4,'Compilado-g-19'!$B$3:$B$3524,Reporte_ECP_GAS_2019!$D17)</f>
        <v>306.39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0</v>
      </c>
      <c r="H17" s="28">
        <f>+SUMIFS('Compilado-g-19'!K$3:K$3524,'Compilado-g-19'!$F$3:$F$3524,$D$4,'Compilado-g-19'!$B$3:$B$3524,Reporte_ECP_GAS_2019!$D17)</f>
        <v>1.47</v>
      </c>
      <c r="I17" s="28">
        <f>+SUMIFS('Compilado-g-19'!L$3:L$3524,'Compilado-g-19'!$F$3:$F$3524,$D$4,'Compilado-g-19'!$B$3:$B$3524,Reporte_ECP_GAS_2019!$D17)</f>
        <v>0</v>
      </c>
      <c r="J17" s="28">
        <f>+SUMIFS('Compilado-g-19'!M$3:M$3524,'Compilado-g-19'!$F$3:$F$3524,$D$4,'Compilado-g-19'!$B$3:$B$3524,Reporte_ECP_GAS_2019!$D17)</f>
        <v>304.93</v>
      </c>
      <c r="K17" s="28">
        <f>+SUMIFS('Compilado-g-19'!N$3:N$3524,'Compilado-g-19'!$F$3:$F$3524,$D$4,'Compilado-g-19'!$B$3:$B$3524,Reporte_ECP_GAS_2019!$D17)</f>
        <v>101.45</v>
      </c>
      <c r="L17" s="28">
        <f>+SUMIFS('Compilado-g-19'!O$3:O$3524,'Compilado-g-19'!$F$3:$F$3524,$D$4,'Compilado-g-19'!$B$3:$B$3524,Reporte_ECP_GAS_2019!$D17)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+SUMIFS('Compilado-g-19'!H$3:H$3524,'Compilado-g-19'!$F$3:$F$3524,$D$4,'Compilado-g-19'!$B$3:$B$3524,Reporte_ECP_GAS_2019!$D18)</f>
        <v>286.3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0</v>
      </c>
      <c r="H18" s="28">
        <f>+SUMIFS('Compilado-g-19'!K$3:K$3524,'Compilado-g-19'!$F$3:$F$3524,$D$4,'Compilado-g-19'!$B$3:$B$3524,Reporte_ECP_GAS_2019!$D18)</f>
        <v>1.55</v>
      </c>
      <c r="I18" s="28">
        <f>+SUMIFS('Compilado-g-19'!L$3:L$3524,'Compilado-g-19'!$F$3:$F$3524,$D$4,'Compilado-g-19'!$B$3:$B$3524,Reporte_ECP_GAS_2019!$D18)</f>
        <v>0</v>
      </c>
      <c r="J18" s="28">
        <f>+SUMIFS('Compilado-g-19'!M$3:M$3524,'Compilado-g-19'!$F$3:$F$3524,$D$4,'Compilado-g-19'!$B$3:$B$3524,Reporte_ECP_GAS_2019!$D18)</f>
        <v>284.75</v>
      </c>
      <c r="K18" s="28">
        <f>+SUMIFS('Compilado-g-19'!N$3:N$3524,'Compilado-g-19'!$F$3:$F$3524,$D$4,'Compilado-g-19'!$B$3:$B$3524,Reporte_ECP_GAS_2019!$D18)</f>
        <v>105.21</v>
      </c>
      <c r="L18" s="28">
        <f>+SUMIFS('Compilado-g-19'!O$3:O$3524,'Compilado-g-19'!$F$3:$F$3524,$D$4,'Compilado-g-19'!$B$3:$B$3524,Reporte_ECP_GAS_2019!$D18)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+SUMIFS('Compilado-g-19'!H$3:H$3524,'Compilado-g-19'!$F$3:$F$3524,$D$4,'Compilado-g-19'!$B$3:$B$3524,Reporte_ECP_GAS_2019!$D19)</f>
        <v>283.26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0</v>
      </c>
      <c r="H19" s="28">
        <f>+SUMIFS('Compilado-g-19'!K$3:K$3524,'Compilado-g-19'!$F$3:$F$3524,$D$4,'Compilado-g-19'!$B$3:$B$3524,Reporte_ECP_GAS_2019!$D19)</f>
        <v>1.26</v>
      </c>
      <c r="I19" s="28">
        <f>+SUMIFS('Compilado-g-19'!L$3:L$3524,'Compilado-g-19'!$F$3:$F$3524,$D$4,'Compilado-g-19'!$B$3:$B$3524,Reporte_ECP_GAS_2019!$D19)</f>
        <v>0</v>
      </c>
      <c r="J19" s="28">
        <f>+SUMIFS('Compilado-g-19'!M$3:M$3524,'Compilado-g-19'!$F$3:$F$3524,$D$4,'Compilado-g-19'!$B$3:$B$3524,Reporte_ECP_GAS_2019!$D19)</f>
        <v>282</v>
      </c>
      <c r="K19" s="28">
        <f>+SUMIFS('Compilado-g-19'!N$3:N$3524,'Compilado-g-19'!$F$3:$F$3524,$D$4,'Compilado-g-19'!$B$3:$B$3524,Reporte_ECP_GAS_2019!$D19)</f>
        <v>103.4</v>
      </c>
      <c r="L19" s="28">
        <f>+SUMIFS('Compilado-g-19'!O$3:O$3524,'Compilado-g-19'!$F$3:$F$3524,$D$4,'Compilado-g-19'!$B$3:$B$3524,Reporte_ECP_GAS_2019!$D19)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+SUMIFS('Compilado-g-19'!H$3:H$3524,'Compilado-g-19'!$F$3:$F$3524,$D$4,'Compilado-g-19'!$B$3:$B$3524,Reporte_ECP_GAS_2019!$D20)</f>
        <v>242.84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0</v>
      </c>
      <c r="H20" s="28">
        <f>+SUMIFS('Compilado-g-19'!K$3:K$3524,'Compilado-g-19'!$F$3:$F$3524,$D$4,'Compilado-g-19'!$B$3:$B$3524,Reporte_ECP_GAS_2019!$D20)</f>
        <v>1.8399999999999999</v>
      </c>
      <c r="I20" s="28">
        <f>+SUMIFS('Compilado-g-19'!L$3:L$3524,'Compilado-g-19'!$F$3:$F$3524,$D$4,'Compilado-g-19'!$B$3:$B$3524,Reporte_ECP_GAS_2019!$D20)</f>
        <v>0</v>
      </c>
      <c r="J20" s="28">
        <f>+SUMIFS('Compilado-g-19'!M$3:M$3524,'Compilado-g-19'!$F$3:$F$3524,$D$4,'Compilado-g-19'!$B$3:$B$3524,Reporte_ECP_GAS_2019!$D20)</f>
        <v>241</v>
      </c>
      <c r="K20" s="28">
        <f>+SUMIFS('Compilado-g-19'!N$3:N$3524,'Compilado-g-19'!$F$3:$F$3524,$D$4,'Compilado-g-19'!$B$3:$B$3524,Reporte_ECP_GAS_2019!$D20)</f>
        <v>97.84</v>
      </c>
      <c r="L20" s="28">
        <f>+SUMIFS('Compilado-g-19'!O$3:O$3524,'Compilado-g-19'!$F$3:$F$3524,$D$4,'Compilado-g-19'!$B$3:$B$3524,Reporte_ECP_GAS_2019!$D20)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+SUMIFS('Compilado-g-19'!H$3:H$3524,'Compilado-g-19'!$F$3:$F$3524,$D$4,'Compilado-g-19'!$B$3:$B$3524,Reporte_ECP_GAS_2019!$D21)</f>
        <v>255.04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0</v>
      </c>
      <c r="H21" s="28">
        <f>+SUMIFS('Compilado-g-19'!K$3:K$3524,'Compilado-g-19'!$F$3:$F$3524,$D$4,'Compilado-g-19'!$B$3:$B$3524,Reporte_ECP_GAS_2019!$D21)</f>
        <v>1.31</v>
      </c>
      <c r="I21" s="28">
        <f>+SUMIFS('Compilado-g-19'!L$3:L$3524,'Compilado-g-19'!$F$3:$F$3524,$D$4,'Compilado-g-19'!$B$3:$B$3524,Reporte_ECP_GAS_2019!$D21)</f>
        <v>0</v>
      </c>
      <c r="J21" s="28">
        <f>+SUMIFS('Compilado-g-19'!M$3:M$3524,'Compilado-g-19'!$F$3:$F$3524,$D$4,'Compilado-g-19'!$B$3:$B$3524,Reporte_ECP_GAS_2019!$D21)</f>
        <v>253.73</v>
      </c>
      <c r="K21" s="28">
        <f>+SUMIFS('Compilado-g-19'!N$3:N$3524,'Compilado-g-19'!$F$3:$F$3524,$D$4,'Compilado-g-19'!$B$3:$B$3524,Reporte_ECP_GAS_2019!$D21)</f>
        <v>99.28</v>
      </c>
      <c r="L21" s="28">
        <f>+SUMIFS('Compilado-g-19'!O$3:O$3524,'Compilado-g-19'!$F$3:$F$3524,$D$4,'Compilado-g-19'!$B$3:$B$3524,Reporte_ECP_GAS_2019!$D21)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+SUMIFS('Compilado-g-19'!H$3:H$3524,'Compilado-g-19'!$F$3:$F$3524,$D$4,'Compilado-g-19'!$B$3:$B$3524,Reporte_ECP_GAS_2019!$D22)</f>
        <v>281.26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0</v>
      </c>
      <c r="H22" s="28">
        <f>+SUMIFS('Compilado-g-19'!K$3:K$3524,'Compilado-g-19'!$F$3:$F$3524,$D$4,'Compilado-g-19'!$B$3:$B$3524,Reporte_ECP_GAS_2019!$D22)</f>
        <v>0.78</v>
      </c>
      <c r="I22" s="28">
        <f>+SUMIFS('Compilado-g-19'!L$3:L$3524,'Compilado-g-19'!$F$3:$F$3524,$D$4,'Compilado-g-19'!$B$3:$B$3524,Reporte_ECP_GAS_2019!$D22)</f>
        <v>0</v>
      </c>
      <c r="J22" s="28">
        <f>+SUMIFS('Compilado-g-19'!M$3:M$3524,'Compilado-g-19'!$F$3:$F$3524,$D$4,'Compilado-g-19'!$B$3:$B$3524,Reporte_ECP_GAS_2019!$D22)</f>
        <v>280.48</v>
      </c>
      <c r="K22" s="28">
        <f>+SUMIFS('Compilado-g-19'!N$3:N$3524,'Compilado-g-19'!$F$3:$F$3524,$D$4,'Compilado-g-19'!$B$3:$B$3524,Reporte_ECP_GAS_2019!$D22)</f>
        <v>98.39</v>
      </c>
      <c r="L22" s="28">
        <f>+SUMIFS('Compilado-g-19'!O$3:O$3524,'Compilado-g-19'!$F$3:$F$3524,$D$4,'Compilado-g-19'!$B$3:$B$3524,Reporte_ECP_GAS_2019!$D22)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+SUMIFS('Compilado-g-19'!H$3:H$3524,'Compilado-g-19'!$F$3:$F$3524,$D$4,'Compilado-g-19'!$B$3:$B$3524,Reporte_ECP_GAS_2019!$D23)</f>
        <v>298.52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0</v>
      </c>
      <c r="H23" s="28">
        <f>+SUMIFS('Compilado-g-19'!K$3:K$3524,'Compilado-g-19'!$F$3:$F$3524,$D$4,'Compilado-g-19'!$B$3:$B$3524,Reporte_ECP_GAS_2019!$D23)</f>
        <v>1.1599999999999999</v>
      </c>
      <c r="I23" s="28">
        <f>+SUMIFS('Compilado-g-19'!L$3:L$3524,'Compilado-g-19'!$F$3:$F$3524,$D$4,'Compilado-g-19'!$B$3:$B$3524,Reporte_ECP_GAS_2019!$D23)</f>
        <v>0</v>
      </c>
      <c r="J23" s="28">
        <f>+SUMIFS('Compilado-g-19'!M$3:M$3524,'Compilado-g-19'!$F$3:$F$3524,$D$4,'Compilado-g-19'!$B$3:$B$3524,Reporte_ECP_GAS_2019!$D23)</f>
        <v>297.36</v>
      </c>
      <c r="K23" s="28">
        <f>+SUMIFS('Compilado-g-19'!N$3:N$3524,'Compilado-g-19'!$F$3:$F$3524,$D$4,'Compilado-g-19'!$B$3:$B$3524,Reporte_ECP_GAS_2019!$D23)</f>
        <v>95.69</v>
      </c>
      <c r="L23" s="28">
        <f>+SUMIFS('Compilado-g-19'!O$3:O$3524,'Compilado-g-19'!$F$3:$F$3524,$D$4,'Compilado-g-19'!$B$3:$B$3524,Reporte_ECP_GAS_2019!$D23)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3608.1700000000005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19.73</v>
      </c>
      <c r="I26" s="28">
        <f t="shared" si="0"/>
        <v>0</v>
      </c>
      <c r="J26" s="28">
        <f t="shared" si="0"/>
        <v>3588.4500000000003</v>
      </c>
      <c r="K26" s="28">
        <f t="shared" si="0"/>
        <v>1109.9099999999999</v>
      </c>
      <c r="L26" s="28">
        <f t="shared" si="0"/>
        <v>0</v>
      </c>
      <c r="M26" s="53" t="str">
        <f>+ROUND(SUMIF('Combinado-o-19'!E13:E467,Reporte_ECP_GAS_2019!$D$4,'Combinado-o-19'!R13:R467),1)&amp;" Bl/año"</f>
        <v>830638,4 Bl/año</v>
      </c>
      <c r="S26" s="14" t="s">
        <v>817</v>
      </c>
    </row>
    <row r="27" spans="4:23" x14ac:dyDescent="0.25">
      <c r="D27" s="28" t="s">
        <v>568</v>
      </c>
      <c r="E27" s="33">
        <f>+E26/365</f>
        <v>9.8853972602739741</v>
      </c>
      <c r="F27" s="33">
        <f t="shared" ref="F27:L27" si="1">+F26/365</f>
        <v>0</v>
      </c>
      <c r="G27" s="33">
        <f t="shared" si="1"/>
        <v>0</v>
      </c>
      <c r="H27" s="33">
        <f t="shared" si="1"/>
        <v>5.4054794520547948E-2</v>
      </c>
      <c r="I27" s="33">
        <f t="shared" si="1"/>
        <v>0</v>
      </c>
      <c r="J27" s="33">
        <f t="shared" si="1"/>
        <v>9.8313698630137001</v>
      </c>
      <c r="K27" s="33">
        <f t="shared" si="1"/>
        <v>3.0408493150684928</v>
      </c>
      <c r="L27" s="33">
        <f t="shared" si="1"/>
        <v>0</v>
      </c>
      <c r="M27" s="53" t="str">
        <f>+ROUND(SUMIF('Combinado-o-19'!E13:E467,Reporte_ECP_GAS_2019!$D$4,'Combinado-o-19'!R13:R467)/365,1)&amp;" Bl/d"</f>
        <v>2275,7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0" t="s">
        <v>784</v>
      </c>
      <c r="F31" s="110"/>
      <c r="G31" s="110"/>
      <c r="H31" s="110"/>
      <c r="I31" s="110"/>
      <c r="J31" s="110"/>
      <c r="K31" s="110"/>
      <c r="L31" s="110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SANTANDER</v>
      </c>
      <c r="D33" s="28" t="str">
        <f>+D4</f>
        <v>PROVINCIA</v>
      </c>
      <c r="E33" s="33">
        <f>+E27</f>
        <v>9.8853972602739741</v>
      </c>
      <c r="F33" s="33">
        <f t="shared" ref="F33:L33" si="2">+F27</f>
        <v>0</v>
      </c>
      <c r="G33" s="33">
        <f t="shared" si="2"/>
        <v>0</v>
      </c>
      <c r="H33" s="33">
        <f t="shared" si="2"/>
        <v>5.4054794520547948E-2</v>
      </c>
      <c r="I33" s="33">
        <f t="shared" si="2"/>
        <v>0</v>
      </c>
      <c r="J33" s="33">
        <f>+J27</f>
        <v>9.8313698630137001</v>
      </c>
      <c r="K33" s="33">
        <f>+K27</f>
        <v>3.0408493150684928</v>
      </c>
      <c r="L33" s="33">
        <f t="shared" si="2"/>
        <v>0</v>
      </c>
      <c r="M33" s="54">
        <f>+SUMIF('Combinado-o-19'!E13:E467,Reporte_ECP_GAS_2019!$D$4,'Combinado-o-19'!R13:R467)/365</f>
        <v>2275.7216164383563</v>
      </c>
      <c r="N33" s="31">
        <f>+E33/M33</f>
        <v>4.3438517210840693E-3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1" t="s">
        <v>824</v>
      </c>
      <c r="D84" s="111"/>
      <c r="E84" s="111"/>
      <c r="F84" s="111"/>
      <c r="G84" s="111"/>
      <c r="H84" s="111"/>
      <c r="I84" s="111"/>
      <c r="J84" s="111"/>
      <c r="K84" s="111"/>
      <c r="L84" s="111"/>
      <c r="M84" s="111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1" t="s">
        <v>825</v>
      </c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topLeftCell="A25" zoomScaleNormal="100" workbookViewId="0">
      <selection activeCell="C31" sqref="C31:N76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867</v>
      </c>
    </row>
    <row r="5" spans="1:28" x14ac:dyDescent="0.25">
      <c r="C5" s="62" t="s">
        <v>788</v>
      </c>
      <c r="D5" s="58" t="str">
        <f>+_xlfn.XLOOKUP($D$4,'Compilado-g-19'!F3:F3524,'Compilado-g-19'!C3:C3524)</f>
        <v>META</v>
      </c>
    </row>
    <row r="6" spans="1:28" x14ac:dyDescent="0.25">
      <c r="C6" s="62" t="s">
        <v>789</v>
      </c>
      <c r="D6" s="58" t="str">
        <f>+_xlfn.XLOOKUP($D$4,'Combinado-o-19'!E13:E467,'Combinado-o-19'!A13:A467)</f>
        <v>META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1169.7699999999998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897.73000000000025</v>
      </c>
      <c r="I11" s="28">
        <f>+SUMIFS('Compilado-g-19'!L3:L3524,'Compilado-g-19'!$F$3:$F$3524,$D$4)</f>
        <v>272.04000000000002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101.91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92.820000000000007</v>
      </c>
      <c r="I12" s="28">
        <f>+SUMIFS('Compilado-g-19'!L$3:L$3524,'Compilado-g-19'!$F$3:$F$3524,$D$4,'Compilado-g-19'!$B$3:$B$3524,Reporte_ECP_OIL_2019!$D12)</f>
        <v>9.09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77.02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63.039999999999992</v>
      </c>
      <c r="I13" s="28">
        <f>+SUMIFS('Compilado-g-19'!L$3:L$3524,'Compilado-g-19'!$F$3:$F$3524,$D$4,'Compilado-g-19'!$B$3:$B$3524,Reporte_ECP_OIL_2019!$D13)</f>
        <v>13.969999999999999</v>
      </c>
      <c r="J13" s="28">
        <f>+SUMIFS('Compilado-g-19'!M$3:M$3524,'Compilado-g-19'!$F$3:$F$3524,$D$4,'Compilado-g-19'!$B$3:$B$3524,Reporte_ECP_OIL_2019!$D13)</f>
        <v>0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83.09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67</v>
      </c>
      <c r="I14" s="28">
        <f>+SUMIFS('Compilado-g-19'!L$3:L$3524,'Compilado-g-19'!$F$3:$F$3524,$D$4,'Compilado-g-19'!$B$3:$B$3524,Reporte_ECP_OIL_2019!$D14)</f>
        <v>16.090000000000003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81.2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55.36</v>
      </c>
      <c r="I15" s="28">
        <f>+SUMIFS('Compilado-g-19'!L$3:L$3524,'Compilado-g-19'!$F$3:$F$3524,$D$4,'Compilado-g-19'!$B$3:$B$3524,Reporte_ECP_OIL_2019!$D15)</f>
        <v>25.840000000000003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77.569999999999993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48.18</v>
      </c>
      <c r="I16" s="28">
        <f>+SUMIFS('Compilado-g-19'!L$3:L$3524,'Compilado-g-19'!$F$3:$F$3524,$D$4,'Compilado-g-19'!$B$3:$B$3524,Reporte_ECP_OIL_2019!$D16)</f>
        <v>29.380000000000003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82.86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58.430000000000007</v>
      </c>
      <c r="I17" s="28">
        <f>+SUMIFS('Compilado-g-19'!L$3:L$3524,'Compilado-g-19'!$F$3:$F$3524,$D$4,'Compilado-g-19'!$B$3:$B$3524,Reporte_ECP_OIL_2019!$D17)</f>
        <v>24.43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87.54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64.489999999999995</v>
      </c>
      <c r="I18" s="28">
        <f>+SUMIFS('Compilado-g-19'!L$3:L$3524,'Compilado-g-19'!$F$3:$F$3524,$D$4,'Compilado-g-19'!$B$3:$B$3524,Reporte_ECP_OIL_2019!$D18)</f>
        <v>23.060000000000002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105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79.510000000000005</v>
      </c>
      <c r="I19" s="28">
        <f>+SUMIFS('Compilado-g-19'!L$3:L$3524,'Compilado-g-19'!$F$3:$F$3524,$D$4,'Compilado-g-19'!$B$3:$B$3524,Reporte_ECP_OIL_2019!$D19)</f>
        <v>25.49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116.65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92.72</v>
      </c>
      <c r="I20" s="28">
        <f>+SUMIFS('Compilado-g-19'!L$3:L$3524,'Compilado-g-19'!$F$3:$F$3524,$D$4,'Compilado-g-19'!$B$3:$B$3524,Reporte_ECP_OIL_2019!$D20)</f>
        <v>23.93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116.78999999999999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90.85</v>
      </c>
      <c r="I21" s="28">
        <f>+SUMIFS('Compilado-g-19'!L$3:L$3524,'Compilado-g-19'!$F$3:$F$3524,$D$4,'Compilado-g-19'!$B$3:$B$3524,Reporte_ECP_OIL_2019!$D21)</f>
        <v>25.95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120.87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92.070000000000007</v>
      </c>
      <c r="I22" s="28">
        <f>+SUMIFS('Compilado-g-19'!L$3:L$3524,'Compilado-g-19'!$F$3:$F$3524,$D$4,'Compilado-g-19'!$B$3:$B$3524,Reporte_ECP_OIL_2019!$D22)</f>
        <v>28.79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119.27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93.259999999999991</v>
      </c>
      <c r="I23" s="28">
        <f>+SUMIFS('Compilado-g-19'!L$3:L$3524,'Compilado-g-19'!$F$3:$F$3524,$D$4,'Compilado-g-19'!$B$3:$B$3524,Reporte_ECP_OIL_2019!$D23)</f>
        <v>26.02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1169.77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897.73000000000013</v>
      </c>
      <c r="I26" s="28">
        <f t="shared" si="0"/>
        <v>272.04000000000002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53" t="str">
        <f>+ROUND(SUMIF('Combinado-o-19'!E13:E467,Reporte_ECP_OIL_2019!$D$4,'Combinado-o-19'!R13:R467),1)&amp;" Bl/año"</f>
        <v>17874691,1 Bl/año</v>
      </c>
      <c r="S26" s="14" t="s">
        <v>817</v>
      </c>
    </row>
    <row r="27" spans="4:23" x14ac:dyDescent="0.25">
      <c r="D27" s="28" t="s">
        <v>568</v>
      </c>
      <c r="E27" s="33">
        <f>+E26/365</f>
        <v>3.2048493150684929</v>
      </c>
      <c r="F27" s="33">
        <f t="shared" ref="F27:L27" si="1">+F26/365</f>
        <v>0</v>
      </c>
      <c r="G27" s="33">
        <f t="shared" si="1"/>
        <v>0</v>
      </c>
      <c r="H27" s="33">
        <f t="shared" si="1"/>
        <v>2.4595342465753429</v>
      </c>
      <c r="I27" s="33">
        <f t="shared" si="1"/>
        <v>0.74531506849315077</v>
      </c>
      <c r="J27" s="33">
        <f t="shared" si="1"/>
        <v>0</v>
      </c>
      <c r="K27" s="33">
        <f t="shared" si="1"/>
        <v>0</v>
      </c>
      <c r="L27" s="33">
        <f t="shared" si="1"/>
        <v>0</v>
      </c>
      <c r="M27" s="53" t="str">
        <f>+ROUND(SUMIF('Combinado-o-19'!E13:E467,Reporte_ECP_OIL_2019!$D$4,'Combinado-o-19'!R13:R467)/365,1)&amp;" Bl/d"</f>
        <v>48971,8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0" t="s">
        <v>784</v>
      </c>
      <c r="F31" s="110"/>
      <c r="G31" s="110"/>
      <c r="H31" s="110"/>
      <c r="I31" s="110"/>
      <c r="J31" s="110"/>
      <c r="K31" s="110"/>
      <c r="L31" s="110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META</v>
      </c>
      <c r="D33" s="28" t="str">
        <f>+D4</f>
        <v>chichimene</v>
      </c>
      <c r="E33" s="33">
        <f>+E27</f>
        <v>3.2048493150684929</v>
      </c>
      <c r="F33" s="33">
        <f t="shared" ref="F33:L33" si="2">+F27</f>
        <v>0</v>
      </c>
      <c r="G33" s="33">
        <f t="shared" si="2"/>
        <v>0</v>
      </c>
      <c r="H33" s="33">
        <f t="shared" si="2"/>
        <v>2.4595342465753429</v>
      </c>
      <c r="I33" s="33">
        <f t="shared" si="2"/>
        <v>0.74531506849315077</v>
      </c>
      <c r="J33" s="33">
        <f>+J27</f>
        <v>0</v>
      </c>
      <c r="K33" s="33">
        <f>+K27</f>
        <v>0</v>
      </c>
      <c r="L33" s="33">
        <f t="shared" si="2"/>
        <v>0</v>
      </c>
      <c r="M33" s="54">
        <f>+SUMIF('Combinado-o-19'!E13:E467,Reporte_ECP_OIL_2019!$D$4,'Combinado-o-19'!R13:R467)/365</f>
        <v>48971.756410958893</v>
      </c>
      <c r="N33" s="31">
        <f>+E33/M33</f>
        <v>6.5442809283256838E-5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1" t="s">
        <v>824</v>
      </c>
      <c r="D84" s="111"/>
      <c r="E84" s="111"/>
      <c r="F84" s="111"/>
      <c r="G84" s="111"/>
      <c r="H84" s="111"/>
      <c r="I84" s="111"/>
      <c r="J84" s="111"/>
      <c r="K84" s="111"/>
      <c r="L84" s="111"/>
      <c r="M84" s="111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21" spans="3:15" ht="26.25" x14ac:dyDescent="0.4">
      <c r="C121" s="111" t="s">
        <v>825</v>
      </c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N125" s="28">
        <f>+M153/$M$146</f>
        <v>0.12973792518881891</v>
      </c>
      <c r="O125" s="31">
        <f t="shared" ref="O125:O143" si="6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7">+F92+F93</f>
        <v>0</v>
      </c>
      <c r="G126" s="80">
        <f t="shared" si="7"/>
        <v>0</v>
      </c>
      <c r="H126" s="80">
        <f t="shared" si="7"/>
        <v>1.6441095890410957</v>
      </c>
      <c r="I126" s="80">
        <f t="shared" si="7"/>
        <v>1.396739726027397</v>
      </c>
      <c r="J126" s="80">
        <f t="shared" si="7"/>
        <v>3.7358630136986304</v>
      </c>
      <c r="K126" s="80">
        <f t="shared" si="7"/>
        <v>0</v>
      </c>
      <c r="L126" s="80">
        <f t="shared" si="7"/>
        <v>0</v>
      </c>
      <c r="M126" s="80">
        <f t="shared" si="7"/>
        <v>42334.39687671233</v>
      </c>
      <c r="N126" s="28">
        <f t="shared" si="5"/>
        <v>7.9495070850083033E-2</v>
      </c>
      <c r="O126" s="31">
        <f t="shared" si="6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8">+F94+F95</f>
        <v>0</v>
      </c>
      <c r="G127" s="80">
        <f t="shared" si="8"/>
        <v>225.24104109589044</v>
      </c>
      <c r="H127" s="80">
        <f t="shared" si="8"/>
        <v>1.2202465753424658</v>
      </c>
      <c r="I127" s="80">
        <f t="shared" si="8"/>
        <v>9.0779452054794518</v>
      </c>
      <c r="J127" s="80">
        <f t="shared" si="8"/>
        <v>142.09446575342469</v>
      </c>
      <c r="K127" s="80">
        <f t="shared" si="8"/>
        <v>0</v>
      </c>
      <c r="L127" s="80">
        <f t="shared" si="8"/>
        <v>57.767424657534249</v>
      </c>
      <c r="M127" s="80">
        <f t="shared" si="8"/>
        <v>27008.407917808221</v>
      </c>
      <c r="N127" s="28">
        <f t="shared" si="5"/>
        <v>5.0716095170241289E-2</v>
      </c>
      <c r="O127" s="31">
        <f t="shared" si="6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9">+F96</f>
        <v>0</v>
      </c>
      <c r="G128" s="80">
        <f t="shared" si="9"/>
        <v>0</v>
      </c>
      <c r="H128" s="80">
        <f t="shared" si="9"/>
        <v>0.58205479452054798</v>
      </c>
      <c r="I128" s="80">
        <f t="shared" si="9"/>
        <v>0</v>
      </c>
      <c r="J128" s="80">
        <f t="shared" si="9"/>
        <v>0</v>
      </c>
      <c r="K128" s="80">
        <f t="shared" si="9"/>
        <v>0</v>
      </c>
      <c r="L128" s="80">
        <f t="shared" si="9"/>
        <v>0</v>
      </c>
      <c r="M128" s="80">
        <f t="shared" si="9"/>
        <v>19756.607616438356</v>
      </c>
      <c r="N128" s="28">
        <f t="shared" si="5"/>
        <v>3.7098743293777749E-2</v>
      </c>
      <c r="O128" s="31">
        <f t="shared" si="6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0">+F97</f>
        <v>0</v>
      </c>
      <c r="G129" s="80">
        <f t="shared" si="10"/>
        <v>0</v>
      </c>
      <c r="H129" s="80">
        <f t="shared" si="10"/>
        <v>0.21123287671232879</v>
      </c>
      <c r="I129" s="80">
        <f t="shared" si="10"/>
        <v>2.4027123287671235</v>
      </c>
      <c r="J129" s="80">
        <f t="shared" si="10"/>
        <v>0</v>
      </c>
      <c r="K129" s="80">
        <f t="shared" si="10"/>
        <v>0</v>
      </c>
      <c r="L129" s="80">
        <f t="shared" si="10"/>
        <v>2.4430958904109596</v>
      </c>
      <c r="M129" s="80">
        <f t="shared" si="10"/>
        <v>17849.99879452055</v>
      </c>
      <c r="N129" s="28">
        <f t="shared" si="5"/>
        <v>3.3518533947152478E-2</v>
      </c>
      <c r="O129" s="31">
        <f t="shared" si="6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1">+F98+F99</f>
        <v>0</v>
      </c>
      <c r="G130" s="80">
        <f t="shared" si="11"/>
        <v>0</v>
      </c>
      <c r="H130" s="80">
        <f t="shared" si="11"/>
        <v>0.23397260273972598</v>
      </c>
      <c r="I130" s="80">
        <f t="shared" si="11"/>
        <v>0.95542465753424666</v>
      </c>
      <c r="J130" s="80">
        <f t="shared" si="11"/>
        <v>0</v>
      </c>
      <c r="K130" s="80">
        <f t="shared" si="11"/>
        <v>0</v>
      </c>
      <c r="L130" s="80">
        <f t="shared" si="11"/>
        <v>0</v>
      </c>
      <c r="M130" s="80">
        <f t="shared" si="11"/>
        <v>12119.396575342465</v>
      </c>
      <c r="N130" s="28">
        <f t="shared" si="5"/>
        <v>2.275767131448319E-2</v>
      </c>
      <c r="O130" s="31">
        <f t="shared" si="6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2">+F100</f>
        <v>0</v>
      </c>
      <c r="G131" s="80">
        <f t="shared" si="12"/>
        <v>0</v>
      </c>
      <c r="H131" s="80">
        <f t="shared" si="12"/>
        <v>0.32594520547945199</v>
      </c>
      <c r="I131" s="80">
        <f t="shared" si="12"/>
        <v>0</v>
      </c>
      <c r="J131" s="80">
        <f t="shared" si="12"/>
        <v>0</v>
      </c>
      <c r="K131" s="80">
        <f t="shared" si="12"/>
        <v>0</v>
      </c>
      <c r="L131" s="80">
        <f t="shared" si="12"/>
        <v>0</v>
      </c>
      <c r="M131" s="80">
        <f t="shared" si="12"/>
        <v>9406.232876712329</v>
      </c>
      <c r="N131" s="28">
        <f t="shared" si="5"/>
        <v>1.7662921976761531E-2</v>
      </c>
      <c r="O131" s="31">
        <f t="shared" si="6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3">+F101</f>
        <v>0</v>
      </c>
      <c r="G132" s="80">
        <f t="shared" si="13"/>
        <v>0</v>
      </c>
      <c r="H132" s="80">
        <f t="shared" si="13"/>
        <v>1.3545479452054794</v>
      </c>
      <c r="I132" s="80">
        <f t="shared" si="13"/>
        <v>0.92394520547945225</v>
      </c>
      <c r="J132" s="80">
        <f t="shared" si="13"/>
        <v>0</v>
      </c>
      <c r="K132" s="80">
        <f t="shared" si="13"/>
        <v>0</v>
      </c>
      <c r="L132" s="80">
        <f t="shared" si="13"/>
        <v>0.81427397260273982</v>
      </c>
      <c r="M132" s="80">
        <f t="shared" si="13"/>
        <v>6688.0571232876719</v>
      </c>
      <c r="N132" s="28">
        <f t="shared" si="5"/>
        <v>1.2558761056960287E-2</v>
      </c>
      <c r="O132" s="31">
        <f t="shared" si="6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4">+F102+F103+F104</f>
        <v>0</v>
      </c>
      <c r="G133" s="80">
        <f t="shared" si="14"/>
        <v>396.38389041095888</v>
      </c>
      <c r="H133" s="80">
        <f t="shared" si="14"/>
        <v>2.2383835616438361</v>
      </c>
      <c r="I133" s="80">
        <f t="shared" si="14"/>
        <v>38.275260273972606</v>
      </c>
      <c r="J133" s="80">
        <f t="shared" si="14"/>
        <v>16.510794520547947</v>
      </c>
      <c r="K133" s="80">
        <f t="shared" si="14"/>
        <v>8.2636712328767121</v>
      </c>
      <c r="L133" s="80">
        <f t="shared" si="14"/>
        <v>196.07800000000003</v>
      </c>
      <c r="M133" s="80">
        <f t="shared" si="14"/>
        <v>10231.853999999999</v>
      </c>
      <c r="N133" s="28">
        <f t="shared" si="5"/>
        <v>1.9213264358683649E-2</v>
      </c>
      <c r="O133" s="31">
        <f t="shared" si="6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</f>
        <v>114.48408219178081</v>
      </c>
      <c r="F134" s="80">
        <f t="shared" ref="F134:M134" si="15">+F105</f>
        <v>0</v>
      </c>
      <c r="G134" s="80">
        <f t="shared" si="15"/>
        <v>111.18394520547945</v>
      </c>
      <c r="H134" s="80">
        <f t="shared" si="15"/>
        <v>0.37649315068493155</v>
      </c>
      <c r="I134" s="80">
        <f t="shared" si="15"/>
        <v>2.923643835616438</v>
      </c>
      <c r="J134" s="80">
        <f t="shared" si="15"/>
        <v>0</v>
      </c>
      <c r="K134" s="80">
        <f t="shared" si="15"/>
        <v>0</v>
      </c>
      <c r="L134" s="80">
        <f t="shared" si="15"/>
        <v>0</v>
      </c>
      <c r="M134" s="80">
        <f t="shared" si="15"/>
        <v>4583.6177808219181</v>
      </c>
      <c r="N134" s="28">
        <f t="shared" si="5"/>
        <v>8.6070677066047274E-3</v>
      </c>
      <c r="O134" s="31">
        <f t="shared" si="6"/>
        <v>0.84957583889960797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6">+F106</f>
        <v>0</v>
      </c>
      <c r="G135" s="80">
        <f t="shared" si="16"/>
        <v>0</v>
      </c>
      <c r="H135" s="80">
        <f t="shared" si="16"/>
        <v>0</v>
      </c>
      <c r="I135" s="80">
        <f t="shared" si="16"/>
        <v>0</v>
      </c>
      <c r="J135" s="80">
        <f t="shared" si="16"/>
        <v>0</v>
      </c>
      <c r="K135" s="80">
        <f t="shared" si="16"/>
        <v>0</v>
      </c>
      <c r="L135" s="80">
        <f t="shared" si="16"/>
        <v>0</v>
      </c>
      <c r="M135" s="80">
        <f t="shared" si="16"/>
        <v>4459.6295890410956</v>
      </c>
      <c r="N135" s="28">
        <f t="shared" si="5"/>
        <v>8.3742440261612705E-3</v>
      </c>
      <c r="O135" s="31">
        <f t="shared" si="6"/>
        <v>0.85795008292576924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7">+F107</f>
        <v>0</v>
      </c>
      <c r="G136" s="80">
        <f t="shared" si="17"/>
        <v>0</v>
      </c>
      <c r="H136" s="80">
        <f t="shared" si="17"/>
        <v>0.41205479452054788</v>
      </c>
      <c r="I136" s="80">
        <f t="shared" si="17"/>
        <v>0.45498630136986301</v>
      </c>
      <c r="J136" s="80">
        <f t="shared" si="17"/>
        <v>0</v>
      </c>
      <c r="K136" s="80">
        <f t="shared" si="17"/>
        <v>0</v>
      </c>
      <c r="L136" s="80">
        <f t="shared" si="17"/>
        <v>0</v>
      </c>
      <c r="M136" s="80">
        <f t="shared" si="17"/>
        <v>4154.1152328767121</v>
      </c>
      <c r="N136" s="28">
        <f t="shared" si="5"/>
        <v>7.8005524849841454E-3</v>
      </c>
      <c r="O136" s="31">
        <f t="shared" si="6"/>
        <v>0.86575063541075337</v>
      </c>
    </row>
    <row r="137" spans="3:15" x14ac:dyDescent="0.25">
      <c r="C137" s="28" t="s">
        <v>863</v>
      </c>
      <c r="D137" s="28" t="s">
        <v>30</v>
      </c>
      <c r="E137" s="80">
        <f>+E108+E109</f>
        <v>1.1908493150684931</v>
      </c>
      <c r="F137" s="80">
        <f t="shared" ref="F137:M137" si="18">+F108+F109</f>
        <v>0</v>
      </c>
      <c r="G137" s="80">
        <f t="shared" si="18"/>
        <v>0</v>
      </c>
      <c r="H137" s="80">
        <f t="shared" si="18"/>
        <v>1.5506849315068495E-2</v>
      </c>
      <c r="I137" s="80">
        <f t="shared" si="18"/>
        <v>0</v>
      </c>
      <c r="J137" s="80">
        <f t="shared" si="18"/>
        <v>1.1751506849315068</v>
      </c>
      <c r="K137" s="80">
        <f t="shared" si="18"/>
        <v>0.52964383561643835</v>
      </c>
      <c r="L137" s="80">
        <f t="shared" si="18"/>
        <v>0</v>
      </c>
      <c r="M137" s="80">
        <f t="shared" si="18"/>
        <v>3941.1335068493149</v>
      </c>
      <c r="N137" s="28">
        <f t="shared" si="5"/>
        <v>7.4006177120941969E-3</v>
      </c>
      <c r="O137" s="31">
        <f t="shared" si="6"/>
        <v>0.87315125312284758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19">+F110+F111+F112</f>
        <v>0</v>
      </c>
      <c r="G138" s="80">
        <f t="shared" si="19"/>
        <v>0</v>
      </c>
      <c r="H138" s="80">
        <f t="shared" si="19"/>
        <v>0.22805479452054794</v>
      </c>
      <c r="I138" s="80">
        <f t="shared" si="19"/>
        <v>0.10339726027397263</v>
      </c>
      <c r="J138" s="80">
        <f t="shared" si="19"/>
        <v>1.5925479452054794</v>
      </c>
      <c r="K138" s="80">
        <f t="shared" si="19"/>
        <v>0.55931506849315071</v>
      </c>
      <c r="L138" s="80">
        <f t="shared" si="19"/>
        <v>3.4794520547945205E-3</v>
      </c>
      <c r="M138" s="80">
        <f t="shared" si="19"/>
        <v>4684.6815890410962</v>
      </c>
      <c r="N138" s="28">
        <f t="shared" si="5"/>
        <v>8.7968442284755803E-3</v>
      </c>
      <c r="O138" s="31">
        <f t="shared" si="6"/>
        <v>0.88194809735132318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0">+F113+F114</f>
        <v>0</v>
      </c>
      <c r="G139" s="80">
        <f t="shared" si="20"/>
        <v>0</v>
      </c>
      <c r="H139" s="80">
        <f t="shared" si="20"/>
        <v>0.24364383561643835</v>
      </c>
      <c r="I139" s="80">
        <f t="shared" si="20"/>
        <v>0</v>
      </c>
      <c r="J139" s="80">
        <f t="shared" si="20"/>
        <v>2.9598356164383564</v>
      </c>
      <c r="K139" s="80">
        <f t="shared" si="20"/>
        <v>1.3757260273972602</v>
      </c>
      <c r="L139" s="80">
        <f t="shared" si="20"/>
        <v>0</v>
      </c>
      <c r="M139" s="80">
        <f t="shared" si="20"/>
        <v>4210.8083835616435</v>
      </c>
      <c r="N139" s="28">
        <f t="shared" si="5"/>
        <v>7.90701026784894E-3</v>
      </c>
      <c r="O139" s="31">
        <f t="shared" si="6"/>
        <v>0.88985510761917208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1">+F115</f>
        <v>0</v>
      </c>
      <c r="G140" s="80">
        <f t="shared" si="21"/>
        <v>0</v>
      </c>
      <c r="H140" s="80">
        <f t="shared" si="21"/>
        <v>9.2904109589041092E-2</v>
      </c>
      <c r="I140" s="80">
        <f t="shared" si="21"/>
        <v>3.0444931506849313</v>
      </c>
      <c r="J140" s="80">
        <f t="shared" si="21"/>
        <v>0</v>
      </c>
      <c r="K140" s="80">
        <f t="shared" si="21"/>
        <v>0</v>
      </c>
      <c r="L140" s="80">
        <f t="shared" si="21"/>
        <v>0</v>
      </c>
      <c r="M140" s="80">
        <f t="shared" si="21"/>
        <v>4233.3403013698626</v>
      </c>
      <c r="N140" s="28">
        <f t="shared" si="5"/>
        <v>7.9493204584905816E-3</v>
      </c>
      <c r="O140" s="31">
        <f t="shared" si="6"/>
        <v>0.8978044280776627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2">+F116</f>
        <v>0</v>
      </c>
      <c r="G141" s="80">
        <f t="shared" si="22"/>
        <v>0</v>
      </c>
      <c r="H141" s="80">
        <f t="shared" si="22"/>
        <v>3.4626301369863017</v>
      </c>
      <c r="I141" s="80">
        <f t="shared" si="22"/>
        <v>0</v>
      </c>
      <c r="J141" s="80">
        <f t="shared" si="22"/>
        <v>0</v>
      </c>
      <c r="K141" s="80">
        <f t="shared" si="22"/>
        <v>0</v>
      </c>
      <c r="L141" s="80">
        <f t="shared" si="22"/>
        <v>0</v>
      </c>
      <c r="M141" s="80">
        <f t="shared" si="22"/>
        <v>1962.0646849315069</v>
      </c>
      <c r="N141" s="28">
        <f t="shared" si="5"/>
        <v>3.6843437641336935E-3</v>
      </c>
      <c r="O141" s="31">
        <f t="shared" si="6"/>
        <v>0.90148877184179643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3">+F117</f>
        <v>0</v>
      </c>
      <c r="G142" s="80">
        <f t="shared" si="23"/>
        <v>0</v>
      </c>
      <c r="H142" s="80">
        <f t="shared" si="23"/>
        <v>0.1378630136986301</v>
      </c>
      <c r="I142" s="80">
        <f t="shared" si="23"/>
        <v>0.10038356164383562</v>
      </c>
      <c r="J142" s="80">
        <f t="shared" si="23"/>
        <v>0</v>
      </c>
      <c r="K142" s="80">
        <f t="shared" si="23"/>
        <v>0</v>
      </c>
      <c r="L142" s="80">
        <f t="shared" si="23"/>
        <v>0</v>
      </c>
      <c r="M142" s="80">
        <f t="shared" si="23"/>
        <v>1476.5236986301368</v>
      </c>
      <c r="N142" s="28">
        <f t="shared" si="5"/>
        <v>2.7726001713513668E-3</v>
      </c>
      <c r="O142" s="31">
        <f t="shared" si="6"/>
        <v>0.90426137201314782</v>
      </c>
    </row>
    <row r="143" spans="3:15" x14ac:dyDescent="0.25">
      <c r="D143" s="28" t="s">
        <v>833</v>
      </c>
      <c r="M143" s="77">
        <f>+M146-SUM(M123:M142)</f>
        <v>120075.54413698614</v>
      </c>
      <c r="N143" s="28">
        <f t="shared" si="5"/>
        <v>0.22547655317567095</v>
      </c>
      <c r="O143" s="31">
        <f t="shared" si="6"/>
        <v>1.1297379251888189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f>M151/$M$146</f>
        <v>0.22403654906646361</v>
      </c>
      <c r="O151" s="97">
        <f>+N151</f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f t="shared" ref="N152:N171" si="24">M152/$M$146</f>
        <v>0.21417323496957763</v>
      </c>
      <c r="O152" s="97">
        <f>+N152+O151</f>
        <v>0.43820978403604127</v>
      </c>
      <c r="Q152" s="28">
        <f t="shared" ref="Q152:Q171" si="25">+L152+J152-K152</f>
        <v>0</v>
      </c>
    </row>
    <row r="153" spans="3:17" x14ac:dyDescent="0.25">
      <c r="C153" s="28" t="s">
        <v>796</v>
      </c>
      <c r="D153" s="28" t="s">
        <v>189</v>
      </c>
      <c r="E153" s="80">
        <f t="shared" ref="E153:M153" si="26">+E91+E90</f>
        <v>3.7935616438356163</v>
      </c>
      <c r="F153" s="80">
        <f t="shared" si="26"/>
        <v>0</v>
      </c>
      <c r="G153" s="80">
        <f t="shared" si="26"/>
        <v>0</v>
      </c>
      <c r="H153" s="80">
        <f t="shared" si="26"/>
        <v>2.9221917808219184</v>
      </c>
      <c r="I153" s="80">
        <f t="shared" si="26"/>
        <v>0.87139726027397268</v>
      </c>
      <c r="J153" s="80">
        <f t="shared" si="26"/>
        <v>0</v>
      </c>
      <c r="K153" s="80">
        <f t="shared" si="26"/>
        <v>0</v>
      </c>
      <c r="L153" s="80">
        <f t="shared" si="26"/>
        <v>0</v>
      </c>
      <c r="M153" s="80">
        <f t="shared" si="26"/>
        <v>69090.784575342463</v>
      </c>
      <c r="N153" s="97">
        <f t="shared" si="24"/>
        <v>0.12973792518881891</v>
      </c>
      <c r="O153" s="97">
        <f t="shared" ref="O153:O171" si="27">+N153+O152</f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f t="shared" si="24"/>
        <v>7.9495070850083033E-2</v>
      </c>
      <c r="O154" s="97">
        <f t="shared" si="27"/>
        <v>0.64744278007494316</v>
      </c>
      <c r="Q154" s="28">
        <f t="shared" si="25"/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f t="shared" si="24"/>
        <v>5.0716095170241289E-2</v>
      </c>
      <c r="O155" s="97">
        <f t="shared" si="27"/>
        <v>0.6981588752451845</v>
      </c>
      <c r="Q155" s="28">
        <f t="shared" si="25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f t="shared" si="24"/>
        <v>3.7098743293777749E-2</v>
      </c>
      <c r="O156" s="97">
        <f t="shared" si="27"/>
        <v>0.73525761853896221</v>
      </c>
      <c r="Q156" s="28">
        <f t="shared" si="25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f t="shared" si="24"/>
        <v>3.3518533947152478E-2</v>
      </c>
      <c r="O157" s="97">
        <f t="shared" si="27"/>
        <v>0.76877615248611464</v>
      </c>
      <c r="Q157" s="28">
        <f t="shared" si="25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f t="shared" si="24"/>
        <v>2.275767131448319E-2</v>
      </c>
      <c r="O158" s="97">
        <f t="shared" si="27"/>
        <v>0.79153382380059778</v>
      </c>
      <c r="Q158" s="28">
        <f t="shared" si="25"/>
        <v>0</v>
      </c>
    </row>
    <row r="159" spans="3:17" x14ac:dyDescent="0.25">
      <c r="C159" s="28" t="s">
        <v>812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f t="shared" si="24"/>
        <v>1.9213264358683649E-2</v>
      </c>
      <c r="O159" s="97">
        <f t="shared" si="27"/>
        <v>0.81074708815928143</v>
      </c>
      <c r="Q159" s="28">
        <f t="shared" si="25"/>
        <v>204.32512328767129</v>
      </c>
    </row>
    <row r="160" spans="3:17" x14ac:dyDescent="0.25">
      <c r="C160" s="28" t="s">
        <v>810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f t="shared" si="24"/>
        <v>1.7662921976761531E-2</v>
      </c>
      <c r="O160" s="97">
        <f t="shared" si="27"/>
        <v>0.82841001013604298</v>
      </c>
      <c r="Q160" s="28">
        <f t="shared" si="25"/>
        <v>0</v>
      </c>
    </row>
    <row r="161" spans="3:17" x14ac:dyDescent="0.25">
      <c r="C161" s="28" t="s">
        <v>811</v>
      </c>
      <c r="D161" s="28" t="s">
        <v>398</v>
      </c>
      <c r="E161" s="28">
        <v>3.0927397260273972</v>
      </c>
      <c r="F161" s="28">
        <v>0</v>
      </c>
      <c r="G161" s="28">
        <v>0</v>
      </c>
      <c r="H161" s="28">
        <v>1.3545479452054794</v>
      </c>
      <c r="I161" s="28">
        <v>0.92394520547945225</v>
      </c>
      <c r="J161" s="28">
        <v>0</v>
      </c>
      <c r="K161" s="28">
        <v>0</v>
      </c>
      <c r="L161" s="28">
        <v>0.81427397260273982</v>
      </c>
      <c r="M161" s="28">
        <v>6688.0571232876719</v>
      </c>
      <c r="N161" s="97">
        <f t="shared" si="24"/>
        <v>1.2558761056960287E-2</v>
      </c>
      <c r="O161" s="97">
        <f t="shared" si="27"/>
        <v>0.84096877119300328</v>
      </c>
      <c r="Q161" s="28">
        <f t="shared" si="25"/>
        <v>0.81427397260273982</v>
      </c>
    </row>
    <row r="162" spans="3:17" x14ac:dyDescent="0.25">
      <c r="C162" s="28" t="s">
        <v>817</v>
      </c>
      <c r="D162" s="28" t="s">
        <v>821</v>
      </c>
      <c r="E162" s="28">
        <v>1.9275342465753424</v>
      </c>
      <c r="F162" s="28">
        <v>0</v>
      </c>
      <c r="G162" s="28">
        <v>0</v>
      </c>
      <c r="H162" s="28">
        <v>0.22805479452054794</v>
      </c>
      <c r="I162" s="28">
        <v>0.10339726027397263</v>
      </c>
      <c r="J162" s="28">
        <v>1.5925479452054794</v>
      </c>
      <c r="K162" s="28">
        <v>0.55931506849315071</v>
      </c>
      <c r="L162" s="28">
        <v>3.4794520547945205E-3</v>
      </c>
      <c r="M162" s="28">
        <v>4684.6815890410962</v>
      </c>
      <c r="N162" s="97">
        <f t="shared" si="24"/>
        <v>8.7968442284755803E-3</v>
      </c>
      <c r="O162" s="97">
        <f t="shared" si="27"/>
        <v>0.84976561542147888</v>
      </c>
      <c r="Q162" s="28">
        <f t="shared" si="25"/>
        <v>1.0367123287671232</v>
      </c>
    </row>
    <row r="163" spans="3:17" x14ac:dyDescent="0.25">
      <c r="C163" s="28" t="s">
        <v>813</v>
      </c>
      <c r="D163" s="28" t="s">
        <v>406</v>
      </c>
      <c r="E163" s="28">
        <v>114.48408219178081</v>
      </c>
      <c r="F163" s="28">
        <v>0</v>
      </c>
      <c r="G163" s="28">
        <v>111.18394520547945</v>
      </c>
      <c r="H163" s="28">
        <v>0.37649315068493155</v>
      </c>
      <c r="I163" s="28">
        <v>2.923643835616438</v>
      </c>
      <c r="J163" s="28">
        <v>0</v>
      </c>
      <c r="K163" s="28">
        <v>0</v>
      </c>
      <c r="L163" s="28">
        <v>0</v>
      </c>
      <c r="M163" s="28">
        <v>4583.6177808219181</v>
      </c>
      <c r="N163" s="97">
        <f t="shared" si="24"/>
        <v>8.6070677066047274E-3</v>
      </c>
      <c r="O163" s="97">
        <f t="shared" si="27"/>
        <v>0.85837268312808357</v>
      </c>
      <c r="Q163" s="28">
        <f t="shared" si="25"/>
        <v>0</v>
      </c>
    </row>
    <row r="164" spans="3:17" x14ac:dyDescent="0.25">
      <c r="C164" s="28" t="s">
        <v>860</v>
      </c>
      <c r="D164" s="28" t="s">
        <v>827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4459.6295890410956</v>
      </c>
      <c r="N164" s="97">
        <f t="shared" si="24"/>
        <v>8.3742440261612705E-3</v>
      </c>
      <c r="O164" s="97">
        <f t="shared" si="27"/>
        <v>0.86674692715424484</v>
      </c>
      <c r="Q164" s="28">
        <f t="shared" si="25"/>
        <v>0</v>
      </c>
    </row>
    <row r="165" spans="3:17" x14ac:dyDescent="0.25">
      <c r="C165" s="28" t="s">
        <v>861</v>
      </c>
      <c r="D165" s="28" t="s">
        <v>402</v>
      </c>
      <c r="E165" s="28">
        <v>3.137397260273973</v>
      </c>
      <c r="F165" s="28">
        <v>0</v>
      </c>
      <c r="G165" s="28">
        <v>0</v>
      </c>
      <c r="H165" s="28">
        <v>9.2904109589041092E-2</v>
      </c>
      <c r="I165" s="28">
        <v>3.0444931506849313</v>
      </c>
      <c r="J165" s="28">
        <v>0</v>
      </c>
      <c r="K165" s="28">
        <v>0</v>
      </c>
      <c r="L165" s="28">
        <v>0</v>
      </c>
      <c r="M165" s="28">
        <v>4233.3403013698626</v>
      </c>
      <c r="N165" s="97">
        <f t="shared" si="24"/>
        <v>7.9493204584905816E-3</v>
      </c>
      <c r="O165" s="97">
        <f t="shared" si="27"/>
        <v>0.87469624761273546</v>
      </c>
      <c r="Q165" s="28">
        <f t="shared" si="25"/>
        <v>0</v>
      </c>
    </row>
    <row r="166" spans="3:17" x14ac:dyDescent="0.25">
      <c r="C166" s="28" t="s">
        <v>818</v>
      </c>
      <c r="D166" s="28" t="s">
        <v>39</v>
      </c>
      <c r="E166" s="28">
        <v>3.2034520547945204</v>
      </c>
      <c r="F166" s="28">
        <v>0</v>
      </c>
      <c r="G166" s="28">
        <v>0</v>
      </c>
      <c r="H166" s="28">
        <v>0.24364383561643835</v>
      </c>
      <c r="I166" s="28">
        <v>0</v>
      </c>
      <c r="J166" s="28">
        <v>2.9598356164383564</v>
      </c>
      <c r="K166" s="28">
        <v>1.3757260273972602</v>
      </c>
      <c r="L166" s="28">
        <v>0</v>
      </c>
      <c r="M166" s="28">
        <v>4210.8083835616435</v>
      </c>
      <c r="N166" s="97">
        <f t="shared" si="24"/>
        <v>7.90701026784894E-3</v>
      </c>
      <c r="O166" s="97">
        <f t="shared" si="27"/>
        <v>0.88260325788058436</v>
      </c>
      <c r="Q166" s="28">
        <f t="shared" si="25"/>
        <v>1.5841095890410961</v>
      </c>
    </row>
    <row r="167" spans="3:17" x14ac:dyDescent="0.25">
      <c r="C167" s="28" t="s">
        <v>862</v>
      </c>
      <c r="D167" s="28" t="s">
        <v>73</v>
      </c>
      <c r="E167" s="28">
        <v>0.86709589041095891</v>
      </c>
      <c r="F167" s="28">
        <v>0</v>
      </c>
      <c r="G167" s="28">
        <v>0</v>
      </c>
      <c r="H167" s="28">
        <v>0.41205479452054788</v>
      </c>
      <c r="I167" s="28">
        <v>0.45498630136986301</v>
      </c>
      <c r="J167" s="28">
        <v>0</v>
      </c>
      <c r="K167" s="28">
        <v>0</v>
      </c>
      <c r="L167" s="28">
        <v>0</v>
      </c>
      <c r="M167" s="28">
        <v>4154.1152328767121</v>
      </c>
      <c r="N167" s="97">
        <f t="shared" si="24"/>
        <v>7.8005524849841454E-3</v>
      </c>
      <c r="O167" s="97">
        <f t="shared" si="27"/>
        <v>0.89040381036556848</v>
      </c>
      <c r="Q167" s="28">
        <f t="shared" si="25"/>
        <v>0</v>
      </c>
    </row>
    <row r="168" spans="3:17" x14ac:dyDescent="0.25">
      <c r="C168" s="28" t="s">
        <v>863</v>
      </c>
      <c r="D168" s="28" t="s">
        <v>30</v>
      </c>
      <c r="E168" s="28">
        <v>1.1908493150684931</v>
      </c>
      <c r="F168" s="28">
        <v>0</v>
      </c>
      <c r="G168" s="28">
        <v>0</v>
      </c>
      <c r="H168" s="28">
        <v>1.5506849315068495E-2</v>
      </c>
      <c r="I168" s="28">
        <v>0</v>
      </c>
      <c r="J168" s="28">
        <v>1.1751506849315068</v>
      </c>
      <c r="K168" s="28">
        <v>0.52964383561643835</v>
      </c>
      <c r="L168" s="28">
        <v>0</v>
      </c>
      <c r="M168" s="28">
        <v>3941.1335068493149</v>
      </c>
      <c r="N168" s="97">
        <f t="shared" si="24"/>
        <v>7.4006177120941969E-3</v>
      </c>
      <c r="O168" s="97">
        <f t="shared" si="27"/>
        <v>0.8978044280776627</v>
      </c>
      <c r="Q168" s="28">
        <f t="shared" si="25"/>
        <v>0.64550684931506841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f t="shared" si="24"/>
        <v>3.6843437641336935E-3</v>
      </c>
      <c r="O169" s="97">
        <f t="shared" si="27"/>
        <v>0.90148877184179643</v>
      </c>
      <c r="Q169" s="28">
        <f t="shared" si="25"/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f t="shared" si="24"/>
        <v>2.7726001713513668E-3</v>
      </c>
      <c r="O170" s="97">
        <f t="shared" si="27"/>
        <v>0.90426137201314782</v>
      </c>
      <c r="Q170" s="28">
        <f t="shared" si="25"/>
        <v>0</v>
      </c>
    </row>
    <row r="171" spans="3:17" x14ac:dyDescent="0.25">
      <c r="C171" s="28" t="s">
        <v>853</v>
      </c>
      <c r="D171" s="28" t="s">
        <v>833</v>
      </c>
      <c r="M171" s="28">
        <v>99956.515972602589</v>
      </c>
      <c r="N171" s="97">
        <f t="shared" si="24"/>
        <v>0.18769726051159433</v>
      </c>
      <c r="O171" s="97">
        <f t="shared" si="27"/>
        <v>1.0919586325247421</v>
      </c>
      <c r="Q171" s="28">
        <f t="shared" si="25"/>
        <v>0</v>
      </c>
    </row>
    <row r="174" spans="3:17" x14ac:dyDescent="0.25">
      <c r="N174" s="28">
        <f>+SUM(N151:N171)</f>
        <v>1.0919586325247421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8">+U180*T180</f>
        <v>114056.06200000001</v>
      </c>
      <c r="X180" s="28">
        <f t="shared" ref="X180:X203" si="29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8"/>
        <v>42334.39687671233</v>
      </c>
      <c r="X181" s="28">
        <f t="shared" si="29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8"/>
        <v>27008.407917808221</v>
      </c>
      <c r="X182" s="28">
        <f t="shared" si="29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8"/>
        <v>20119.028164383562</v>
      </c>
      <c r="X183" s="28">
        <f t="shared" si="29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8"/>
        <v>19756.607616438356</v>
      </c>
      <c r="X184" s="28">
        <f t="shared" si="29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8"/>
        <v>17849.99879452055</v>
      </c>
      <c r="X185" s="28">
        <f t="shared" si="29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8"/>
        <v>12119.396575342465</v>
      </c>
      <c r="X186" s="28">
        <f t="shared" si="29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8"/>
        <v>10231.853999999999</v>
      </c>
      <c r="X187" s="28">
        <f t="shared" si="29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8"/>
        <v>0</v>
      </c>
      <c r="X188" s="28">
        <f t="shared" si="29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8"/>
        <v>0</v>
      </c>
      <c r="X189" s="28">
        <f t="shared" si="29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8"/>
        <v>0</v>
      </c>
      <c r="X190" s="28">
        <f t="shared" si="29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8"/>
        <v>0</v>
      </c>
      <c r="X191" s="28">
        <f t="shared" si="29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8"/>
        <v>0</v>
      </c>
      <c r="X192" s="28">
        <f t="shared" si="29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8"/>
        <v>4233.3403013698626</v>
      </c>
      <c r="X193" s="28">
        <f t="shared" si="29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8"/>
        <v>0</v>
      </c>
      <c r="X194" s="28">
        <f t="shared" si="29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8"/>
        <v>4154.1152328767121</v>
      </c>
      <c r="X195" s="28">
        <f t="shared" si="29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8"/>
        <v>3941.1335068493149</v>
      </c>
      <c r="X196" s="28">
        <f t="shared" si="29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8"/>
        <v>1962.0646849315069</v>
      </c>
      <c r="X197" s="28">
        <f t="shared" si="29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8"/>
        <v>1476.5236986301368</v>
      </c>
      <c r="X198" s="28">
        <f t="shared" si="29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8"/>
        <v>3182.6220821917809</v>
      </c>
      <c r="X199" s="28">
        <f t="shared" si="29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8"/>
        <v>0</v>
      </c>
      <c r="X200" s="28">
        <f t="shared" si="29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8"/>
        <v>27.609561643835615</v>
      </c>
      <c r="X201" s="28">
        <f t="shared" si="29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8"/>
        <v>0</v>
      </c>
      <c r="X202" s="28">
        <f t="shared" si="29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8"/>
        <v>0</v>
      </c>
      <c r="X203" s="28">
        <f t="shared" si="29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30">+SUM(W179:W203)</f>
        <v>401761.84369863011</v>
      </c>
      <c r="X205" s="28">
        <f t="shared" si="30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112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>+J10+L10-K10</f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>+J11+L11-K11</f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>+J12+L12-K12</f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>+J13+L13-K13</f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>+J14+L14-K14</f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>+J15+L15-K15</f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>+J16+L16-K16</f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>+J17+L17-K17</f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>+J18+L18-K18</f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>+J19+L19-K19</f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>+J20+L20-K20</f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>+J21+L21-K21</f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>+J22+L22-K22</f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>+J23+L23-K23</f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>+J24+L24-K24</f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>+J25+L25-K25</f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>+J26+L26-K26</f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>+J27+L27-K27</f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>+J28+L28-K28</f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>+J29+L29-K29</f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>+J30+L30-K30</f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>+J31+L31-K31</f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>+J32+L32-K32</f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>+J33+L33-K33</f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>+J34+L34-K34</f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>+J35+L35-K35</f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>+J36+L36-K36</f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>+J37+L37-K37</f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>+J38+L38-K38</f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>+J39+L39-K39</f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>+J40+L40-K40</f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0" t="s">
        <v>784</v>
      </c>
      <c r="F31" s="110"/>
      <c r="G31" s="110"/>
      <c r="H31" s="110"/>
      <c r="I31" s="110"/>
      <c r="J31" s="110"/>
      <c r="K31" s="110"/>
      <c r="L31" s="110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2022-11-06T03:01:21Z</dcterms:modified>
</cp:coreProperties>
</file>