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DataBases\"/>
    </mc:Choice>
  </mc:AlternateContent>
  <xr:revisionPtr revIDLastSave="0" documentId="13_ncr:1_{808336A0-F594-4E31-BD25-8175DEA49486}" xr6:coauthVersionLast="47" xr6:coauthVersionMax="47" xr10:uidLastSave="{00000000-0000-0000-0000-000000000000}"/>
  <bookViews>
    <workbookView xWindow="-120" yWindow="-120" windowWidth="29040" windowHeight="15840" activeTab="5" xr2:uid="{00000000-000D-0000-FFFF-FFFF00000000}"/>
  </bookViews>
  <sheets>
    <sheet name="Gasfield" sheetId="3" r:id="rId1"/>
    <sheet name="Oilfields" sheetId="2" r:id="rId2"/>
    <sheet name="General Oil_Gas_fields" sheetId="4" r:id="rId3"/>
    <sheet name="BD" sheetId="5" r:id="rId4"/>
    <sheet name="Compracion (2)" sheetId="8" r:id="rId5"/>
    <sheet name="Compracion" sheetId="7" r:id="rId6"/>
    <sheet name="GlobalData" sheetId="6" r:id="rId7"/>
  </sheets>
  <definedNames>
    <definedName name="_xlnm._FilterDatabase" localSheetId="0" hidden="1">Gasfield!$B$4:$R$4</definedName>
    <definedName name="_xlnm._FilterDatabase" localSheetId="1" hidden="1">Oilfields!$B$4:$Q$4</definedName>
    <definedName name="_xlchart.v6.0" hidden="1">'General Oil_Gas_fields'!$K$53</definedName>
    <definedName name="_xlchart.v6.1" hidden="1">'General Oil_Gas_fields'!$K$54:$K$61</definedName>
    <definedName name="_xlchart.v6.10" hidden="1">'General Oil_Gas_fields'!$L$53</definedName>
    <definedName name="_xlchart.v6.11" hidden="1">'General Oil_Gas_fields'!$L$54:$L$61</definedName>
    <definedName name="_xlchart.v6.12" hidden="1">'General Oil_Gas_fields'!$K$53</definedName>
    <definedName name="_xlchart.v6.13" hidden="1">'General Oil_Gas_fields'!$K$54:$K$61</definedName>
    <definedName name="_xlchart.v6.14" hidden="1">'General Oil_Gas_fields'!$N$53</definedName>
    <definedName name="_xlchart.v6.15" hidden="1">'General Oil_Gas_fields'!$N$54:$N$61</definedName>
    <definedName name="_xlchart.v6.2" hidden="1">'General Oil_Gas_fields'!$N$53</definedName>
    <definedName name="_xlchart.v6.3" hidden="1">'General Oil_Gas_fields'!$N$54:$N$61</definedName>
    <definedName name="_xlchart.v6.4" hidden="1">'General Oil_Gas_fields'!$K$53</definedName>
    <definedName name="_xlchart.v6.5" hidden="1">'General Oil_Gas_fields'!$K$54:$K$61</definedName>
    <definedName name="_xlchart.v6.6" hidden="1">'General Oil_Gas_fields'!$L$53</definedName>
    <definedName name="_xlchart.v6.7" hidden="1">'General Oil_Gas_fields'!$L$54:$L$61</definedName>
    <definedName name="_xlchart.v6.8" hidden="1">'General Oil_Gas_fields'!$K$53</definedName>
    <definedName name="_xlchart.v6.9" hidden="1">'General Oil_Gas_fields'!$K$54:$K$61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0" i="7" l="1"/>
  <c r="E59" i="8"/>
  <c r="E47" i="8"/>
  <c r="P55" i="8" s="1"/>
  <c r="T45" i="8"/>
  <c r="T46" i="8" s="1"/>
  <c r="T47" i="8" s="1"/>
  <c r="U49" i="8" s="1"/>
  <c r="G43" i="8"/>
  <c r="G42" i="8"/>
  <c r="G41" i="8"/>
  <c r="G40" i="8"/>
  <c r="H39" i="8"/>
  <c r="P38" i="8"/>
  <c r="M38" i="8" s="1"/>
  <c r="Q38" i="8" s="1"/>
  <c r="R38" i="8" s="1"/>
  <c r="G38" i="8"/>
  <c r="S38" i="8" s="1"/>
  <c r="AB37" i="8"/>
  <c r="AA37" i="8"/>
  <c r="AC37" i="8" s="1"/>
  <c r="AD37" i="8" s="1"/>
  <c r="P37" i="8"/>
  <c r="M37" i="8" s="1"/>
  <c r="Q37" i="8" s="1"/>
  <c r="R37" i="8" s="1"/>
  <c r="G37" i="8"/>
  <c r="S37" i="8" s="1"/>
  <c r="AB36" i="8"/>
  <c r="AA36" i="8"/>
  <c r="P36" i="8"/>
  <c r="M36" i="8"/>
  <c r="Q36" i="8" s="1"/>
  <c r="R36" i="8" s="1"/>
  <c r="G36" i="8"/>
  <c r="S36" i="8" s="1"/>
  <c r="AB35" i="8"/>
  <c r="AA35" i="8"/>
  <c r="P35" i="8"/>
  <c r="M35" i="8" s="1"/>
  <c r="Q35" i="8" s="1"/>
  <c r="R35" i="8" s="1"/>
  <c r="G35" i="8"/>
  <c r="I35" i="8" s="1"/>
  <c r="AB34" i="8"/>
  <c r="AA34" i="8"/>
  <c r="P34" i="8"/>
  <c r="M34" i="8" s="1"/>
  <c r="Q34" i="8" s="1"/>
  <c r="R34" i="8" s="1"/>
  <c r="G34" i="8"/>
  <c r="H34" i="8" s="1"/>
  <c r="J34" i="8" s="1"/>
  <c r="AB33" i="8"/>
  <c r="AE33" i="8" s="1"/>
  <c r="AF33" i="8" s="1"/>
  <c r="AA33" i="8"/>
  <c r="P33" i="8"/>
  <c r="M33" i="8" s="1"/>
  <c r="Q33" i="8" s="1"/>
  <c r="R33" i="8" s="1"/>
  <c r="H33" i="8"/>
  <c r="J33" i="8" s="1"/>
  <c r="G33" i="8"/>
  <c r="S33" i="8" s="1"/>
  <c r="AB32" i="8"/>
  <c r="AA32" i="8"/>
  <c r="P32" i="8"/>
  <c r="M32" i="8" s="1"/>
  <c r="Q32" i="8" s="1"/>
  <c r="R32" i="8" s="1"/>
  <c r="G32" i="8"/>
  <c r="S32" i="8" s="1"/>
  <c r="AB31" i="8"/>
  <c r="AA31" i="8"/>
  <c r="P31" i="8"/>
  <c r="M31" i="8" s="1"/>
  <c r="Q31" i="8" s="1"/>
  <c r="R31" i="8" s="1"/>
  <c r="G31" i="8"/>
  <c r="I31" i="8" s="1"/>
  <c r="AB30" i="8"/>
  <c r="AA30" i="8"/>
  <c r="P30" i="8"/>
  <c r="M30" i="8" s="1"/>
  <c r="Q30" i="8" s="1"/>
  <c r="R30" i="8" s="1"/>
  <c r="G30" i="8"/>
  <c r="H30" i="8" s="1"/>
  <c r="J30" i="8" s="1"/>
  <c r="AB29" i="8"/>
  <c r="AA29" i="8"/>
  <c r="AC29" i="8" s="1"/>
  <c r="AD29" i="8" s="1"/>
  <c r="S29" i="8"/>
  <c r="P29" i="8"/>
  <c r="M29" i="8" s="1"/>
  <c r="Q29" i="8" s="1"/>
  <c r="R29" i="8" s="1"/>
  <c r="I29" i="8"/>
  <c r="H29" i="8"/>
  <c r="J29" i="8" s="1"/>
  <c r="AB28" i="8"/>
  <c r="AA28" i="8"/>
  <c r="AE28" i="8" s="1"/>
  <c r="AF28" i="8" s="1"/>
  <c r="S28" i="8"/>
  <c r="P28" i="8"/>
  <c r="M28" i="8" s="1"/>
  <c r="Q28" i="8" s="1"/>
  <c r="I28" i="8"/>
  <c r="H28" i="8"/>
  <c r="J28" i="8" s="1"/>
  <c r="AB27" i="8"/>
  <c r="AA27" i="8"/>
  <c r="P27" i="8"/>
  <c r="M27" i="8"/>
  <c r="Q27" i="8" s="1"/>
  <c r="R27" i="8" s="1"/>
  <c r="G27" i="8"/>
  <c r="AB26" i="8"/>
  <c r="AA26" i="8"/>
  <c r="P26" i="8"/>
  <c r="M26" i="8" s="1"/>
  <c r="Q26" i="8" s="1"/>
  <c r="R26" i="8" s="1"/>
  <c r="G26" i="8"/>
  <c r="I26" i="8" s="1"/>
  <c r="AB25" i="8"/>
  <c r="AA25" i="8"/>
  <c r="P25" i="8"/>
  <c r="M25" i="8" s="1"/>
  <c r="Q25" i="8" s="1"/>
  <c r="R25" i="8" s="1"/>
  <c r="G25" i="8"/>
  <c r="S25" i="8" s="1"/>
  <c r="AB24" i="8"/>
  <c r="AA24" i="8"/>
  <c r="P24" i="8"/>
  <c r="M24" i="8" s="1"/>
  <c r="Q24" i="8" s="1"/>
  <c r="R24" i="8" s="1"/>
  <c r="G24" i="8"/>
  <c r="S24" i="8" s="1"/>
  <c r="AB23" i="8"/>
  <c r="AA23" i="8"/>
  <c r="P23" i="8"/>
  <c r="M23" i="8" s="1"/>
  <c r="Q23" i="8" s="1"/>
  <c r="R23" i="8" s="1"/>
  <c r="G23" i="8"/>
  <c r="S23" i="8" s="1"/>
  <c r="AB22" i="8"/>
  <c r="AA22" i="8"/>
  <c r="P22" i="8"/>
  <c r="M22" i="8" s="1"/>
  <c r="Q22" i="8" s="1"/>
  <c r="R22" i="8" s="1"/>
  <c r="G22" i="8"/>
  <c r="I22" i="8" s="1"/>
  <c r="AB21" i="8"/>
  <c r="AA21" i="8"/>
  <c r="P21" i="8"/>
  <c r="M21" i="8" s="1"/>
  <c r="Q21" i="8" s="1"/>
  <c r="R21" i="8" s="1"/>
  <c r="G21" i="8"/>
  <c r="S21" i="8" s="1"/>
  <c r="AB20" i="8"/>
  <c r="AA20" i="8"/>
  <c r="P20" i="8"/>
  <c r="M20" i="8" s="1"/>
  <c r="Q20" i="8" s="1"/>
  <c r="R20" i="8" s="1"/>
  <c r="G20" i="8"/>
  <c r="S20" i="8" s="1"/>
  <c r="AB19" i="8"/>
  <c r="AA19" i="8"/>
  <c r="P19" i="8"/>
  <c r="M19" i="8"/>
  <c r="Q19" i="8" s="1"/>
  <c r="R19" i="8" s="1"/>
  <c r="G19" i="8"/>
  <c r="S19" i="8" s="1"/>
  <c r="AB18" i="8"/>
  <c r="AA18" i="8"/>
  <c r="P18" i="8"/>
  <c r="M18" i="8" s="1"/>
  <c r="Q18" i="8" s="1"/>
  <c r="R18" i="8" s="1"/>
  <c r="G18" i="8"/>
  <c r="I18" i="8" s="1"/>
  <c r="AB17" i="8"/>
  <c r="AA17" i="8"/>
  <c r="S17" i="8"/>
  <c r="P17" i="8"/>
  <c r="M17" i="8" s="1"/>
  <c r="Q17" i="8" s="1"/>
  <c r="R17" i="8" s="1"/>
  <c r="I17" i="8"/>
  <c r="H17" i="8"/>
  <c r="J17" i="8" s="1"/>
  <c r="AB16" i="8"/>
  <c r="AA16" i="8"/>
  <c r="P16" i="8"/>
  <c r="M16" i="8" s="1"/>
  <c r="Q16" i="8" s="1"/>
  <c r="R16" i="8" s="1"/>
  <c r="G16" i="8"/>
  <c r="S16" i="8" s="1"/>
  <c r="AC15" i="8"/>
  <c r="AD15" i="8" s="1"/>
  <c r="AB15" i="8"/>
  <c r="AA15" i="8"/>
  <c r="P15" i="8"/>
  <c r="M15" i="8" s="1"/>
  <c r="Q15" i="8" s="1"/>
  <c r="R15" i="8" s="1"/>
  <c r="G15" i="8"/>
  <c r="I15" i="8" s="1"/>
  <c r="AB14" i="8"/>
  <c r="AA14" i="8"/>
  <c r="AE14" i="8" s="1"/>
  <c r="AF14" i="8" s="1"/>
  <c r="P14" i="8"/>
  <c r="M14" i="8" s="1"/>
  <c r="Q14" i="8" s="1"/>
  <c r="R14" i="8" s="1"/>
  <c r="G14" i="8"/>
  <c r="H14" i="8" s="1"/>
  <c r="J14" i="8" s="1"/>
  <c r="AB13" i="8"/>
  <c r="AA13" i="8"/>
  <c r="S13" i="8"/>
  <c r="P13" i="8"/>
  <c r="M13" i="8" s="1"/>
  <c r="Q13" i="8" s="1"/>
  <c r="R13" i="8" s="1"/>
  <c r="I13" i="8"/>
  <c r="H13" i="8"/>
  <c r="J13" i="8" s="1"/>
  <c r="AB12" i="8"/>
  <c r="AA12" i="8"/>
  <c r="AE12" i="8" s="1"/>
  <c r="AF12" i="8" s="1"/>
  <c r="P12" i="8"/>
  <c r="M12" i="8" s="1"/>
  <c r="Q12" i="8" s="1"/>
  <c r="R12" i="8" s="1"/>
  <c r="I12" i="8"/>
  <c r="G12" i="8"/>
  <c r="S12" i="8" s="1"/>
  <c r="AB11" i="8"/>
  <c r="AA11" i="8"/>
  <c r="S11" i="8"/>
  <c r="P11" i="8"/>
  <c r="M11" i="8" s="1"/>
  <c r="Q11" i="8" s="1"/>
  <c r="R11" i="8" s="1"/>
  <c r="I11" i="8"/>
  <c r="H11" i="8"/>
  <c r="J11" i="8" s="1"/>
  <c r="AB10" i="8"/>
  <c r="AA10" i="8"/>
  <c r="S10" i="8"/>
  <c r="P10" i="8"/>
  <c r="M10" i="8" s="1"/>
  <c r="Q10" i="8" s="1"/>
  <c r="R10" i="8" s="1"/>
  <c r="I10" i="8"/>
  <c r="H10" i="8"/>
  <c r="J10" i="8" s="1"/>
  <c r="AB9" i="8"/>
  <c r="AA9" i="8"/>
  <c r="S9" i="8"/>
  <c r="P9" i="8"/>
  <c r="M9" i="8" s="1"/>
  <c r="Q9" i="8" s="1"/>
  <c r="R9" i="8" s="1"/>
  <c r="I9" i="8"/>
  <c r="H9" i="8"/>
  <c r="J9" i="8" s="1"/>
  <c r="AB8" i="8"/>
  <c r="AA8" i="8"/>
  <c r="P8" i="8"/>
  <c r="M8" i="8" s="1"/>
  <c r="Q8" i="8" s="1"/>
  <c r="R8" i="8" s="1"/>
  <c r="G8" i="8"/>
  <c r="AB7" i="8"/>
  <c r="AA7" i="8"/>
  <c r="P7" i="8"/>
  <c r="M7" i="8" s="1"/>
  <c r="Q7" i="8" s="1"/>
  <c r="R7" i="8" s="1"/>
  <c r="G7" i="8"/>
  <c r="S7" i="8" s="1"/>
  <c r="F7" i="8"/>
  <c r="E50" i="8" s="1"/>
  <c r="AB6" i="8"/>
  <c r="AA6" i="8"/>
  <c r="P6" i="8"/>
  <c r="M6" i="8" s="1"/>
  <c r="Q6" i="8" s="1"/>
  <c r="R6" i="8" s="1"/>
  <c r="G6" i="8"/>
  <c r="S6" i="8" s="1"/>
  <c r="AB5" i="8"/>
  <c r="AA5" i="8"/>
  <c r="R5" i="8"/>
  <c r="I5" i="8"/>
  <c r="H5" i="8"/>
  <c r="J5" i="8" s="1"/>
  <c r="G1" i="8"/>
  <c r="R56" i="7"/>
  <c r="T6" i="7"/>
  <c r="T7" i="7"/>
  <c r="T8" i="7"/>
  <c r="T9" i="7"/>
  <c r="T10" i="7"/>
  <c r="T11" i="7"/>
  <c r="T12" i="7"/>
  <c r="T13" i="7"/>
  <c r="T14" i="7"/>
  <c r="T15" i="7"/>
  <c r="T16" i="7"/>
  <c r="T17" i="7"/>
  <c r="T18" i="7"/>
  <c r="T19" i="7"/>
  <c r="T20" i="7"/>
  <c r="T21" i="7"/>
  <c r="T22" i="7"/>
  <c r="T23" i="7"/>
  <c r="T24" i="7"/>
  <c r="T25" i="7"/>
  <c r="T26" i="7"/>
  <c r="T27" i="7"/>
  <c r="T29" i="7"/>
  <c r="T30" i="7"/>
  <c r="T31" i="7"/>
  <c r="T32" i="7"/>
  <c r="T33" i="7"/>
  <c r="T34" i="7"/>
  <c r="T35" i="7"/>
  <c r="T36" i="7"/>
  <c r="T37" i="7"/>
  <c r="T38" i="7"/>
  <c r="T5" i="7"/>
  <c r="U9" i="7"/>
  <c r="U10" i="7"/>
  <c r="U11" i="7"/>
  <c r="U13" i="7"/>
  <c r="U17" i="7"/>
  <c r="U28" i="7"/>
  <c r="U29" i="7"/>
  <c r="O7" i="7"/>
  <c r="S7" i="7" s="1"/>
  <c r="O15" i="7"/>
  <c r="S15" i="7" s="1"/>
  <c r="O23" i="7"/>
  <c r="S23" i="7" s="1"/>
  <c r="O31" i="7"/>
  <c r="S31" i="7" s="1"/>
  <c r="O6" i="7"/>
  <c r="S6" i="7" s="1"/>
  <c r="R7" i="7"/>
  <c r="R8" i="7"/>
  <c r="O8" i="7" s="1"/>
  <c r="S8" i="7" s="1"/>
  <c r="R9" i="7"/>
  <c r="O9" i="7" s="1"/>
  <c r="S9" i="7" s="1"/>
  <c r="R10" i="7"/>
  <c r="O10" i="7" s="1"/>
  <c r="S10" i="7" s="1"/>
  <c r="R11" i="7"/>
  <c r="O11" i="7" s="1"/>
  <c r="S11" i="7" s="1"/>
  <c r="R12" i="7"/>
  <c r="O12" i="7" s="1"/>
  <c r="S12" i="7" s="1"/>
  <c r="R13" i="7"/>
  <c r="O13" i="7" s="1"/>
  <c r="S13" i="7" s="1"/>
  <c r="R14" i="7"/>
  <c r="O14" i="7" s="1"/>
  <c r="S14" i="7" s="1"/>
  <c r="R15" i="7"/>
  <c r="R16" i="7"/>
  <c r="O16" i="7" s="1"/>
  <c r="S16" i="7" s="1"/>
  <c r="R17" i="7"/>
  <c r="O17" i="7" s="1"/>
  <c r="S17" i="7" s="1"/>
  <c r="R18" i="7"/>
  <c r="O18" i="7" s="1"/>
  <c r="S18" i="7" s="1"/>
  <c r="R19" i="7"/>
  <c r="O19" i="7" s="1"/>
  <c r="S19" i="7" s="1"/>
  <c r="R20" i="7"/>
  <c r="O20" i="7" s="1"/>
  <c r="S20" i="7" s="1"/>
  <c r="R21" i="7"/>
  <c r="O21" i="7" s="1"/>
  <c r="S21" i="7" s="1"/>
  <c r="R22" i="7"/>
  <c r="O22" i="7" s="1"/>
  <c r="S22" i="7" s="1"/>
  <c r="R23" i="7"/>
  <c r="R24" i="7"/>
  <c r="O24" i="7" s="1"/>
  <c r="S24" i="7" s="1"/>
  <c r="R25" i="7"/>
  <c r="O25" i="7" s="1"/>
  <c r="S25" i="7" s="1"/>
  <c r="R26" i="7"/>
  <c r="O26" i="7" s="1"/>
  <c r="S26" i="7" s="1"/>
  <c r="R27" i="7"/>
  <c r="O27" i="7" s="1"/>
  <c r="S27" i="7" s="1"/>
  <c r="R28" i="7"/>
  <c r="O28" i="7" s="1"/>
  <c r="S28" i="7" s="1"/>
  <c r="R29" i="7"/>
  <c r="O29" i="7" s="1"/>
  <c r="S29" i="7" s="1"/>
  <c r="R30" i="7"/>
  <c r="O30" i="7" s="1"/>
  <c r="S30" i="7" s="1"/>
  <c r="R31" i="7"/>
  <c r="R32" i="7"/>
  <c r="O32" i="7" s="1"/>
  <c r="S32" i="7" s="1"/>
  <c r="R33" i="7"/>
  <c r="O33" i="7" s="1"/>
  <c r="S33" i="7" s="1"/>
  <c r="R34" i="7"/>
  <c r="O34" i="7" s="1"/>
  <c r="S34" i="7" s="1"/>
  <c r="R35" i="7"/>
  <c r="O35" i="7" s="1"/>
  <c r="S35" i="7" s="1"/>
  <c r="R36" i="7"/>
  <c r="O36" i="7" s="1"/>
  <c r="S36" i="7" s="1"/>
  <c r="R37" i="7"/>
  <c r="O37" i="7" s="1"/>
  <c r="S37" i="7" s="1"/>
  <c r="R38" i="7"/>
  <c r="O38" i="7" s="1"/>
  <c r="S38" i="7" s="1"/>
  <c r="R6" i="7"/>
  <c r="AE8" i="8" l="1"/>
  <c r="AF8" i="8" s="1"/>
  <c r="AE10" i="8"/>
  <c r="AF10" i="8" s="1"/>
  <c r="AE18" i="8"/>
  <c r="AF18" i="8" s="1"/>
  <c r="AE31" i="8"/>
  <c r="AF31" i="8" s="1"/>
  <c r="I33" i="8"/>
  <c r="AE22" i="8"/>
  <c r="AF22" i="8" s="1"/>
  <c r="AE11" i="8"/>
  <c r="AF11" i="8" s="1"/>
  <c r="AC16" i="8"/>
  <c r="AD16" i="8" s="1"/>
  <c r="AC23" i="8"/>
  <c r="AD23" i="8" s="1"/>
  <c r="AE26" i="8"/>
  <c r="AF26" i="8" s="1"/>
  <c r="AE35" i="8"/>
  <c r="AF35" i="8" s="1"/>
  <c r="H7" i="8"/>
  <c r="J7" i="8" s="1"/>
  <c r="H24" i="8"/>
  <c r="J24" i="8" s="1"/>
  <c r="AC25" i="8"/>
  <c r="AD25" i="8" s="1"/>
  <c r="I30" i="8"/>
  <c r="AC30" i="8"/>
  <c r="AD30" i="8" s="1"/>
  <c r="AC34" i="8"/>
  <c r="AD34" i="8" s="1"/>
  <c r="H38" i="8"/>
  <c r="J38" i="8" s="1"/>
  <c r="H6" i="8"/>
  <c r="J6" i="8" s="1"/>
  <c r="AE6" i="8"/>
  <c r="AF6" i="8" s="1"/>
  <c r="I7" i="8"/>
  <c r="AC7" i="8"/>
  <c r="AD7" i="8" s="1"/>
  <c r="H20" i="8"/>
  <c r="J20" i="8" s="1"/>
  <c r="AC21" i="8"/>
  <c r="AD21" i="8" s="1"/>
  <c r="I24" i="8"/>
  <c r="I38" i="8"/>
  <c r="I6" i="8"/>
  <c r="H12" i="8"/>
  <c r="J12" i="8" s="1"/>
  <c r="H15" i="8"/>
  <c r="J15" i="8" s="1"/>
  <c r="AC19" i="8"/>
  <c r="AD19" i="8" s="1"/>
  <c r="I20" i="8"/>
  <c r="H25" i="8"/>
  <c r="J25" i="8" s="1"/>
  <c r="AE5" i="8"/>
  <c r="AF5" i="8" s="1"/>
  <c r="P56" i="8"/>
  <c r="AC12" i="8"/>
  <c r="AD12" i="8" s="1"/>
  <c r="I14" i="8"/>
  <c r="AE15" i="8"/>
  <c r="AF15" i="8" s="1"/>
  <c r="H21" i="8"/>
  <c r="J21" i="8" s="1"/>
  <c r="AE21" i="8"/>
  <c r="AF21" i="8" s="1"/>
  <c r="AC24" i="8"/>
  <c r="AD24" i="8" s="1"/>
  <c r="I25" i="8"/>
  <c r="AE25" i="8"/>
  <c r="AF25" i="8" s="1"/>
  <c r="AC26" i="8"/>
  <c r="AD26" i="8" s="1"/>
  <c r="AC27" i="8"/>
  <c r="AD27" i="8" s="1"/>
  <c r="AC31" i="8"/>
  <c r="AD31" i="8" s="1"/>
  <c r="AC33" i="8"/>
  <c r="AD33" i="8" s="1"/>
  <c r="I34" i="8"/>
  <c r="AC35" i="8"/>
  <c r="AD35" i="8" s="1"/>
  <c r="H37" i="8"/>
  <c r="J37" i="8" s="1"/>
  <c r="T49" i="8"/>
  <c r="AC17" i="8"/>
  <c r="AD17" i="8" s="1"/>
  <c r="AE7" i="8"/>
  <c r="AF7" i="8" s="1"/>
  <c r="AC8" i="8"/>
  <c r="AD8" i="8" s="1"/>
  <c r="AC10" i="8"/>
  <c r="AD10" i="8" s="1"/>
  <c r="AC13" i="8"/>
  <c r="AD13" i="8" s="1"/>
  <c r="AC18" i="8"/>
  <c r="AD18" i="8" s="1"/>
  <c r="AC20" i="8"/>
  <c r="AD20" i="8" s="1"/>
  <c r="I21" i="8"/>
  <c r="AC22" i="8"/>
  <c r="AD22" i="8" s="1"/>
  <c r="AC28" i="8"/>
  <c r="AD28" i="8" s="1"/>
  <c r="AE30" i="8"/>
  <c r="AF30" i="8" s="1"/>
  <c r="AC32" i="8"/>
  <c r="AD32" i="8" s="1"/>
  <c r="AC36" i="8"/>
  <c r="AD36" i="8" s="1"/>
  <c r="I37" i="8"/>
  <c r="I8" i="8"/>
  <c r="H8" i="8"/>
  <c r="J8" i="8" s="1"/>
  <c r="AC6" i="8"/>
  <c r="AD6" i="8" s="1"/>
  <c r="S8" i="8"/>
  <c r="I23" i="8"/>
  <c r="H23" i="8"/>
  <c r="J23" i="8" s="1"/>
  <c r="I36" i="8"/>
  <c r="H36" i="8"/>
  <c r="J36" i="8" s="1"/>
  <c r="I40" i="8"/>
  <c r="H40" i="8"/>
  <c r="J40" i="8" s="1"/>
  <c r="E51" i="8"/>
  <c r="E52" i="8" s="1"/>
  <c r="E54" i="8"/>
  <c r="I27" i="8"/>
  <c r="H27" i="8"/>
  <c r="J27" i="8" s="1"/>
  <c r="I43" i="8"/>
  <c r="H43" i="8"/>
  <c r="J43" i="8" s="1"/>
  <c r="I19" i="8"/>
  <c r="H19" i="8"/>
  <c r="J19" i="8" s="1"/>
  <c r="AE24" i="8"/>
  <c r="AF24" i="8" s="1"/>
  <c r="AE29" i="8"/>
  <c r="AF29" i="8" s="1"/>
  <c r="AE34" i="8"/>
  <c r="AF34" i="8" s="1"/>
  <c r="AE37" i="8"/>
  <c r="AF37" i="8" s="1"/>
  <c r="I41" i="8"/>
  <c r="H41" i="8"/>
  <c r="J41" i="8" s="1"/>
  <c r="AC5" i="8"/>
  <c r="AD5" i="8" s="1"/>
  <c r="AE9" i="8"/>
  <c r="AF9" i="8" s="1"/>
  <c r="AE13" i="8"/>
  <c r="AF13" i="8" s="1"/>
  <c r="I16" i="8"/>
  <c r="H16" i="8"/>
  <c r="J16" i="8" s="1"/>
  <c r="AE17" i="8"/>
  <c r="AF17" i="8" s="1"/>
  <c r="AE20" i="8"/>
  <c r="AF20" i="8" s="1"/>
  <c r="S27" i="8"/>
  <c r="I32" i="8"/>
  <c r="H32" i="8"/>
  <c r="J32" i="8" s="1"/>
  <c r="I42" i="8"/>
  <c r="H42" i="8"/>
  <c r="J42" i="8" s="1"/>
  <c r="E48" i="8"/>
  <c r="G48" i="8" s="1"/>
  <c r="AC9" i="8"/>
  <c r="AD9" i="8" s="1"/>
  <c r="AC11" i="8"/>
  <c r="AD11" i="8" s="1"/>
  <c r="AC14" i="8"/>
  <c r="AD14" i="8" s="1"/>
  <c r="S15" i="8"/>
  <c r="AE16" i="8"/>
  <c r="AF16" i="8" s="1"/>
  <c r="S18" i="8"/>
  <c r="AE19" i="8"/>
  <c r="AF19" i="8" s="1"/>
  <c r="S22" i="8"/>
  <c r="AE23" i="8"/>
  <c r="AF23" i="8" s="1"/>
  <c r="S26" i="8"/>
  <c r="AE27" i="8"/>
  <c r="AF27" i="8" s="1"/>
  <c r="S31" i="8"/>
  <c r="AE32" i="8"/>
  <c r="AF32" i="8" s="1"/>
  <c r="S35" i="8"/>
  <c r="AE36" i="8"/>
  <c r="AF36" i="8" s="1"/>
  <c r="S14" i="8"/>
  <c r="H18" i="8"/>
  <c r="J18" i="8" s="1"/>
  <c r="H22" i="8"/>
  <c r="J22" i="8" s="1"/>
  <c r="H26" i="8"/>
  <c r="J26" i="8" s="1"/>
  <c r="S30" i="8"/>
  <c r="H31" i="8"/>
  <c r="J31" i="8" s="1"/>
  <c r="S34" i="8"/>
  <c r="H35" i="8"/>
  <c r="J35" i="8" s="1"/>
  <c r="E49" i="8"/>
  <c r="G49" i="8" s="1"/>
  <c r="E60" i="8" l="1"/>
  <c r="E55" i="8"/>
  <c r="E56" i="8" s="1"/>
  <c r="E59" i="7" l="1"/>
  <c r="E47" i="7"/>
  <c r="R55" i="7" s="1"/>
  <c r="V45" i="7"/>
  <c r="V46" i="7" s="1"/>
  <c r="V47" i="7" s="1"/>
  <c r="G43" i="7"/>
  <c r="I43" i="7" s="1"/>
  <c r="G42" i="7"/>
  <c r="I42" i="7" s="1"/>
  <c r="G41" i="7"/>
  <c r="H41" i="7" s="1"/>
  <c r="J41" i="7" s="1"/>
  <c r="G40" i="7"/>
  <c r="H40" i="7" s="1"/>
  <c r="J40" i="7" s="1"/>
  <c r="H39" i="7"/>
  <c r="G38" i="7"/>
  <c r="AD37" i="7"/>
  <c r="AC37" i="7"/>
  <c r="G37" i="7"/>
  <c r="AD36" i="7"/>
  <c r="AC36" i="7"/>
  <c r="AG36" i="7" s="1"/>
  <c r="AH36" i="7" s="1"/>
  <c r="G36" i="7"/>
  <c r="AD35" i="7"/>
  <c r="AC35" i="7"/>
  <c r="AG35" i="7" s="1"/>
  <c r="AH35" i="7" s="1"/>
  <c r="G35" i="7"/>
  <c r="AD34" i="7"/>
  <c r="AC34" i="7"/>
  <c r="G34" i="7"/>
  <c r="AD33" i="7"/>
  <c r="AC33" i="7"/>
  <c r="G33" i="7"/>
  <c r="AD32" i="7"/>
  <c r="AC32" i="7"/>
  <c r="G32" i="7"/>
  <c r="AD31" i="7"/>
  <c r="AC31" i="7"/>
  <c r="AG31" i="7" s="1"/>
  <c r="AH31" i="7" s="1"/>
  <c r="G31" i="7"/>
  <c r="AD30" i="7"/>
  <c r="AC30" i="7"/>
  <c r="G30" i="7"/>
  <c r="AD29" i="7"/>
  <c r="AC29" i="7"/>
  <c r="I29" i="7"/>
  <c r="H29" i="7"/>
  <c r="J29" i="7" s="1"/>
  <c r="AD28" i="7"/>
  <c r="AC28" i="7"/>
  <c r="I28" i="7"/>
  <c r="H28" i="7"/>
  <c r="J28" i="7" s="1"/>
  <c r="AD27" i="7"/>
  <c r="AC27" i="7"/>
  <c r="G27" i="7"/>
  <c r="AD26" i="7"/>
  <c r="AC26" i="7"/>
  <c r="G26" i="7"/>
  <c r="AD25" i="7"/>
  <c r="AC25" i="7"/>
  <c r="AE25" i="7" s="1"/>
  <c r="AF25" i="7" s="1"/>
  <c r="G25" i="7"/>
  <c r="AD24" i="7"/>
  <c r="AC24" i="7"/>
  <c r="G24" i="7"/>
  <c r="AD23" i="7"/>
  <c r="AC23" i="7"/>
  <c r="G23" i="7"/>
  <c r="AD22" i="7"/>
  <c r="AC22" i="7"/>
  <c r="AG22" i="7" s="1"/>
  <c r="AH22" i="7" s="1"/>
  <c r="G22" i="7"/>
  <c r="AD21" i="7"/>
  <c r="AC21" i="7"/>
  <c r="AE21" i="7" s="1"/>
  <c r="AF21" i="7" s="1"/>
  <c r="G21" i="7"/>
  <c r="AD20" i="7"/>
  <c r="AC20" i="7"/>
  <c r="G20" i="7"/>
  <c r="AD19" i="7"/>
  <c r="AC19" i="7"/>
  <c r="G19" i="7"/>
  <c r="AD18" i="7"/>
  <c r="AC18" i="7"/>
  <c r="AG18" i="7" s="1"/>
  <c r="AH18" i="7" s="1"/>
  <c r="G18" i="7"/>
  <c r="AD17" i="7"/>
  <c r="AC17" i="7"/>
  <c r="AE17" i="7" s="1"/>
  <c r="AF17" i="7" s="1"/>
  <c r="I17" i="7"/>
  <c r="H17" i="7"/>
  <c r="J17" i="7" s="1"/>
  <c r="AD16" i="7"/>
  <c r="AC16" i="7"/>
  <c r="G16" i="7"/>
  <c r="AD15" i="7"/>
  <c r="AE15" i="7" s="1"/>
  <c r="AF15" i="7" s="1"/>
  <c r="AC15" i="7"/>
  <c r="G15" i="7"/>
  <c r="AD14" i="7"/>
  <c r="AC14" i="7"/>
  <c r="G14" i="7"/>
  <c r="AD13" i="7"/>
  <c r="AC13" i="7"/>
  <c r="I13" i="7"/>
  <c r="H13" i="7"/>
  <c r="J13" i="7" s="1"/>
  <c r="AD12" i="7"/>
  <c r="AC12" i="7"/>
  <c r="G12" i="7"/>
  <c r="AD11" i="7"/>
  <c r="AC11" i="7"/>
  <c r="AG11" i="7" s="1"/>
  <c r="AH11" i="7" s="1"/>
  <c r="I11" i="7"/>
  <c r="H11" i="7"/>
  <c r="J11" i="7" s="1"/>
  <c r="AD10" i="7"/>
  <c r="AC10" i="7"/>
  <c r="I10" i="7"/>
  <c r="H10" i="7"/>
  <c r="J10" i="7" s="1"/>
  <c r="AD9" i="7"/>
  <c r="AC9" i="7"/>
  <c r="I9" i="7"/>
  <c r="H9" i="7"/>
  <c r="J9" i="7" s="1"/>
  <c r="AD8" i="7"/>
  <c r="AC8" i="7"/>
  <c r="AG8" i="7" s="1"/>
  <c r="AH8" i="7" s="1"/>
  <c r="G8" i="7"/>
  <c r="AD7" i="7"/>
  <c r="AC7" i="7"/>
  <c r="G7" i="7"/>
  <c r="F7" i="7"/>
  <c r="E50" i="7" s="1"/>
  <c r="AD6" i="7"/>
  <c r="AC6" i="7"/>
  <c r="G6" i="7"/>
  <c r="AD5" i="7"/>
  <c r="AC5" i="7"/>
  <c r="I5" i="7"/>
  <c r="H5" i="7"/>
  <c r="J5" i="7" s="1"/>
  <c r="G1" i="7"/>
  <c r="M45" i="6"/>
  <c r="M46" i="6" s="1"/>
  <c r="M47" i="6" s="1"/>
  <c r="G1" i="6"/>
  <c r="I9" i="6"/>
  <c r="I10" i="6"/>
  <c r="I11" i="6"/>
  <c r="I13" i="6"/>
  <c r="I17" i="6"/>
  <c r="I28" i="6"/>
  <c r="I29" i="6"/>
  <c r="I5" i="6"/>
  <c r="H9" i="6"/>
  <c r="J9" i="6" s="1"/>
  <c r="H10" i="6"/>
  <c r="J10" i="6" s="1"/>
  <c r="H11" i="6"/>
  <c r="J11" i="6" s="1"/>
  <c r="H13" i="6"/>
  <c r="J13" i="6" s="1"/>
  <c r="H17" i="6"/>
  <c r="J17" i="6" s="1"/>
  <c r="H28" i="6"/>
  <c r="J28" i="6" s="1"/>
  <c r="H29" i="6"/>
  <c r="J29" i="6" s="1"/>
  <c r="H39" i="6"/>
  <c r="H5" i="6"/>
  <c r="J5" i="6" s="1"/>
  <c r="E59" i="6"/>
  <c r="M49" i="6" l="1"/>
  <c r="N49" i="6"/>
  <c r="I8" i="7"/>
  <c r="U8" i="7"/>
  <c r="I16" i="7"/>
  <c r="U16" i="7"/>
  <c r="I35" i="7"/>
  <c r="U35" i="7"/>
  <c r="H15" i="7"/>
  <c r="J15" i="7" s="1"/>
  <c r="U15" i="7"/>
  <c r="I20" i="7"/>
  <c r="U20" i="7"/>
  <c r="I24" i="7"/>
  <c r="U24" i="7"/>
  <c r="H30" i="7"/>
  <c r="J30" i="7" s="1"/>
  <c r="U30" i="7"/>
  <c r="H34" i="7"/>
  <c r="J34" i="7" s="1"/>
  <c r="U34" i="7"/>
  <c r="H38" i="7"/>
  <c r="J38" i="7" s="1"/>
  <c r="U38" i="7"/>
  <c r="I12" i="7"/>
  <c r="U12" i="7"/>
  <c r="I18" i="7"/>
  <c r="U18" i="7"/>
  <c r="I22" i="7"/>
  <c r="U22" i="7"/>
  <c r="I26" i="7"/>
  <c r="U26" i="7"/>
  <c r="H32" i="7"/>
  <c r="J32" i="7" s="1"/>
  <c r="U32" i="7"/>
  <c r="H36" i="7"/>
  <c r="J36" i="7" s="1"/>
  <c r="U36" i="7"/>
  <c r="I21" i="7"/>
  <c r="U21" i="7"/>
  <c r="I25" i="7"/>
  <c r="U25" i="7"/>
  <c r="I31" i="7"/>
  <c r="U31" i="7"/>
  <c r="I6" i="7"/>
  <c r="U6" i="7"/>
  <c r="H7" i="7"/>
  <c r="J7" i="7" s="1"/>
  <c r="U7" i="7"/>
  <c r="I14" i="7"/>
  <c r="U14" i="7"/>
  <c r="I19" i="7"/>
  <c r="U19" i="7"/>
  <c r="I23" i="7"/>
  <c r="U23" i="7"/>
  <c r="I27" i="7"/>
  <c r="U27" i="7"/>
  <c r="I33" i="7"/>
  <c r="U33" i="7"/>
  <c r="I37" i="7"/>
  <c r="U37" i="7"/>
  <c r="AG6" i="7"/>
  <c r="AH6" i="7" s="1"/>
  <c r="AG7" i="7"/>
  <c r="AH7" i="7" s="1"/>
  <c r="AE32" i="7"/>
  <c r="AF32" i="7" s="1"/>
  <c r="AE5" i="7"/>
  <c r="AF5" i="7" s="1"/>
  <c r="AG24" i="7"/>
  <c r="AH24" i="7" s="1"/>
  <c r="AG30" i="7"/>
  <c r="AH30" i="7" s="1"/>
  <c r="AG34" i="7"/>
  <c r="AH34" i="7" s="1"/>
  <c r="I41" i="7"/>
  <c r="AE7" i="7"/>
  <c r="AF7" i="7" s="1"/>
  <c r="AE23" i="7"/>
  <c r="AF23" i="7" s="1"/>
  <c r="AG29" i="7"/>
  <c r="AH29" i="7" s="1"/>
  <c r="AG37" i="7"/>
  <c r="AH37" i="7" s="1"/>
  <c r="AE13" i="7"/>
  <c r="AF13" i="7" s="1"/>
  <c r="AE36" i="7"/>
  <c r="AF36" i="7" s="1"/>
  <c r="H6" i="7"/>
  <c r="J6" i="7" s="1"/>
  <c r="AE10" i="7"/>
  <c r="AF10" i="7" s="1"/>
  <c r="H24" i="7"/>
  <c r="J24" i="7" s="1"/>
  <c r="H25" i="7"/>
  <c r="J25" i="7" s="1"/>
  <c r="AG26" i="7"/>
  <c r="AH26" i="7" s="1"/>
  <c r="AE28" i="7"/>
  <c r="AF28" i="7" s="1"/>
  <c r="AG32" i="7"/>
  <c r="AH32" i="7" s="1"/>
  <c r="AG33" i="7"/>
  <c r="AH33" i="7" s="1"/>
  <c r="I38" i="7"/>
  <c r="H22" i="7"/>
  <c r="J22" i="7" s="1"/>
  <c r="H27" i="7"/>
  <c r="J27" i="7" s="1"/>
  <c r="I15" i="7"/>
  <c r="H20" i="7"/>
  <c r="J20" i="7" s="1"/>
  <c r="AE30" i="7"/>
  <c r="AF30" i="7" s="1"/>
  <c r="AE34" i="7"/>
  <c r="AF34" i="7" s="1"/>
  <c r="E48" i="7"/>
  <c r="G48" i="7" s="1"/>
  <c r="H43" i="7"/>
  <c r="J43" i="7" s="1"/>
  <c r="I7" i="7"/>
  <c r="AE11" i="7"/>
  <c r="AF11" i="7" s="1"/>
  <c r="H26" i="7"/>
  <c r="J26" i="7" s="1"/>
  <c r="H31" i="7"/>
  <c r="J31" i="7" s="1"/>
  <c r="I32" i="7"/>
  <c r="H35" i="7"/>
  <c r="J35" i="7" s="1"/>
  <c r="I36" i="7"/>
  <c r="AE9" i="7"/>
  <c r="AF9" i="7" s="1"/>
  <c r="AG10" i="7"/>
  <c r="AH10" i="7" s="1"/>
  <c r="AE12" i="7"/>
  <c r="AF12" i="7" s="1"/>
  <c r="AG13" i="7"/>
  <c r="AH13" i="7" s="1"/>
  <c r="AG14" i="7"/>
  <c r="AH14" i="7" s="1"/>
  <c r="AG15" i="7"/>
  <c r="AH15" i="7" s="1"/>
  <c r="AE16" i="7"/>
  <c r="AF16" i="7" s="1"/>
  <c r="H18" i="7"/>
  <c r="J18" i="7" s="1"/>
  <c r="AE19" i="7"/>
  <c r="AF19" i="7" s="1"/>
  <c r="AG20" i="7"/>
  <c r="AH20" i="7" s="1"/>
  <c r="AE27" i="7"/>
  <c r="AF27" i="7" s="1"/>
  <c r="AG28" i="7"/>
  <c r="AH28" i="7" s="1"/>
  <c r="I30" i="7"/>
  <c r="H33" i="7"/>
  <c r="J33" i="7" s="1"/>
  <c r="I34" i="7"/>
  <c r="H37" i="7"/>
  <c r="J37" i="7" s="1"/>
  <c r="H42" i="7"/>
  <c r="J42" i="7" s="1"/>
  <c r="W49" i="7"/>
  <c r="V49" i="7"/>
  <c r="E49" i="7"/>
  <c r="G49" i="7" s="1"/>
  <c r="E54" i="7"/>
  <c r="E51" i="7"/>
  <c r="E52" i="7" s="1"/>
  <c r="I40" i="7"/>
  <c r="AG5" i="7"/>
  <c r="AH5" i="7" s="1"/>
  <c r="AE6" i="7"/>
  <c r="AF6" i="7" s="1"/>
  <c r="H8" i="7"/>
  <c r="J8" i="7" s="1"/>
  <c r="AG9" i="7"/>
  <c r="AH9" i="7" s="1"/>
  <c r="AG12" i="7"/>
  <c r="AH12" i="7" s="1"/>
  <c r="H14" i="7"/>
  <c r="J14" i="7" s="1"/>
  <c r="H16" i="7"/>
  <c r="J16" i="7" s="1"/>
  <c r="AG17" i="7"/>
  <c r="AH17" i="7" s="1"/>
  <c r="AE18" i="7"/>
  <c r="AF18" i="7" s="1"/>
  <c r="AG19" i="7"/>
  <c r="AH19" i="7" s="1"/>
  <c r="AE20" i="7"/>
  <c r="AF20" i="7" s="1"/>
  <c r="AG21" i="7"/>
  <c r="AH21" i="7" s="1"/>
  <c r="AE22" i="7"/>
  <c r="AF22" i="7" s="1"/>
  <c r="AG23" i="7"/>
  <c r="AH23" i="7" s="1"/>
  <c r="AE24" i="7"/>
  <c r="AF24" i="7" s="1"/>
  <c r="AG25" i="7"/>
  <c r="AH25" i="7" s="1"/>
  <c r="AE26" i="7"/>
  <c r="AF26" i="7" s="1"/>
  <c r="AG27" i="7"/>
  <c r="AH27" i="7" s="1"/>
  <c r="AE29" i="7"/>
  <c r="AF29" i="7" s="1"/>
  <c r="AE31" i="7"/>
  <c r="AF31" i="7" s="1"/>
  <c r="AE33" i="7"/>
  <c r="AF33" i="7" s="1"/>
  <c r="AE35" i="7"/>
  <c r="AF35" i="7" s="1"/>
  <c r="AE37" i="7"/>
  <c r="AF37" i="7" s="1"/>
  <c r="AG16" i="7"/>
  <c r="AH16" i="7" s="1"/>
  <c r="AE8" i="7"/>
  <c r="AF8" i="7" s="1"/>
  <c r="H12" i="7"/>
  <c r="J12" i="7" s="1"/>
  <c r="AE14" i="7"/>
  <c r="AF14" i="7" s="1"/>
  <c r="H19" i="7"/>
  <c r="J19" i="7" s="1"/>
  <c r="H21" i="7"/>
  <c r="J21" i="7" s="1"/>
  <c r="H23" i="7"/>
  <c r="J23" i="7" s="1"/>
  <c r="E47" i="6"/>
  <c r="G42" i="6"/>
  <c r="G43" i="6"/>
  <c r="G41" i="6"/>
  <c r="G40" i="6"/>
  <c r="E60" i="7" l="1"/>
  <c r="E55" i="7"/>
  <c r="E56" i="7" s="1"/>
  <c r="H43" i="6"/>
  <c r="J43" i="6" s="1"/>
  <c r="I43" i="6"/>
  <c r="H42" i="6"/>
  <c r="J42" i="6" s="1"/>
  <c r="I42" i="6"/>
  <c r="H40" i="6"/>
  <c r="J40" i="6" s="1"/>
  <c r="I40" i="6"/>
  <c r="H41" i="6"/>
  <c r="J41" i="6" s="1"/>
  <c r="I41" i="6"/>
  <c r="G38" i="6" l="1"/>
  <c r="T33" i="6"/>
  <c r="U33" i="6"/>
  <c r="X33" i="6" s="1"/>
  <c r="Y33" i="6" s="1"/>
  <c r="T34" i="6"/>
  <c r="U34" i="6"/>
  <c r="T35" i="6"/>
  <c r="U35" i="6"/>
  <c r="T36" i="6"/>
  <c r="U36" i="6"/>
  <c r="T37" i="6"/>
  <c r="U37" i="6"/>
  <c r="G37" i="6"/>
  <c r="G36" i="6"/>
  <c r="G35" i="6"/>
  <c r="G34" i="6"/>
  <c r="G33" i="6"/>
  <c r="G32" i="6"/>
  <c r="T32" i="6"/>
  <c r="U32" i="6"/>
  <c r="G31" i="6"/>
  <c r="T31" i="6"/>
  <c r="U31" i="6"/>
  <c r="G30" i="6"/>
  <c r="T30" i="6"/>
  <c r="U30" i="6"/>
  <c r="T29" i="6"/>
  <c r="U29" i="6"/>
  <c r="T27" i="6"/>
  <c r="U27" i="6"/>
  <c r="T28" i="6"/>
  <c r="U28" i="6"/>
  <c r="G27" i="6"/>
  <c r="G26" i="6"/>
  <c r="T26" i="6"/>
  <c r="U26" i="6"/>
  <c r="G25" i="6"/>
  <c r="T25" i="6"/>
  <c r="U25" i="6"/>
  <c r="G24" i="6"/>
  <c r="T24" i="6"/>
  <c r="U24" i="6"/>
  <c r="G23" i="6"/>
  <c r="T23" i="6"/>
  <c r="U23" i="6"/>
  <c r="T21" i="6"/>
  <c r="U21" i="6"/>
  <c r="T22" i="6"/>
  <c r="U22" i="6"/>
  <c r="G22" i="6"/>
  <c r="G21" i="6"/>
  <c r="G20" i="6"/>
  <c r="T20" i="6"/>
  <c r="U20" i="6"/>
  <c r="T19" i="6"/>
  <c r="U19" i="6"/>
  <c r="G19" i="6"/>
  <c r="G18" i="6"/>
  <c r="T18" i="6"/>
  <c r="U18" i="6"/>
  <c r="T17" i="6"/>
  <c r="U17" i="6"/>
  <c r="G16" i="6"/>
  <c r="T16" i="6"/>
  <c r="U16" i="6"/>
  <c r="G15" i="6"/>
  <c r="T15" i="6"/>
  <c r="U15" i="6"/>
  <c r="T14" i="6"/>
  <c r="U14" i="6"/>
  <c r="G14" i="6"/>
  <c r="T13" i="6"/>
  <c r="U13" i="6"/>
  <c r="G12" i="6"/>
  <c r="T12" i="6"/>
  <c r="U12" i="6"/>
  <c r="T11" i="6"/>
  <c r="U11" i="6"/>
  <c r="T10" i="6"/>
  <c r="U10" i="6"/>
  <c r="T9" i="6"/>
  <c r="U9" i="6"/>
  <c r="G8" i="6"/>
  <c r="T8" i="6"/>
  <c r="U8" i="6"/>
  <c r="F7" i="6"/>
  <c r="G7" i="6"/>
  <c r="T7" i="6"/>
  <c r="U7" i="6"/>
  <c r="T6" i="6"/>
  <c r="U6" i="6"/>
  <c r="U5" i="6"/>
  <c r="T5" i="6"/>
  <c r="G6" i="6"/>
  <c r="L36" i="5"/>
  <c r="K36" i="5"/>
  <c r="I37" i="5"/>
  <c r="K37" i="5" s="1"/>
  <c r="L37" i="5" s="1"/>
  <c r="I38" i="5"/>
  <c r="K38" i="5" s="1"/>
  <c r="L38" i="5" s="1"/>
  <c r="I39" i="5"/>
  <c r="K39" i="5" s="1"/>
  <c r="L39" i="5" s="1"/>
  <c r="I40" i="5"/>
  <c r="K40" i="5" s="1"/>
  <c r="L40" i="5" s="1"/>
  <c r="I41" i="5"/>
  <c r="K41" i="5" s="1"/>
  <c r="L41" i="5" s="1"/>
  <c r="I42" i="5"/>
  <c r="K42" i="5" s="1"/>
  <c r="L42" i="5" s="1"/>
  <c r="I43" i="5"/>
  <c r="K43" i="5" s="1"/>
  <c r="L43" i="5" s="1"/>
  <c r="I44" i="5"/>
  <c r="K44" i="5" s="1"/>
  <c r="L44" i="5" s="1"/>
  <c r="I45" i="5"/>
  <c r="K45" i="5" s="1"/>
  <c r="L45" i="5" s="1"/>
  <c r="I46" i="5"/>
  <c r="K46" i="5" s="1"/>
  <c r="L46" i="5" s="1"/>
  <c r="I47" i="5"/>
  <c r="K47" i="5" s="1"/>
  <c r="L47" i="5" s="1"/>
  <c r="I48" i="5"/>
  <c r="K48" i="5" s="1"/>
  <c r="L48" i="5" s="1"/>
  <c r="I36" i="5"/>
  <c r="H7" i="6" l="1"/>
  <c r="J7" i="6" s="1"/>
  <c r="I7" i="6"/>
  <c r="H8" i="6"/>
  <c r="J8" i="6" s="1"/>
  <c r="I8" i="6"/>
  <c r="H14" i="6"/>
  <c r="J14" i="6" s="1"/>
  <c r="I14" i="6"/>
  <c r="H16" i="6"/>
  <c r="J16" i="6" s="1"/>
  <c r="I16" i="6"/>
  <c r="H21" i="6"/>
  <c r="J21" i="6" s="1"/>
  <c r="I21" i="6"/>
  <c r="H23" i="6"/>
  <c r="J23" i="6" s="1"/>
  <c r="I23" i="6"/>
  <c r="H30" i="6"/>
  <c r="J30" i="6" s="1"/>
  <c r="I30" i="6"/>
  <c r="H34" i="6"/>
  <c r="J34" i="6" s="1"/>
  <c r="I34" i="6"/>
  <c r="H6" i="6"/>
  <c r="J6" i="6" s="1"/>
  <c r="I6" i="6"/>
  <c r="E50" i="6"/>
  <c r="H12" i="6"/>
  <c r="J12" i="6" s="1"/>
  <c r="I12" i="6"/>
  <c r="H15" i="6"/>
  <c r="J15" i="6" s="1"/>
  <c r="I15" i="6"/>
  <c r="H18" i="6"/>
  <c r="J18" i="6" s="1"/>
  <c r="I18" i="6"/>
  <c r="H22" i="6"/>
  <c r="J22" i="6" s="1"/>
  <c r="I22" i="6"/>
  <c r="H26" i="6"/>
  <c r="J26" i="6" s="1"/>
  <c r="I26" i="6"/>
  <c r="H35" i="6"/>
  <c r="J35" i="6" s="1"/>
  <c r="I35" i="6"/>
  <c r="H19" i="6"/>
  <c r="J19" i="6" s="1"/>
  <c r="I19" i="6"/>
  <c r="H25" i="6"/>
  <c r="J25" i="6" s="1"/>
  <c r="I25" i="6"/>
  <c r="H27" i="6"/>
  <c r="J27" i="6" s="1"/>
  <c r="I27" i="6"/>
  <c r="H32" i="6"/>
  <c r="J32" i="6" s="1"/>
  <c r="I32" i="6"/>
  <c r="H36" i="6"/>
  <c r="J36" i="6" s="1"/>
  <c r="I36" i="6"/>
  <c r="H38" i="6"/>
  <c r="J38" i="6" s="1"/>
  <c r="I38" i="6"/>
  <c r="H20" i="6"/>
  <c r="J20" i="6" s="1"/>
  <c r="I20" i="6"/>
  <c r="H24" i="6"/>
  <c r="J24" i="6" s="1"/>
  <c r="I24" i="6"/>
  <c r="H31" i="6"/>
  <c r="J31" i="6" s="1"/>
  <c r="I31" i="6"/>
  <c r="H33" i="6"/>
  <c r="J33" i="6" s="1"/>
  <c r="I33" i="6"/>
  <c r="H37" i="6"/>
  <c r="J37" i="6" s="1"/>
  <c r="I37" i="6"/>
  <c r="X10" i="6"/>
  <c r="Y10" i="6" s="1"/>
  <c r="X18" i="6"/>
  <c r="Y18" i="6" s="1"/>
  <c r="X37" i="6"/>
  <c r="Y37" i="6" s="1"/>
  <c r="V17" i="6"/>
  <c r="W17" i="6" s="1"/>
  <c r="X36" i="6"/>
  <c r="Y36" i="6" s="1"/>
  <c r="X17" i="6"/>
  <c r="Y17" i="6" s="1"/>
  <c r="V22" i="6"/>
  <c r="W22" i="6" s="1"/>
  <c r="V5" i="6"/>
  <c r="W5" i="6" s="1"/>
  <c r="X21" i="6"/>
  <c r="Y21" i="6" s="1"/>
  <c r="X25" i="6"/>
  <c r="Y25" i="6" s="1"/>
  <c r="V9" i="6"/>
  <c r="W9" i="6" s="1"/>
  <c r="V35" i="6"/>
  <c r="W35" i="6" s="1"/>
  <c r="V19" i="6"/>
  <c r="W19" i="6" s="1"/>
  <c r="V32" i="6"/>
  <c r="W32" i="6" s="1"/>
  <c r="V33" i="6"/>
  <c r="W33" i="6" s="1"/>
  <c r="V13" i="6"/>
  <c r="W13" i="6" s="1"/>
  <c r="X26" i="6"/>
  <c r="Y26" i="6" s="1"/>
  <c r="V30" i="6"/>
  <c r="W30" i="6" s="1"/>
  <c r="X35" i="6"/>
  <c r="Y35" i="6" s="1"/>
  <c r="V7" i="6"/>
  <c r="W7" i="6" s="1"/>
  <c r="V27" i="6"/>
  <c r="W27" i="6" s="1"/>
  <c r="V31" i="6"/>
  <c r="W31" i="6" s="1"/>
  <c r="X11" i="6"/>
  <c r="Y11" i="6" s="1"/>
  <c r="X15" i="6"/>
  <c r="Y15" i="6" s="1"/>
  <c r="X23" i="6"/>
  <c r="Y23" i="6" s="1"/>
  <c r="X27" i="6"/>
  <c r="Y27" i="6" s="1"/>
  <c r="X29" i="6"/>
  <c r="Y29" i="6" s="1"/>
  <c r="X32" i="6"/>
  <c r="Y32" i="6" s="1"/>
  <c r="V37" i="6"/>
  <c r="W37" i="6" s="1"/>
  <c r="V34" i="6"/>
  <c r="W34" i="6" s="1"/>
  <c r="X13" i="6"/>
  <c r="Y13" i="6" s="1"/>
  <c r="V15" i="6"/>
  <c r="W15" i="6" s="1"/>
  <c r="V28" i="6"/>
  <c r="W28" i="6" s="1"/>
  <c r="X31" i="6"/>
  <c r="Y31" i="6" s="1"/>
  <c r="E48" i="6"/>
  <c r="E49" i="6" s="1"/>
  <c r="V8" i="6"/>
  <c r="W8" i="6" s="1"/>
  <c r="V11" i="6"/>
  <c r="W11" i="6" s="1"/>
  <c r="V14" i="6"/>
  <c r="W14" i="6" s="1"/>
  <c r="X19" i="6"/>
  <c r="Y19" i="6" s="1"/>
  <c r="X22" i="6"/>
  <c r="Y22" i="6" s="1"/>
  <c r="V21" i="6"/>
  <c r="W21" i="6" s="1"/>
  <c r="V23" i="6"/>
  <c r="W23" i="6" s="1"/>
  <c r="V24" i="6"/>
  <c r="W24" i="6" s="1"/>
  <c r="V25" i="6"/>
  <c r="W25" i="6" s="1"/>
  <c r="X34" i="6"/>
  <c r="Y34" i="6" s="1"/>
  <c r="X8" i="6"/>
  <c r="Y8" i="6" s="1"/>
  <c r="X12" i="6"/>
  <c r="Y12" i="6" s="1"/>
  <c r="V18" i="6"/>
  <c r="W18" i="6" s="1"/>
  <c r="V29" i="6"/>
  <c r="W29" i="6" s="1"/>
  <c r="V36" i="6"/>
  <c r="W36" i="6" s="1"/>
  <c r="X30" i="6"/>
  <c r="Y30" i="6" s="1"/>
  <c r="X28" i="6"/>
  <c r="Y28" i="6" s="1"/>
  <c r="V26" i="6"/>
  <c r="W26" i="6" s="1"/>
  <c r="X24" i="6"/>
  <c r="Y24" i="6" s="1"/>
  <c r="V20" i="6"/>
  <c r="W20" i="6" s="1"/>
  <c r="X20" i="6"/>
  <c r="Y20" i="6" s="1"/>
  <c r="V16" i="6"/>
  <c r="W16" i="6" s="1"/>
  <c r="X16" i="6"/>
  <c r="Y16" i="6" s="1"/>
  <c r="X14" i="6"/>
  <c r="Y14" i="6" s="1"/>
  <c r="V12" i="6"/>
  <c r="W12" i="6" s="1"/>
  <c r="V6" i="6"/>
  <c r="W6" i="6" s="1"/>
  <c r="X7" i="6"/>
  <c r="Y7" i="6" s="1"/>
  <c r="X9" i="6"/>
  <c r="Y9" i="6" s="1"/>
  <c r="V10" i="6"/>
  <c r="W10" i="6" s="1"/>
  <c r="X6" i="6"/>
  <c r="Y6" i="6" s="1"/>
  <c r="X5" i="6"/>
  <c r="Y5" i="6" s="1"/>
  <c r="I49" i="5"/>
  <c r="E54" i="6" l="1"/>
  <c r="E51" i="6"/>
  <c r="E52" i="6" s="1"/>
  <c r="E60" i="6"/>
  <c r="E55" i="6"/>
  <c r="E56" i="6" s="1"/>
  <c r="G49" i="6"/>
  <c r="G48" i="6"/>
  <c r="T11" i="5"/>
  <c r="T12" i="5"/>
  <c r="T13" i="5"/>
  <c r="T14" i="5"/>
  <c r="T15" i="5"/>
  <c r="T16" i="5"/>
  <c r="T17" i="5"/>
  <c r="T18" i="5"/>
  <c r="T19" i="5"/>
  <c r="T20" i="5"/>
  <c r="T21" i="5"/>
  <c r="T22" i="5"/>
  <c r="T23" i="5"/>
  <c r="T24" i="5"/>
  <c r="T25" i="5"/>
  <c r="T26" i="5"/>
  <c r="T27" i="5"/>
  <c r="T28" i="5"/>
  <c r="T29" i="5"/>
  <c r="T10" i="5"/>
  <c r="W22" i="5"/>
  <c r="W23" i="5"/>
  <c r="W24" i="5"/>
  <c r="W25" i="5"/>
  <c r="W26" i="5"/>
  <c r="W27" i="5"/>
  <c r="W28" i="5"/>
  <c r="W21" i="5" l="1"/>
  <c r="W20" i="5"/>
  <c r="M18" i="4"/>
  <c r="W18" i="5"/>
  <c r="W17" i="5"/>
  <c r="W16" i="5"/>
  <c r="W15" i="5"/>
  <c r="W14" i="5"/>
  <c r="W11" i="5"/>
  <c r="U19" i="5"/>
  <c r="W19" i="5" s="1"/>
  <c r="U13" i="5"/>
  <c r="W13" i="5" s="1"/>
  <c r="U12" i="5"/>
  <c r="W12" i="5" s="1"/>
  <c r="U10" i="5"/>
  <c r="W10" i="5" s="1"/>
  <c r="V122" i="4"/>
  <c r="U122" i="4"/>
  <c r="V121" i="4"/>
  <c r="U121" i="4"/>
  <c r="V120" i="4"/>
  <c r="U120" i="4"/>
  <c r="V119" i="4"/>
  <c r="U119" i="4"/>
  <c r="V118" i="4"/>
  <c r="U118" i="4"/>
  <c r="V117" i="4"/>
  <c r="U117" i="4"/>
  <c r="V113" i="4"/>
  <c r="U113" i="4"/>
  <c r="V112" i="4"/>
  <c r="U112" i="4"/>
  <c r="V111" i="4"/>
  <c r="U111" i="4"/>
  <c r="V110" i="4"/>
  <c r="U110" i="4"/>
  <c r="V109" i="4"/>
  <c r="U109" i="4"/>
  <c r="V108" i="4"/>
  <c r="U108" i="4"/>
  <c r="T87" i="4"/>
  <c r="U87" i="4" s="1"/>
  <c r="R87" i="4"/>
  <c r="S87" i="4" s="1"/>
  <c r="T86" i="4"/>
  <c r="R86" i="4"/>
  <c r="S84" i="4" s="1"/>
  <c r="T84" i="4"/>
  <c r="U84" i="4" s="1"/>
  <c r="T83" i="4"/>
  <c r="U83" i="4" s="1"/>
  <c r="R83" i="4"/>
  <c r="S83" i="4" s="1"/>
  <c r="T82" i="4"/>
  <c r="U82" i="4" s="1"/>
  <c r="R82" i="4"/>
  <c r="S82" i="4" s="1"/>
  <c r="T81" i="4"/>
  <c r="U81" i="4" s="1"/>
  <c r="R81" i="4"/>
  <c r="S81" i="4" s="1"/>
  <c r="U80" i="4"/>
  <c r="S80" i="4"/>
  <c r="R80" i="4"/>
  <c r="T79" i="4"/>
  <c r="U79" i="4" s="1"/>
  <c r="S79" i="4"/>
  <c r="R79" i="4"/>
  <c r="T78" i="4"/>
  <c r="U78" i="4" s="1"/>
  <c r="S78" i="4"/>
  <c r="R78" i="4"/>
  <c r="T77" i="4"/>
  <c r="U77" i="4" s="1"/>
  <c r="S77" i="4"/>
  <c r="R77" i="4"/>
  <c r="R85" i="4" s="1"/>
  <c r="S85" i="4" s="1"/>
  <c r="T72" i="4"/>
  <c r="U68" i="4" s="1"/>
  <c r="R71" i="4"/>
  <c r="R72" i="4" s="1"/>
  <c r="T70" i="4"/>
  <c r="U70" i="4" s="1"/>
  <c r="T69" i="4"/>
  <c r="U69" i="4" s="1"/>
  <c r="L69" i="4"/>
  <c r="T68" i="4"/>
  <c r="L61" i="4"/>
  <c r="R48" i="4"/>
  <c r="R47" i="4"/>
  <c r="R46" i="4"/>
  <c r="R45" i="4"/>
  <c r="R49" i="4" s="1"/>
  <c r="T62" i="4"/>
  <c r="R62" i="4"/>
  <c r="T19" i="4"/>
  <c r="S19" i="4"/>
  <c r="T18" i="4"/>
  <c r="N84" i="4" s="1"/>
  <c r="O84" i="4" s="1"/>
  <c r="S18" i="4"/>
  <c r="L84" i="4" s="1"/>
  <c r="N61" i="4"/>
  <c r="T17" i="4"/>
  <c r="N17" i="4"/>
  <c r="S17" i="4"/>
  <c r="T16" i="4"/>
  <c r="S16" i="4"/>
  <c r="T15" i="4"/>
  <c r="S15" i="4"/>
  <c r="T14" i="4"/>
  <c r="N60" i="4"/>
  <c r="L60" i="4"/>
  <c r="T13" i="4"/>
  <c r="N82" i="4" s="1"/>
  <c r="O82" i="4" s="1"/>
  <c r="N59" i="4"/>
  <c r="S13" i="4"/>
  <c r="L82" i="4" s="1"/>
  <c r="T12" i="4"/>
  <c r="N81" i="4" s="1"/>
  <c r="O81" i="4" s="1"/>
  <c r="N58" i="4"/>
  <c r="L58" i="4"/>
  <c r="T11" i="4"/>
  <c r="N80" i="4" s="1"/>
  <c r="O80" i="4" s="1"/>
  <c r="N57" i="4"/>
  <c r="L57" i="4"/>
  <c r="T10" i="4"/>
  <c r="N79" i="4" s="1"/>
  <c r="O79" i="4" s="1"/>
  <c r="N56" i="4"/>
  <c r="L56" i="4"/>
  <c r="T9" i="4"/>
  <c r="N78" i="4" s="1"/>
  <c r="O78" i="4" s="1"/>
  <c r="N9" i="4"/>
  <c r="N55" i="4"/>
  <c r="L68" i="4"/>
  <c r="T8" i="4"/>
  <c r="N8" i="4"/>
  <c r="S8" i="4"/>
  <c r="T7" i="4"/>
  <c r="S7" i="4"/>
  <c r="N7" i="4"/>
  <c r="N70" i="4"/>
  <c r="T6" i="4"/>
  <c r="S6" i="4"/>
  <c r="T5" i="4"/>
  <c r="N77" i="4" s="1"/>
  <c r="N5" i="4"/>
  <c r="L54" i="4"/>
  <c r="N88" i="4"/>
  <c r="O88" i="4" s="1"/>
  <c r="N83" i="4" l="1"/>
  <c r="O83" i="4" s="1"/>
  <c r="T63" i="4"/>
  <c r="S48" i="4"/>
  <c r="S47" i="4"/>
  <c r="S46" i="4"/>
  <c r="S45" i="4"/>
  <c r="R63" i="4"/>
  <c r="S68" i="4"/>
  <c r="S69" i="4"/>
  <c r="S71" i="4"/>
  <c r="S70" i="4"/>
  <c r="K5" i="4" a="1"/>
  <c r="S10" i="4"/>
  <c r="L79" i="4" s="1"/>
  <c r="S11" i="4"/>
  <c r="L80" i="4" s="1"/>
  <c r="N69" i="4"/>
  <c r="T85" i="4"/>
  <c r="U85" i="4" s="1"/>
  <c r="N86" i="4"/>
  <c r="O86" i="4" s="1"/>
  <c r="S5" i="4"/>
  <c r="S12" i="4"/>
  <c r="L81" i="4" s="1"/>
  <c r="L4" i="4"/>
  <c r="S9" i="4"/>
  <c r="L78" i="4" s="1"/>
  <c r="S14" i="4"/>
  <c r="L83" i="4" s="1"/>
  <c r="N54" i="4"/>
  <c r="L55" i="4"/>
  <c r="L62" i="4" s="1"/>
  <c r="L59" i="4"/>
  <c r="N68" i="4"/>
  <c r="L70" i="4"/>
  <c r="T71" i="4"/>
  <c r="U71" i="4" s="1"/>
  <c r="U72" i="4" s="1"/>
  <c r="N87" i="4"/>
  <c r="O87" i="4" s="1"/>
  <c r="K14" i="4" a="1"/>
  <c r="L87" i="4" l="1"/>
  <c r="M87" i="4" s="1"/>
  <c r="M61" i="4"/>
  <c r="M56" i="4"/>
  <c r="M58" i="4"/>
  <c r="M57" i="4"/>
  <c r="M54" i="4"/>
  <c r="M60" i="4"/>
  <c r="S60" i="4"/>
  <c r="S58" i="4"/>
  <c r="S56" i="4"/>
  <c r="S54" i="4"/>
  <c r="S61" i="4"/>
  <c r="S59" i="4"/>
  <c r="S57" i="4"/>
  <c r="S55" i="4"/>
  <c r="U61" i="4"/>
  <c r="U59" i="4"/>
  <c r="U57" i="4"/>
  <c r="U55" i="4"/>
  <c r="U60" i="4"/>
  <c r="U58" i="4"/>
  <c r="U56" i="4"/>
  <c r="U54" i="4"/>
  <c r="K14" i="4"/>
  <c r="N62" i="4"/>
  <c r="L5" i="4" a="1"/>
  <c r="L5" i="4" s="1"/>
  <c r="L14" i="4" a="1"/>
  <c r="L14" i="4" s="1"/>
  <c r="N71" i="4"/>
  <c r="O70" i="4" s="1"/>
  <c r="L71" i="4"/>
  <c r="U62" i="4"/>
  <c r="M10" i="4"/>
  <c r="O10" i="4" s="1"/>
  <c r="K5" i="4"/>
  <c r="S72" i="4"/>
  <c r="M59" i="4"/>
  <c r="L86" i="4"/>
  <c r="M79" i="4" s="1"/>
  <c r="L77" i="4"/>
  <c r="M77" i="4" s="1"/>
  <c r="M55" i="4"/>
  <c r="L88" i="4"/>
  <c r="M88" i="4" s="1"/>
  <c r="S62" i="4"/>
  <c r="S49" i="4"/>
  <c r="O77" i="4"/>
  <c r="O69" i="4" l="1"/>
  <c r="M8" i="4"/>
  <c r="O8" i="4" s="1"/>
  <c r="O68" i="4"/>
  <c r="M86" i="4"/>
  <c r="M84" i="4"/>
  <c r="M82" i="4"/>
  <c r="M13" i="4"/>
  <c r="O13" i="4" s="1"/>
  <c r="M12" i="4"/>
  <c r="O12" i="4" s="1"/>
  <c r="M11" i="4"/>
  <c r="O11" i="4" s="1"/>
  <c r="M81" i="4"/>
  <c r="M78" i="4"/>
  <c r="M83" i="4"/>
  <c r="M6" i="4"/>
  <c r="O6" i="4" s="1"/>
  <c r="M7" i="4"/>
  <c r="O7" i="4" s="1"/>
  <c r="O71" i="4"/>
  <c r="O57" i="4"/>
  <c r="O60" i="4"/>
  <c r="O59" i="4"/>
  <c r="O58" i="4"/>
  <c r="O61" i="4"/>
  <c r="O55" i="4"/>
  <c r="O56" i="4"/>
  <c r="M16" i="4"/>
  <c r="O16" i="4" s="1"/>
  <c r="U63" i="4"/>
  <c r="S63" i="4"/>
  <c r="M80" i="4"/>
  <c r="M5" i="4"/>
  <c r="M9" i="4"/>
  <c r="O9" i="4" s="1"/>
  <c r="M69" i="4"/>
  <c r="M68" i="4"/>
  <c r="O54" i="4"/>
  <c r="M19" i="4"/>
  <c r="M70" i="4"/>
  <c r="M15" i="4"/>
  <c r="O15" i="4" s="1"/>
  <c r="M14" i="4"/>
  <c r="O14" i="4" s="1"/>
  <c r="M17" i="4"/>
  <c r="O17" i="4" s="1"/>
  <c r="M62" i="4"/>
  <c r="J25" i="3"/>
  <c r="C25" i="3"/>
  <c r="J24" i="3"/>
  <c r="C24" i="3"/>
  <c r="H15" i="2"/>
  <c r="H14" i="2"/>
  <c r="H12" i="2"/>
  <c r="H11" i="2"/>
  <c r="C29" i="2" s="1"/>
  <c r="H10" i="2"/>
  <c r="H8" i="2"/>
  <c r="H7" i="2"/>
  <c r="H6" i="2"/>
  <c r="C30" i="2" s="1"/>
  <c r="O62" i="4" l="1"/>
  <c r="L24" i="4"/>
  <c r="L23" i="4"/>
  <c r="O5" i="4"/>
  <c r="L22" i="4"/>
  <c r="M71" i="4"/>
  <c r="O19" i="4"/>
  <c r="O18" i="4"/>
  <c r="L25" i="4" l="1"/>
  <c r="L48" i="4"/>
  <c r="L47" i="4"/>
  <c r="L46" i="4"/>
  <c r="L45" i="4"/>
  <c r="L49" i="4" l="1"/>
  <c r="M45" i="4" s="1"/>
  <c r="M48" i="4" l="1"/>
  <c r="M47" i="4"/>
  <c r="M46" i="4"/>
  <c r="M4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tc={B5DC5291-6A6D-48C7-A6C7-D48CFE382A60}</author>
    <author>tc={554B21F3-EFB7-49C5-962B-7A8B26EF7170}</author>
    <author>tc={8A7D8302-9A73-4C71-B1C6-4B3DCE14D226}</author>
    <author>tc={EC31951F-36DB-4BB9-889B-66C815AE699D}</author>
    <author>tc={0366A16D-EEAC-403F-96A9-4310780EA050}</author>
    <author>tc={4262ED9D-7D4D-4979-A886-69ABD815975C}</author>
    <author>tc={D776B7B1-62B5-4346-9580-94152522D5BD}</author>
    <author>tc={BA761599-396A-49D5-AA6D-4BC19FBDF2BD}</author>
    <author>tc={E320C1C6-DE32-49A6-870A-0918B7BE0E85}</author>
    <author>tc={21204627-F6DC-4143-9567-33068CB8C7FA}</author>
    <author>tc={9873AE17-3FF6-4804-B27E-E3E701DD8B0C}</author>
    <author>tc={56DB3520-C5F7-4FA4-B4D9-82B6B2808C68}</author>
    <author>tc={91993813-061C-47E7-A3AB-2463BC6DB191}</author>
    <author>tc={10EC9C8E-F434-45E3-B814-D8578688DD09}</author>
    <author>tc={2E6F47D5-070C-44D3-BAB1-67ADAE18466B}</author>
    <author>tc={0023FFC6-039A-46E8-8E63-6F287132D253}</author>
    <author>tc={70A75F81-4CAB-4384-A689-206C8CFA0516}</author>
    <author>tc={99DC78EC-4683-44A1-AD26-041BE706B124}</author>
    <author>tc={CD64E6C6-5474-4A71-9BAB-A199E58F34DC}</author>
    <author>tc={D2921E57-2D44-4B35-989E-5AA00252E3C8}</author>
    <author>tc={1371A6D2-3AC0-4404-BBF4-3F45CF4B722B}</author>
    <author>tc={7AF6FB8E-74D6-4C88-BA41-503CE35E7727}</author>
    <author>tc={4D46370C-7FFD-4489-9A9B-2DC1439F982E}</author>
  </authors>
  <commentList>
    <comment ref="P3" authorId="0" shapeId="0" xr:uid="{B5DC5291-6A6D-48C7-A6C7-D48CFE382A60}">
      <text>
        <t>[Comentario encadenado]
Su versión de Excel le permite leer este comentario encadenado; sin embargo, las ediciones que se apliquen se quitarán si el archivo se abre en una versión más reciente de Excel. Más información: https://go.microsoft.com/fwlink/?linkid=870924
Comentario:
    BP is Beam Pump, PCP is Progressive Cavity Pump, ESP is Electrical Submersible Pump</t>
      </text>
    </comment>
    <comment ref="Q3" authorId="1" shapeId="0" xr:uid="{554B21F3-EFB7-49C5-962B-7A8B26EF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WI is Water Injection; GI is Gas Injection</t>
      </text>
    </comment>
    <comment ref="R3" authorId="2" shapeId="0" xr:uid="{8A7D8302-9A73-4C71-B1C6-4B3DCE14D226}">
      <text>
        <t>[Comentario encadenado]
Su versión de Excel le permite leer este comentario encadenado; sin embargo, las ediciones que se apliquen se quitarán si el archivo se abre en una versión más reciente de Excel. Más información: https://go.microsoft.com/fwlink/?linkid=870924
Comentario:
    SI is Steam Injection; AI is Air Injection; CHI is Chemical Inyection (includes Polymer and/or surfractant injection); nnI is Nanofluids Inections; NI is Nitrogen Injection; SAG is surfractang alternative gas</t>
      </text>
    </comment>
    <comment ref="Q43" authorId="3" shapeId="0" xr:uid="{EC31951F-36DB-4BB9-889B-66C815AE699D}">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ANH (https://www.anh.gov.co/documents/4172/Cuencas_Sedimentarias_de_Colombia_PDF.pdf)</t>
      </text>
    </comment>
    <comment ref="Q66" authorId="4" shapeId="0" xr:uid="{0366A16D-EEAC-403F-96A9-4310780EA05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Upstream Characterization UPME (2021)</t>
      </text>
    </comment>
    <comment ref="T72" authorId="5" shapeId="0" xr:uid="{4262ED9D-7D4D-4979-A886-69ABD815975C}">
      <text>
        <t>[Comentario encadenado]
Su versión de Excel le permite leer este comentario encadenado; sin embargo, las ediciones que se apliquen se quitarán si el archivo se abre en una versión más reciente de Excel. Más información: https://go.microsoft.com/fwlink/?linkid=870924
Comentario:
    ANH use to report de fiscalized gas that includes:  Gas lift + Reinjected gas + Gas to plant + transformed gas + gas to gaseoduct.
In 2018 the fiscalized gas production was 2253 Mscf/d, but the commercialized gas production was 1050 Mscf/d.
in 2010 the commercialized gas was 1040 Mscf/d.
Respuesta:
    https://www.valoraanalitik.com/2019/01/16/colombia-cerro-el-2018-con-record-en-produccion-de-gas-y-petroleo/</t>
      </text>
    </comment>
    <comment ref="R76" authorId="6" shapeId="0" xr:uid="{D776B7B1-62B5-4346-9580-94152522D5BD}">
      <text>
        <t>[Comentario encadenado]
Su versión de Excel le permite leer este comentario encadenado; sin embargo, las ediciones que se apliquen se quitarán si el archivo se abre en una versión más reciente de Excel. Más información: https://go.microsoft.com/fwlink/?linkid=870924
Comentario:
    Data from ANH report: Reserves 2018</t>
      </text>
    </comment>
    <comment ref="T77" authorId="7" shapeId="0" xr:uid="{BA761599-396A-49D5-AA6D-4BC19FBDF2BD}">
      <text>
        <t>[Comentario encadenado]
Su versión de Excel le permite leer este comentario encadenado; sin embargo, las ediciones que se apliquen se quitarán si el archivo se abre en una versión más reciente de Excel. Más información: https://go.microsoft.com/fwlink/?linkid=870924
Comentario:
    Chichimene + Apiay + 10 oilfields</t>
      </text>
    </comment>
    <comment ref="R78" authorId="8" shapeId="0" xr:uid="{E320C1C6-DE32-49A6-870A-0918B7BE0E85}">
      <text>
        <t>[Comentario encadenado]
Su versión de Excel le permite leer este comentario encadenado; sin embargo, las ediciones que se apliquen se quitarán si el archivo se abre en una versión más reciente de Excel. Más información: https://go.microsoft.com/fwlink/?linkid=870924
Comentario:
    Infantas + la Cira + Lisama + LLanito + Yarigui-Cantagallo</t>
      </text>
    </comment>
    <comment ref="T78" authorId="9" shapeId="0" xr:uid="{21204627-F6DC-4143-9567-33068CB8C7FA}">
      <text>
        <t>[Comentario encadenado]
Su versión de Excel le permite leer este comentario encadenado; sin embargo, las ediciones que se apliquen se quitarán si el archivo se abre en una versión más reciente de Excel. Más información: https://go.microsoft.com/fwlink/?linkid=870924
Comentario:
    Cira + Infantas + Yarigui-Cantagallo +12 oilfields</t>
      </text>
    </comment>
    <comment ref="R79" authorId="10" shapeId="0" xr:uid="{9873AE17-3FF6-4804-B27E-E3E701DD8B0C}">
      <text>
        <t>[Comentario encadenado]
Su versión de Excel le permite leer este comentario encadenado; sin embargo, las ediciones que se apliquen se quitarán si el archivo se abre en una versión más reciente de Excel. Más información: https://go.microsoft.com/fwlink/?linkid=870924
Comentario:
    Caño limon + 24 campos</t>
      </text>
    </comment>
    <comment ref="T79" authorId="11" shapeId="0" xr:uid="{56DB3520-C5F7-4FA4-B4D9-82B6B2808C68}">
      <text>
        <t>[Comentario encadenado]
Su versión de Excel le permite leer este comentario encadenado; sin embargo, las ediciones que se apliquen se quitarán si el archivo se abre en una versión más reciente de Excel. Más información: https://go.microsoft.com/fwlink/?linkid=870924
Comentario:
    Andina + Capachos</t>
      </text>
    </comment>
    <comment ref="R80" authorId="12" shapeId="0" xr:uid="{91993813-061C-47E7-A3AB-2463BC6DB191}">
      <text>
        <t>[Comentario encadenado]
Su versión de Excel le permite leer este comentario encadenado; sin embargo, las ediciones que se apliquen se quitarán si el archivo se abre en una versión más reciente de Excel. Más información: https://go.microsoft.com/fwlink/?linkid=870924
Comentario:
    Boquete + cicuco (Yarigui-Cantagallo is not considered as part of Bolivar Department but Santander)</t>
      </text>
    </comment>
    <comment ref="R81" authorId="13" shapeId="0" xr:uid="{10EC9C8E-F434-45E3-B814-D8578688DD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Nare + Peñas Blancas + Teca-Corcona</t>
      </text>
    </comment>
    <comment ref="T81" authorId="14" shapeId="0" xr:uid="{2E6F47D5-070C-44D3-BAB1-67ADAE1846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Peñas Blancas</t>
      </text>
    </comment>
    <comment ref="R82" authorId="15" shapeId="0" xr:uid="{0023FFC6-039A-46E8-8E63-6F287132D253}">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Girasol + Moriche + Velasquez + 8 oilfields</t>
      </text>
    </comment>
    <comment ref="T82" authorId="16" shapeId="0" xr:uid="{70A75F81-4CAB-4384-A689-206C8CFA0516}">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+ 5 gasfields</t>
      </text>
    </comment>
    <comment ref="T83" authorId="17" shapeId="0" xr:uid="{99DC78EC-4683-44A1-AD26-041BE706B124}">
      <text>
        <t>[Comentario encadenado]
Su versión de Excel le permite leer este comentario encadenado; sin embargo, las ediciones que se apliquen se quitarán si el archivo se abre en una versión más reciente de Excel. Más información: https://go.microsoft.com/fwlink/?linkid=870924
Comentario:
    Cupiagua + Cusiana + Pauto + 9 gasfields</t>
      </text>
    </comment>
    <comment ref="T84" authorId="18" shapeId="0" xr:uid="{CD64E6C6-5474-4A71-9BAB-A199E58F34DC}">
      <text>
        <t>[Comentario encadenado]
Su versión de Excel le permite leer este comentario encadenado; sin embargo, las ediciones que se apliquen se quitarán si el archivo se abre en una versión más reciente de Excel. Más información: https://go.microsoft.com/fwlink/?linkid=870924
Comentario:
    Ballena + Chuchupa</t>
      </text>
    </comment>
    <comment ref="R87" authorId="19" shapeId="0" xr:uid="{D2921E57-2D44-4B35-989E-5AA00252E3C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T87" authorId="20" shapeId="0" xr:uid="{1371A6D2-3AC0-4404-BBF4-3F45CF4B722B}">
      <text>
        <t>[Comentario encadenado]
Su versión de Excel le permite leer este comentario encadenado; sin embargo, las ediciones que se apliquen se quitarán si el archivo se abre en una versión más reciente de Excel. Más información: https://go.microsoft.com/fwlink/?linkid=870924
Comentario:
    1 Equivalent oil barrel is about 5800 scf</t>
      </text>
    </comment>
    <comment ref="R97" authorId="21" shapeId="0" xr:uid="{7AF6FB8E-74D6-4C88-BA41-503CE35E772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Q104" authorId="22" shapeId="0" xr:uid="{4D46370C-7FFD-4489-9A9B-2DC1439F982E}">
      <text>
        <t>[Comentario encadenado]
Su versión de Excel le permite leer este comentario encadenado; sin embargo, las ediciones que se apliquen se quitarán si el archivo se abre en una versión más reciente de Excel. Más información: https://go.microsoft.com/fwlink/?linkid=870924
Comentario:
    Boletin Estadistico UPME 2016-2020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U22" authorId="0" shapeId="0" xr:uid="{9A7E7D35-8E04-4306-B9E3-CEF0D97B40FA}">
      <text>
        <r>
          <rPr>
            <b/>
            <sz val="9"/>
            <color indexed="81"/>
            <rFont val="Tahoma"/>
            <family val="2"/>
          </rPr>
          <t>JULIAN:</t>
        </r>
        <r>
          <rPr>
            <sz val="9"/>
            <color indexed="81"/>
            <rFont val="Tahoma"/>
            <family val="2"/>
          </rPr>
          <t xml:space="preserve">
spe-171080-ms</t>
        </r>
      </text>
    </comment>
    <comment ref="U23" authorId="0" shapeId="0" xr:uid="{DEED395F-1D1B-424C-A1A8-2483B506D4A8}">
      <text>
        <r>
          <rPr>
            <b/>
            <sz val="9"/>
            <color indexed="81"/>
            <rFont val="Tahoma"/>
            <family val="2"/>
          </rPr>
          <t>JULIAN:</t>
        </r>
        <r>
          <rPr>
            <sz val="9"/>
            <color indexed="81"/>
            <rFont val="Tahoma"/>
            <family val="2"/>
          </rPr>
          <t xml:space="preserve">
spe-165273-ms</t>
        </r>
      </text>
    </comment>
    <comment ref="F24" authorId="0" shapeId="0" xr:uid="{3AEA3F1E-ACF2-42CF-9928-7D104AA72A5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U24" authorId="0" shapeId="0" xr:uid="{721FB5EC-A40A-4A58-9A4A-3D991283EEA3}">
      <text>
        <r>
          <rPr>
            <b/>
            <sz val="9"/>
            <color indexed="81"/>
            <rFont val="Tahoma"/>
            <family val="2"/>
          </rPr>
          <t>JULIAN:</t>
        </r>
        <r>
          <rPr>
            <sz val="9"/>
            <color indexed="81"/>
            <rFont val="Tahoma"/>
            <family val="2"/>
          </rPr>
          <t xml:space="preserve">
spe-138979-ms</t>
        </r>
      </text>
    </comment>
    <comment ref="U25" authorId="0" shapeId="0" xr:uid="{021120BA-4355-4767-B534-349B36E47141}">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U26" authorId="0" shapeId="0" xr:uid="{AB424C1A-019E-4FB3-9CA1-987A9D0ACC1F}">
      <text>
        <r>
          <rPr>
            <b/>
            <sz val="9"/>
            <color indexed="81"/>
            <rFont val="Tahoma"/>
            <family val="2"/>
          </rPr>
          <t>JULIAN:</t>
        </r>
        <r>
          <rPr>
            <sz val="9"/>
            <color indexed="81"/>
            <rFont val="Tahoma"/>
            <family val="2"/>
          </rPr>
          <t xml:space="preserve">
9-16 api</t>
        </r>
      </text>
    </comment>
    <comment ref="U27" authorId="0" shapeId="0" xr:uid="{03F48D67-635D-40EF-8147-C3E6BDC78A04}">
      <text>
        <r>
          <rPr>
            <b/>
            <sz val="9"/>
            <color indexed="81"/>
            <rFont val="Tahoma"/>
            <family val="2"/>
          </rPr>
          <t>JULIAN:</t>
        </r>
        <r>
          <rPr>
            <sz val="9"/>
            <color indexed="81"/>
            <rFont val="Tahoma"/>
            <family val="2"/>
          </rPr>
          <t xml:space="preserve">
Solo vapor.</t>
        </r>
      </text>
    </comment>
    <comment ref="U29" authorId="0" shapeId="0" xr:uid="{8FF7CB05-762A-4817-8177-C646D05EFBD9}">
      <text>
        <r>
          <rPr>
            <b/>
            <sz val="9"/>
            <color indexed="81"/>
            <rFont val="Tahoma"/>
            <family val="2"/>
          </rPr>
          <t>JULIAN:</t>
        </r>
        <r>
          <rPr>
            <sz val="9"/>
            <color indexed="81"/>
            <rFont val="Tahoma"/>
            <family val="2"/>
          </rPr>
          <t xml:space="preserve">
http://www.scielo.org.co/scielo.php?script=sci_arttext&amp;pid=S0122-53832001000100009
Usa gas lift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0"/>
        </ext>
      </extLst>
    </bk>
    <bk>
      <extLst>
        <ext uri="{3e2802c4-a4d2-4d8b-9148-e3be6c30e623}">
          <xlrd:rvb i="10"/>
        </ext>
      </extLst>
    </bk>
    <bk>
      <extLst>
        <ext uri="{3e2802c4-a4d2-4d8b-9148-e3be6c30e623}">
          <xlrd:rvb i="18"/>
        </ext>
      </extLst>
    </bk>
    <bk>
      <extLst>
        <ext uri="{3e2802c4-a4d2-4d8b-9148-e3be6c30e623}">
          <xlrd:rvb i="26"/>
        </ext>
      </extLst>
    </bk>
    <bk>
      <extLst>
        <ext uri="{3e2802c4-a4d2-4d8b-9148-e3be6c30e623}">
          <xlrd:rvb i="35"/>
        </ext>
      </extLst>
    </bk>
    <bk>
      <extLst>
        <ext uri="{3e2802c4-a4d2-4d8b-9148-e3be6c30e623}">
          <xlrd:rvb i="44"/>
        </ext>
      </extLst>
    </bk>
    <bk>
      <extLst>
        <ext uri="{3e2802c4-a4d2-4d8b-9148-e3be6c30e623}">
          <xlrd:rvb i="52"/>
        </ext>
      </extLst>
    </bk>
    <bk>
      <extLst>
        <ext uri="{3e2802c4-a4d2-4d8b-9148-e3be6c30e623}">
          <xlrd:rvb i="61"/>
        </ext>
      </extLst>
    </bk>
    <bk>
      <extLst>
        <ext uri="{3e2802c4-a4d2-4d8b-9148-e3be6c30e623}">
          <xlrd:rvb i="70"/>
        </ext>
      </extLst>
    </bk>
    <bk>
      <extLst>
        <ext uri="{3e2802c4-a4d2-4d8b-9148-e3be6c30e623}">
          <xlrd:rvb i="78"/>
        </ext>
      </extLst>
    </bk>
    <bk>
      <extLst>
        <ext uri="{3e2802c4-a4d2-4d8b-9148-e3be6c30e623}">
          <xlrd:rvb i="86"/>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sharedStrings.xml><?xml version="1.0" encoding="utf-8"?>
<sst xmlns="http://schemas.openxmlformats.org/spreadsheetml/2006/main" count="1185" uniqueCount="542">
  <si>
    <t>2. Oil and Gas Production by Oilfield (TOP 5) at 2018</t>
  </si>
  <si>
    <t>Characteristic / Main features</t>
  </si>
  <si>
    <t>Order by oil production</t>
  </si>
  <si>
    <t>Department</t>
  </si>
  <si>
    <t>City-town-location</t>
  </si>
  <si>
    <t>Basin</t>
  </si>
  <si>
    <t>Oilfield</t>
  </si>
  <si>
    <t>Company</t>
  </si>
  <si>
    <t>Oil Production [B/d]</t>
  </si>
  <si>
    <t>Gas commercialized [Mscf/d]
= to Plant + to pipelines (Jun/2018)</t>
  </si>
  <si>
    <t>Gas Production [Mscf/d]</t>
  </si>
  <si>
    <t>API Gravity</t>
  </si>
  <si>
    <t>Viscocity</t>
  </si>
  <si>
    <t>Year of initial production</t>
  </si>
  <si>
    <t>Primary production formation</t>
  </si>
  <si>
    <t>Porosity (%)</t>
  </si>
  <si>
    <t>Permeability (mD)</t>
  </si>
  <si>
    <t xml:space="preserve">Reserves </t>
  </si>
  <si>
    <t>FR [%]</t>
  </si>
  <si>
    <t>Primary method</t>
  </si>
  <si>
    <t>Artificial lift method</t>
  </si>
  <si>
    <t>Water production</t>
  </si>
  <si>
    <t>Gas production</t>
  </si>
  <si>
    <t>Secondary production</t>
  </si>
  <si>
    <t>Tertiary production</t>
  </si>
  <si>
    <t>Special considerations</t>
  </si>
  <si>
    <t>Meta</t>
  </si>
  <si>
    <t>Puerto Gaitan</t>
  </si>
  <si>
    <t>Llanos Orientales</t>
  </si>
  <si>
    <t>Rubiales</t>
  </si>
  <si>
    <t>ECP</t>
  </si>
  <si>
    <t>-</t>
  </si>
  <si>
    <t>11.3 - 14.4</t>
  </si>
  <si>
    <t>310 - 730 cP @147F</t>
  </si>
  <si>
    <t>1980 (discovered) 2003-2006 (production)</t>
  </si>
  <si>
    <t>Carbonera "Arenas Basales"</t>
  </si>
  <si>
    <t>0.25 - 0.32</t>
  </si>
  <si>
    <t>5000, 50000 (5 - 13 D RU3)</t>
  </si>
  <si>
    <t>OOIP = 4608 MSTB, Reserves (2011) = 385 MSTB</t>
  </si>
  <si>
    <t>3.7% (2011)</t>
  </si>
  <si>
    <t>Water bottom drive</t>
  </si>
  <si>
    <t>PCP, ESP</t>
  </si>
  <si>
    <t>BS&amp;W = 81% (emulsion state)</t>
  </si>
  <si>
    <t>GOR = 5 - 8 scf/STB</t>
  </si>
  <si>
    <t>88% of wells are horizontals (RU 2). ALS information is contained in RU1</t>
  </si>
  <si>
    <t>Acacias/Castilla Nueva</t>
  </si>
  <si>
    <t>Castilla (c, e, n, n)</t>
  </si>
  <si>
    <t>150 cp</t>
  </si>
  <si>
    <t xml:space="preserve">1969 (discovered) and </t>
  </si>
  <si>
    <t>Guadalupe (K2, k1)</t>
  </si>
  <si>
    <t>0.2, 16-22 (CAS 2)</t>
  </si>
  <si>
    <t>500 - 10000 Md</t>
  </si>
  <si>
    <t>OOIP= 1900 MBBL (K2) OOIP= 900 MSTB (K1)</t>
  </si>
  <si>
    <t>FR=15%  Np= 198 MSTB (2007)</t>
  </si>
  <si>
    <t>Active-bottom aquifer</t>
  </si>
  <si>
    <t>ESP</t>
  </si>
  <si>
    <t>205 MBWPD</t>
  </si>
  <si>
    <t xml:space="preserve">Water injection </t>
  </si>
  <si>
    <t>Nanofluids</t>
  </si>
  <si>
    <t>Multilateral wells reduces water cut and boost oil production. CAS 1 (Some date about drilling costs). CAS2  (Nanofluids)</t>
  </si>
  <si>
    <t>Acacias/Guamal</t>
  </si>
  <si>
    <t>Chichimene</t>
  </si>
  <si>
    <t>20 (Guadalupe) / 7-9 (San Fernando)</t>
  </si>
  <si>
    <t>150-500 cp@150F (Guadalupe) and 2000-7000 cp@180F (San Fernando)</t>
  </si>
  <si>
    <t>1969 (discovered) and 1985 (production). Since 2000 is operated by ECP</t>
  </si>
  <si>
    <t>San Fernando T2, Guadalupe K1-K2</t>
  </si>
  <si>
    <t xml:space="preserve">16-22% (Guadalupe), 16-20% (San Fernando) </t>
  </si>
  <si>
    <t>500 - 10000 mD (Guadalupe) 800 - 4000 mD (San Fernando)</t>
  </si>
  <si>
    <t>OOIP = 247 MSTB (Guadalupe) and OOIP= 2577 MST (San Fernando)</t>
  </si>
  <si>
    <t>FR=16.92% (Np=41.80 MSTB)</t>
  </si>
  <si>
    <t>Gas in solution (San Fernando) and Active Aquifer (Guadalupe)</t>
  </si>
  <si>
    <t>93% of wells uses ESP, the others use PCP</t>
  </si>
  <si>
    <t>BSW=90-95% (Guadalupe) and BSW=10% (San Fernando)</t>
  </si>
  <si>
    <t>GOR= 0 (Guadalupe) GOR=200-500 scf/STB (San Fernando)</t>
  </si>
  <si>
    <t xml:space="preserve">Water injection to pressure maintenance </t>
  </si>
  <si>
    <t>ISC, Nanofluids injection</t>
  </si>
  <si>
    <t>ISC (CHI 1), Reducing skin through ChemInj (CHI 2), 70,000 bbl water is discharged (CHI 8), comparision between ESP - PCP (CHI 7, 3)</t>
  </si>
  <si>
    <t>Santander</t>
  </si>
  <si>
    <t>Barrancabermeja</t>
  </si>
  <si>
    <t>VMM</t>
  </si>
  <si>
    <t>La Cira</t>
  </si>
  <si>
    <t>20 - 25</t>
  </si>
  <si>
    <t>10 - 40cP</t>
  </si>
  <si>
    <t>1918 (discovered and produced)</t>
  </si>
  <si>
    <t>Colorado (Sand A), Mugrosa (Sand B and C). Sand C contributes over 90% oil production and reserves</t>
  </si>
  <si>
    <t xml:space="preserve">22% (Sand C), </t>
  </si>
  <si>
    <t>50 - 2000 Md</t>
  </si>
  <si>
    <t>OOIP=  3900 MSTB (CIRA 11), Reserves = 172 MMSTO (CIRA 10)</t>
  </si>
  <si>
    <t>FR = 13% (Primary production until 1957), FR= 3% (Waterflooding 1959-2005) FR= 3% (Waterflooding 2005-2018)</t>
  </si>
  <si>
    <t>BP 760 wells (76%), PCP 135 wells (14%), ESP 99 wells (10%), ESPCP 6 wells (2014)</t>
  </si>
  <si>
    <t>Produced 506000 BWPD  and Injected 618000 BWIPD (2018), Water-cut=90%.</t>
  </si>
  <si>
    <t>150 scf/STB</t>
  </si>
  <si>
    <t>Gas injection / Water Injection (since 60s) / Water injection optimization (2006)</t>
  </si>
  <si>
    <t>2014 the field has 1000 producing wells and 408 injectors (CIRA 2). 95% producing wells are under waterflooding (CIRA 9)</t>
  </si>
  <si>
    <t>Quifa</t>
  </si>
  <si>
    <t>Frontera</t>
  </si>
  <si>
    <t>13 - 14</t>
  </si>
  <si>
    <t>180 - 300 cP@Reservoir</t>
  </si>
  <si>
    <t>2008 (discovered) 2010 (production)</t>
  </si>
  <si>
    <t>0.25 - 0.33</t>
  </si>
  <si>
    <t>5000 - 10000</t>
  </si>
  <si>
    <t>OOIP= 1500 MBBL</t>
  </si>
  <si>
    <t>12% Vertical wells, 22.3% horizontal wells (all primary production), 30% ISC</t>
  </si>
  <si>
    <t>Mainly ESP. PCP</t>
  </si>
  <si>
    <t>BS&amp;W &gt; 90% (emulsion state)</t>
  </si>
  <si>
    <t>GOR = 7 - 8 scf/STB</t>
  </si>
  <si>
    <t>ISC (2011 - 2014) Pilot</t>
  </si>
  <si>
    <t>QU 2, 3 (ISC) Q5 (Treatment), QU 7 (ALS)</t>
  </si>
  <si>
    <t>Arauca</t>
  </si>
  <si>
    <t>Llanos Orientales*</t>
  </si>
  <si>
    <t>Caño Limon</t>
  </si>
  <si>
    <t>OXY</t>
  </si>
  <si>
    <t>1983 (discovered)</t>
  </si>
  <si>
    <t>Carbonera, Units K1, K2, K3</t>
  </si>
  <si>
    <t>500 - 5000</t>
  </si>
  <si>
    <t>Reserves more than 1 MMSTB, OOIP 1.7 MMSTB</t>
  </si>
  <si>
    <t>FR=58% (1995)</t>
  </si>
  <si>
    <t>Edge-water drive</t>
  </si>
  <si>
    <t>ESP (304 in 2006) nearly 98% of active wells</t>
  </si>
  <si>
    <t>Watercut=80% this is 1 MBWD (1995), Watercut= 93% this is 2.851.721 barrels of fluids  ( CAÑO 3, 2012)</t>
  </si>
  <si>
    <t>GOR = 6 scf/STB</t>
  </si>
  <si>
    <t>Waterflooding</t>
  </si>
  <si>
    <t>394 productor wells, 9 injection wells (2012 according to CAÑO 3).  Waterflooding (CAÑO 7)
ALS consumes nearly 75% of the energy in the oilfield, and the 25% is consumed by production facilities, injection water.  Nearly 50% of the energy generated is based on diesel (CAÑO 3). Cost of energy generated is U S86/MWh and purchased energy 83 UAS/MWh, for a total an annual 96,000,000 USD</t>
  </si>
  <si>
    <t>Bolivar</t>
  </si>
  <si>
    <t>Puerto Wilches</t>
  </si>
  <si>
    <t>Yarigui-Cantagallo</t>
  </si>
  <si>
    <t>24 cP@ReservoirTemperature</t>
  </si>
  <si>
    <t>1940 (discovered) 1941 (production)</t>
  </si>
  <si>
    <t>Mainly Cantagallo sands. Mugrosa, La Paz</t>
  </si>
  <si>
    <t>0.18 - 20</t>
  </si>
  <si>
    <t>50 - 182 Md</t>
  </si>
  <si>
    <t>OOIP= 1,048 MMSTB (77% of the total)in 2015. YARI 7OOIP= 750 MMSTB in 1974.</t>
  </si>
  <si>
    <t>FR= 20.7%, Np= 155 MMSTB in 1999</t>
  </si>
  <si>
    <t xml:space="preserve">Gas in solution / water drive </t>
  </si>
  <si>
    <t>WaterCut&gt;90% (YARI 3)</t>
  </si>
  <si>
    <t>Waterflooding since 2008</t>
  </si>
  <si>
    <t>Polymer Injection</t>
  </si>
  <si>
    <t>Sand production represents costs about 913,860 USD/y (YARI 4). Waterflooding will incorporate 35  MMSTB of reserves (YARI 5). Cost data about PI is in YARI 7.</t>
  </si>
  <si>
    <t>Antioquia</t>
  </si>
  <si>
    <t>Yondo</t>
  </si>
  <si>
    <t>Casabe</t>
  </si>
  <si>
    <t>1941 (discovered)</t>
  </si>
  <si>
    <t>La Paz, Mugrosa, Colorado</t>
  </si>
  <si>
    <t>10 - 300 mD</t>
  </si>
  <si>
    <t>OOIP= 1,700 MSTB. Np= 350 MMSTB (CASA 3)</t>
  </si>
  <si>
    <t>FR@ Primary= 13% (CASA 7). FR@ Secondary=3.4%, FR@ SecondarySelective= 5.4% (CASA 5).
FR=19% (CASA 3)</t>
  </si>
  <si>
    <t>Fluid and rock expansion, solution gas drive</t>
  </si>
  <si>
    <t>PCP (61%) BP (35%)</t>
  </si>
  <si>
    <t xml:space="preserve">Watercut= 80% </t>
  </si>
  <si>
    <t>Waterflooding since 1985. Water Injection 125,000 BWPD (CASA 6). 1 BOPD to 6 BWPD (CASA 5)</t>
  </si>
  <si>
    <t>Oil, water produced and injected data (CASA 1). Water Injection Plant energy consumption (CASA 1).
ALS data  in (CASA 4)</t>
  </si>
  <si>
    <t>Boyaca</t>
  </si>
  <si>
    <t>Puerto Boyaca</t>
  </si>
  <si>
    <t>Moriche</t>
  </si>
  <si>
    <t>Mansarovar</t>
  </si>
  <si>
    <t>800 - 2600cP</t>
  </si>
  <si>
    <t>1983 (discovered) and 2008 (produced)</t>
  </si>
  <si>
    <t>Sand A and B (Chuspas Group)</t>
  </si>
  <si>
    <t>0.2 - 0.28</t>
  </si>
  <si>
    <t>300 - 2000 Md</t>
  </si>
  <si>
    <t>Np= 7 MMSTB (MORI 1), Reserves (2021)= 46 MMBL, OOIP= 1072 MMBL</t>
  </si>
  <si>
    <t>FR= 2% (MORI 1), FR= 6.3% (MORI 6)</t>
  </si>
  <si>
    <t>Gas solution, parcial water drive</t>
  </si>
  <si>
    <t>BP</t>
  </si>
  <si>
    <t>CSS (OSR)&lt; 1 STB/MMBTU</t>
  </si>
  <si>
    <t>604 wells: 522 producers and 13 injectors (MORI 2 - 2016). Energy requirements for CSS 10900 MMBTU/D (MORI 2). GHG Emissions 420.404 CO2eq (MORI 2), 10% by flaring. Steam injected is abouyt 27,000 MMBTU at 80% quality (MARI 3)</t>
  </si>
  <si>
    <t>Casanare</t>
  </si>
  <si>
    <t>Jacana + Tigana (t+ n + s +s )</t>
  </si>
  <si>
    <t>GEOPARK</t>
  </si>
  <si>
    <t>19 (Jacana)</t>
  </si>
  <si>
    <t>Jacana was discovered in 2015. Tigana was discovered in 2014.</t>
  </si>
  <si>
    <t>Cesar</t>
  </si>
  <si>
    <t>Acordionero</t>
  </si>
  <si>
    <t>GRAN TIERRA</t>
  </si>
  <si>
    <t>7 - 487cP</t>
  </si>
  <si>
    <t>2013 (production)</t>
  </si>
  <si>
    <t>Mugrosa, Colorado, Esmeralddas</t>
  </si>
  <si>
    <t>0.15-0.2</t>
  </si>
  <si>
    <t>20-6000 mD</t>
  </si>
  <si>
    <t>Waterflooding (40,000 bwpd)</t>
  </si>
  <si>
    <t>21 wells in 2018  (ARCO 1). Energy generated is based on diesel, there are data and analysis to reuse the gas produced (ARCO 1)</t>
  </si>
  <si>
    <t>All production data is taken from https://www.anh.gov.co/es/operaciones-y-regal%C3%ADas/sistemas-integrados-operaciones/estad%C3%ADsticas-de-producci%C3%B3n/</t>
  </si>
  <si>
    <t>RU2</t>
  </si>
  <si>
    <t xml:space="preserve"> RU 1, RU 2</t>
  </si>
  <si>
    <t>RU1</t>
  </si>
  <si>
    <t>RU1 (review information about AL)</t>
  </si>
  <si>
    <t>RU3</t>
  </si>
  <si>
    <t>Castilla also includes Castilla Norte and Castilla Este</t>
  </si>
  <si>
    <t>CAS 1</t>
  </si>
  <si>
    <t>CAS 2</t>
  </si>
  <si>
    <t>CAS1</t>
  </si>
  <si>
    <t>CAS 6</t>
  </si>
  <si>
    <t>CAS 3</t>
  </si>
  <si>
    <t>Chichimene also includes Chichimene SW</t>
  </si>
  <si>
    <t>CHI 6</t>
  </si>
  <si>
    <t>CHI 9, CHI 7</t>
  </si>
  <si>
    <t>CHI 4</t>
  </si>
  <si>
    <t>CHI 9</t>
  </si>
  <si>
    <t>CHI 7</t>
  </si>
  <si>
    <t>CHI 5</t>
  </si>
  <si>
    <t>CHI 8, CHI 5</t>
  </si>
  <si>
    <t>CHI 1, CHI 4</t>
  </si>
  <si>
    <t>La Cira also includes Infantas</t>
  </si>
  <si>
    <t>CIRA 11</t>
  </si>
  <si>
    <t>CIRA 1</t>
  </si>
  <si>
    <t>CIRA 11, 10</t>
  </si>
  <si>
    <t>CIRA 11, 10, 9</t>
  </si>
  <si>
    <t>CIRA 8</t>
  </si>
  <si>
    <t>CIRA 11, 9</t>
  </si>
  <si>
    <t>Tigana includes Tigana sur and tigana norte</t>
  </si>
  <si>
    <t>QU 5</t>
  </si>
  <si>
    <t>QU 2</t>
  </si>
  <si>
    <t>QU 2, QU 4</t>
  </si>
  <si>
    <t>QU 7</t>
  </si>
  <si>
    <t>QU 3</t>
  </si>
  <si>
    <t>QU5</t>
  </si>
  <si>
    <t>Acordionero also includes Acordionero-24</t>
  </si>
  <si>
    <t>CAÑO 1</t>
  </si>
  <si>
    <t>CAÑO 2</t>
  </si>
  <si>
    <t>CAÑO 1, CAÑO 3</t>
  </si>
  <si>
    <t>CAÑO 7</t>
  </si>
  <si>
    <t>Casabe also includes Casabe Sur</t>
  </si>
  <si>
    <t>https://www.geo-park.com/files/releases/Jacana_Press_Release_ESP.pdf</t>
  </si>
  <si>
    <t>https://www.grantierra.com/operations/company-snapshot</t>
  </si>
  <si>
    <t>ARCO 3</t>
  </si>
  <si>
    <t>ARCO 1</t>
  </si>
  <si>
    <t>ARCO 2</t>
  </si>
  <si>
    <t>Observation (Pending): most of gas is flared or used in oilfield. The gas is not reinjected.</t>
  </si>
  <si>
    <t>YARI 7</t>
  </si>
  <si>
    <t>YARI 3</t>
  </si>
  <si>
    <t>YARI 5, 7</t>
  </si>
  <si>
    <t>YARI 5</t>
  </si>
  <si>
    <t>YARI 3, 5</t>
  </si>
  <si>
    <t>YARI 3, 6</t>
  </si>
  <si>
    <t>CASA 3</t>
  </si>
  <si>
    <t>CASA 1</t>
  </si>
  <si>
    <t>CASA 15</t>
  </si>
  <si>
    <t>CASA 6, CASA 3</t>
  </si>
  <si>
    <t>CASA 7</t>
  </si>
  <si>
    <t>CASA 6</t>
  </si>
  <si>
    <t>CASA 7, 6</t>
  </si>
  <si>
    <t>MORI 1</t>
  </si>
  <si>
    <t>MORI 6</t>
  </si>
  <si>
    <t>MORI 3</t>
  </si>
  <si>
    <t>Oil production</t>
  </si>
  <si>
    <t>Total [B/d]</t>
  </si>
  <si>
    <t>% respect to national production</t>
  </si>
  <si>
    <t>Total [Mscf/d]</t>
  </si>
  <si>
    <t>% respect to ECP production</t>
  </si>
  <si>
    <t>Total ECP [Mscf/d]</t>
  </si>
  <si>
    <t>BP is Beam Pump, PCP is Progressive Cavity Pump, ESP is Electrical Submersible Pump</t>
  </si>
  <si>
    <t>Order by gas production</t>
  </si>
  <si>
    <t>Gas Production* [Mscf/d] June 2018</t>
  </si>
  <si>
    <t>SG gas</t>
  </si>
  <si>
    <t>Heating Value</t>
  </si>
  <si>
    <t>Aguazul</t>
  </si>
  <si>
    <t>Cupiagua (Cupiagua + Liria + Sur)</t>
  </si>
  <si>
    <t>37 (initially), 48 (current)</t>
  </si>
  <si>
    <t>HHV= 42.67 MJ/kg, LHV= 38.62 MJ/kg</t>
  </si>
  <si>
    <t>1992 (discovered) and 1996 (produced)</t>
  </si>
  <si>
    <t>Mirador, Barco, Guadalupe</t>
  </si>
  <si>
    <t>1 - 10 mD</t>
  </si>
  <si>
    <t>OOIP= 1000 MMSTB and OGIP= 4 Tcf (CUPI 3)</t>
  </si>
  <si>
    <t>FR= 42%, Frsomelayers=60%</t>
  </si>
  <si>
    <t>Gas cap expansion, solution gas drive</t>
  </si>
  <si>
    <t>280 stb/MMscf</t>
  </si>
  <si>
    <t>Gas injection, 450 MMscfd (stars 1998)</t>
  </si>
  <si>
    <t>Nanofluids and Foams, SAG</t>
  </si>
  <si>
    <t>CPF has the capacity of 16,000 BOPD and 850 MMscfd (660 from Cupiagua and 180  from Pauto/Receptor)(CUPI 1)</t>
  </si>
  <si>
    <t>Tauramena</t>
  </si>
  <si>
    <t>Cusiana (Cusiana + Norte)</t>
  </si>
  <si>
    <t>1988 (discovered) and 1994 (production)</t>
  </si>
  <si>
    <t xml:space="preserve">OOIP= 1500 MMSTB OGIP= 3 Tcf </t>
  </si>
  <si>
    <t>RF= 50% (Mirador) RF=25% (Barco, Guadalupe)</t>
  </si>
  <si>
    <t>Water injection (Barco and Guadalupe) / Gas injection (Mirador)</t>
  </si>
  <si>
    <t>SAG</t>
  </si>
  <si>
    <t>Yopal</t>
  </si>
  <si>
    <t>Pauto Sur (Sur + Recetor)</t>
  </si>
  <si>
    <t>EQUION*</t>
  </si>
  <si>
    <t>Gross= 1210 BTU/ft3, Net= 1098  BTU/ft3</t>
  </si>
  <si>
    <t>1995 (Discovered) and 2001 (production)</t>
  </si>
  <si>
    <t>Z</t>
  </si>
  <si>
    <t>0.03 - 0.05</t>
  </si>
  <si>
    <t>&lt; 10mD</t>
  </si>
  <si>
    <t>IGIP&gt; 1 Tcf. 
Reserves (Pauto&amp;Floreña)= 70 MSTB  (Light Oil)
Reserves (Pauto&amp;Floreña)= 5000 Gcf  (Gas)</t>
  </si>
  <si>
    <t>Np= 180,000 Bl &amp; Gp= 12,000 Mcf (2016)</t>
  </si>
  <si>
    <t>Natural flow</t>
  </si>
  <si>
    <t>30 - 350 STB/MMscf</t>
  </si>
  <si>
    <t>Nitrogen Injection</t>
  </si>
  <si>
    <t>Between Pauto&amp;Floreña: 25 wells: 1 water injection, 4 gas injection, 20 producer wells (PAU 8). 
Gas composition and Gas distribution in PAU 9</t>
  </si>
  <si>
    <t>Floreña (Floreña + Mirador)</t>
  </si>
  <si>
    <t>44 - 47</t>
  </si>
  <si>
    <t>Gross= 1158 BTU/ft3, Net= 1049  BTU/ft3</t>
  </si>
  <si>
    <t>Reserves (Pauto&amp;Floreña)= 70 MSTB  (Light Oil)
Reserves (Pauto&amp;Floreña)= 5000 Gcf  (Gas)</t>
  </si>
  <si>
    <t>Np= 80,000 Bl &amp; Gp=5,500 Mcf (2016)</t>
  </si>
  <si>
    <t xml:space="preserve"> P&amp;F =3000 BWPD, BSW&lt;0.5</t>
  </si>
  <si>
    <t>P&amp;F= 30000 BOPD / 180 MMscfd</t>
  </si>
  <si>
    <t>Gas injection 80 MMsfcd</t>
  </si>
  <si>
    <t>Between Pauto&amp;Floreña: 25 wells: 1 water injection, 4 gas injection, 20 producer wells (PAU 8).
Treatment in site (FLO 1, 2)
Gas composition in PAU 9</t>
  </si>
  <si>
    <t>Guajira</t>
  </si>
  <si>
    <t>Manaure</t>
  </si>
  <si>
    <t>Chuchupa</t>
  </si>
  <si>
    <t>CHEVRON</t>
  </si>
  <si>
    <t>HHV= 37.13 MJ/kg, LHV= 33.44 MJ/kg</t>
  </si>
  <si>
    <t>1973 (discovered) and 1979 (production)</t>
  </si>
  <si>
    <t>Units A, B1, B2, C</t>
  </si>
  <si>
    <t>0.2-0.3</t>
  </si>
  <si>
    <t>210mD - &gt;1 D</t>
  </si>
  <si>
    <t>OGIP: P10= 4.1 Tcf,  P50= 4.7 Tcf   P90= 5.3 Tcf</t>
  </si>
  <si>
    <t>FR=45% (2009)</t>
  </si>
  <si>
    <t>WGR= 0.2 bwpd/MMscfd</t>
  </si>
  <si>
    <t>Ballena</t>
  </si>
  <si>
    <t>OGIP= 1.5 Tcf</t>
  </si>
  <si>
    <t>FR=30% (1996)</t>
  </si>
  <si>
    <t>Cordoba</t>
  </si>
  <si>
    <t>Nelson</t>
  </si>
  <si>
    <t>GEOPRODUCTION OIL AND GAS COMPANY</t>
  </si>
  <si>
    <t>Norte de Santander</t>
  </si>
  <si>
    <t>Gibraltar</t>
  </si>
  <si>
    <t>PAU 7</t>
  </si>
  <si>
    <t>PAU 8</t>
  </si>
  <si>
    <t>PAU 5</t>
  </si>
  <si>
    <t>CUPI 8,9, PAU 10</t>
  </si>
  <si>
    <t>CUPI 1</t>
  </si>
  <si>
    <t>CUSI 7</t>
  </si>
  <si>
    <t>CUPI</t>
  </si>
  <si>
    <t>CUPI 6</t>
  </si>
  <si>
    <t>CUSI 5</t>
  </si>
  <si>
    <t>CUPI 4</t>
  </si>
  <si>
    <t>CUPI 3</t>
  </si>
  <si>
    <t>CUPI 1, 6</t>
  </si>
  <si>
    <t>CHU 3</t>
  </si>
  <si>
    <t>CUSI 7,8</t>
  </si>
  <si>
    <t>CHU 1</t>
  </si>
  <si>
    <t>CHU 5</t>
  </si>
  <si>
    <t>CUSI 8</t>
  </si>
  <si>
    <t>CUSI 2</t>
  </si>
  <si>
    <t>PAU 1, CUSI 2, CUSI 6</t>
  </si>
  <si>
    <t>CUSI 2, 4</t>
  </si>
  <si>
    <t>FLO 5</t>
  </si>
  <si>
    <t>PAU 1, FLO 5</t>
  </si>
  <si>
    <t>Deparment</t>
  </si>
  <si>
    <t>Akacias</t>
  </si>
  <si>
    <t>Dina</t>
  </si>
  <si>
    <t>San Francisco</t>
  </si>
  <si>
    <t>Tello</t>
  </si>
  <si>
    <t>Apiay</t>
  </si>
  <si>
    <t>Area Teca-Corcona</t>
  </si>
  <si>
    <t>Type of Oil producing</t>
  </si>
  <si>
    <t>Primary Recovery - SLA*</t>
  </si>
  <si>
    <t>Secondary Recovery</t>
  </si>
  <si>
    <t>Tertiary Recovery</t>
  </si>
  <si>
    <t>WI</t>
  </si>
  <si>
    <t>nnI</t>
  </si>
  <si>
    <t>AI, nnl</t>
  </si>
  <si>
    <t>ESP, PCP</t>
  </si>
  <si>
    <t>AI</t>
  </si>
  <si>
    <t>BP, PCP,. ESP</t>
  </si>
  <si>
    <t>GI, WI</t>
  </si>
  <si>
    <t>CHI</t>
  </si>
  <si>
    <t>PCP, BP</t>
  </si>
  <si>
    <t>SI</t>
  </si>
  <si>
    <t>GI</t>
  </si>
  <si>
    <t>nnI, SAG</t>
  </si>
  <si>
    <t>WI, GI</t>
  </si>
  <si>
    <t>NI</t>
  </si>
  <si>
    <t>Chichimene quema y usa el gas en campo</t>
  </si>
  <si>
    <t>Cira solo envia un pequeño porcentaje a planta para el aprovechamiento del gas</t>
  </si>
  <si>
    <t>Yarigui-Cantagallo sí envia un % del gas a oleducto</t>
  </si>
  <si>
    <t>Gas commercialized [Mscf/d]</t>
  </si>
  <si>
    <t>Oil production (&gt; 1% modeled production)</t>
  </si>
  <si>
    <t>Gas production (&gt; 1% modeled production )</t>
  </si>
  <si>
    <t>Clasification by production</t>
  </si>
  <si>
    <t>Cummulative Production in R/P@Oil (MSTB) =</t>
  </si>
  <si>
    <t>Cummulative Production en R/P GAS (Gscf - MMScf) =</t>
  </si>
  <si>
    <t>STB/d</t>
  </si>
  <si>
    <t>Mscf/d</t>
  </si>
  <si>
    <t>Oil producers</t>
  </si>
  <si>
    <t>Gas producers</t>
  </si>
  <si>
    <t>Oil and gas producers</t>
  </si>
  <si>
    <t>Total</t>
  </si>
  <si>
    <t>Oil classification by API gravity</t>
  </si>
  <si>
    <t>Lower limit</t>
  </si>
  <si>
    <t>Upper Limit</t>
  </si>
  <si>
    <t>Extra Heavy Oil</t>
  </si>
  <si>
    <t>Heavy Oil</t>
  </si>
  <si>
    <t>Medium Oil</t>
  </si>
  <si>
    <t>Light Oil</t>
  </si>
  <si>
    <t>Oil and gas production in the model and Colombia in 2018</t>
  </si>
  <si>
    <t xml:space="preserve">Colombia </t>
  </si>
  <si>
    <t>Model</t>
  </si>
  <si>
    <t>Model/Colombia</t>
  </si>
  <si>
    <t>Oil and gas production in the model (oilfields operated by ECP) and ECP in 2018</t>
  </si>
  <si>
    <t>Oil Production (STB/d)</t>
  </si>
  <si>
    <t>Oilfield in the model  by ECP</t>
  </si>
  <si>
    <t>ECP/ Model ECP</t>
  </si>
  <si>
    <t>Gas production (Mscf/d)</t>
  </si>
  <si>
    <t>Gas commercialized (Mscf/d)</t>
  </si>
  <si>
    <t>Production of the model according API gravity</t>
  </si>
  <si>
    <r>
      <t xml:space="preserve">Production of the Colombia according API gravity </t>
    </r>
    <r>
      <rPr>
        <b/>
        <sz val="11"/>
        <color rgb="FFFF0000"/>
        <rFont val="Calibri"/>
        <family val="2"/>
        <scheme val="minor"/>
      </rPr>
      <t>in 2010</t>
    </r>
  </si>
  <si>
    <t>Oil production STB/d</t>
  </si>
  <si>
    <t>Production of the model according Deparment in 2018</t>
  </si>
  <si>
    <t>Production of Colombia 2018</t>
  </si>
  <si>
    <t>%</t>
  </si>
  <si>
    <t>Gas production Mscf/d</t>
  </si>
  <si>
    <t>Other Deparments</t>
  </si>
  <si>
    <t>Production of the model according sedimentary basin in 2018</t>
  </si>
  <si>
    <t>Production of Colombia 2010 according sedimentary basins in 2018</t>
  </si>
  <si>
    <t>Other bains</t>
  </si>
  <si>
    <t xml:space="preserve">Reserves in model </t>
  </si>
  <si>
    <t>Reserves in Colombia at the end of 2018</t>
  </si>
  <si>
    <t>Oil Reserves (MSTB)</t>
  </si>
  <si>
    <t>Gas Reserves ( Gscf - MMscf)</t>
  </si>
  <si>
    <t>Model/Reality</t>
  </si>
  <si>
    <t>Colombia</t>
  </si>
  <si>
    <t>Oifields by ECP in the model</t>
  </si>
  <si>
    <t>Oifields by ECP&amp;EQUION in the model</t>
  </si>
  <si>
    <t>reserve-replacement ratio (RRR) in Colombia 2018</t>
  </si>
  <si>
    <t>Oil Reserves added (MSTB)</t>
  </si>
  <si>
    <t>Gas Reserves added (Gscf - MMscf)</t>
  </si>
  <si>
    <t>New discoveries</t>
  </si>
  <si>
    <t>EOR and new projects</t>
  </si>
  <si>
    <t>Re-evaluations</t>
  </si>
  <si>
    <t>General balance last years in Colombia</t>
  </si>
  <si>
    <t>Oil</t>
  </si>
  <si>
    <t>Reserves P1 (MSTB)</t>
  </si>
  <si>
    <t>Annual Production  (MSTB)</t>
  </si>
  <si>
    <t>Reserves added (MSTB)</t>
  </si>
  <si>
    <t>RRR</t>
  </si>
  <si>
    <t>R/P</t>
  </si>
  <si>
    <t>R</t>
  </si>
  <si>
    <t>P</t>
  </si>
  <si>
    <t>I</t>
  </si>
  <si>
    <t>I/P</t>
  </si>
  <si>
    <t>Gas</t>
  </si>
  <si>
    <t>GAS</t>
  </si>
  <si>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</si>
  <si>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</si>
  <si>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FISCA</t>
    </r>
  </si>
  <si>
    <r>
      <t>G</t>
    </r>
    <r>
      <rPr>
        <b/>
        <vertAlign val="subscript"/>
        <sz val="14"/>
        <color theme="1"/>
        <rFont val="Calibri"/>
        <family val="2"/>
        <scheme val="minor"/>
      </rPr>
      <t>sla</t>
    </r>
  </si>
  <si>
    <r>
      <t>G</t>
    </r>
    <r>
      <rPr>
        <b/>
        <vertAlign val="subscript"/>
        <sz val="14"/>
        <color theme="1"/>
        <rFont val="Calibri"/>
        <family val="2"/>
        <scheme val="minor"/>
      </rPr>
      <t>REI</t>
    </r>
  </si>
  <si>
    <r>
      <t>O</t>
    </r>
    <r>
      <rPr>
        <b/>
        <vertAlign val="subscript"/>
        <sz val="14"/>
        <color theme="1"/>
        <rFont val="Calibri"/>
        <family val="2"/>
        <scheme val="minor"/>
      </rPr>
      <t>FISCA</t>
    </r>
  </si>
  <si>
    <r>
      <t>G</t>
    </r>
    <r>
      <rPr>
        <b/>
        <vertAlign val="subscript"/>
        <sz val="14"/>
        <color theme="1"/>
        <rFont val="Calibri"/>
        <family val="2"/>
        <scheme val="minor"/>
      </rPr>
      <t>FISC</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</si>
  <si>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</si>
  <si>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</si>
  <si>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</si>
  <si>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</si>
  <si>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</si>
  <si>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t>2019, MPC/D</t>
  </si>
  <si>
    <t>Orito</t>
  </si>
  <si>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</si>
  <si>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PUTUMAYO</t>
  </si>
  <si>
    <t>Aipe</t>
  </si>
  <si>
    <t>Neiva/Palermo</t>
  </si>
  <si>
    <t>Neiva</t>
  </si>
  <si>
    <t>Villavicencio</t>
  </si>
  <si>
    <t>Puerto Nare</t>
  </si>
  <si>
    <t>Toledo</t>
  </si>
  <si>
    <t>VSM</t>
  </si>
  <si>
    <t>Cordillera Oriental</t>
  </si>
  <si>
    <t>LLO</t>
  </si>
  <si>
    <t>Putumayo</t>
  </si>
  <si>
    <t>ANTIOQUIA</t>
  </si>
  <si>
    <t>CASANARE</t>
  </si>
  <si>
    <t>CESAR</t>
  </si>
  <si>
    <t>CUNDINAMARCA</t>
  </si>
  <si>
    <t>HUILA</t>
  </si>
  <si>
    <t>META</t>
  </si>
  <si>
    <t>NORTE DE SANTANDER</t>
  </si>
  <si>
    <t>SANTANDER</t>
  </si>
  <si>
    <t>SUCRE</t>
  </si>
  <si>
    <t>TOLIMA</t>
  </si>
  <si>
    <t>BOLIVAR</t>
  </si>
  <si>
    <t>MI MODELO</t>
  </si>
  <si>
    <t>offshore</t>
  </si>
  <si>
    <t>RR (Mmboe)</t>
  </si>
  <si>
    <t>G</t>
  </si>
  <si>
    <t>O</t>
  </si>
  <si>
    <t>G (bcf)</t>
  </si>
  <si>
    <t>Total production, boed</t>
  </si>
  <si>
    <t>FR</t>
  </si>
  <si>
    <t>EC year</t>
  </si>
  <si>
    <t>Intercepto</t>
  </si>
  <si>
    <t>Pendiente</t>
  </si>
  <si>
    <t>boe =</t>
  </si>
  <si>
    <t>scf</t>
  </si>
  <si>
    <t>Produccion@LE (boed)</t>
  </si>
  <si>
    <t>Potencial estimado</t>
  </si>
  <si>
    <t>Mmboe</t>
  </si>
  <si>
    <t>Integral</t>
  </si>
  <si>
    <t>Error</t>
  </si>
  <si>
    <t>Apiay Este</t>
  </si>
  <si>
    <t>Castilla</t>
  </si>
  <si>
    <t>Castilla Este</t>
  </si>
  <si>
    <t>Castilla Norte</t>
  </si>
  <si>
    <t>Casabe Sur</t>
  </si>
  <si>
    <t>Chichimene SW</t>
  </si>
  <si>
    <t>Cupiagua</t>
  </si>
  <si>
    <t>Cupiagua Liria</t>
  </si>
  <si>
    <t>Cupiagua Sur</t>
  </si>
  <si>
    <t>Cusiana Norte</t>
  </si>
  <si>
    <t>Cusiana</t>
  </si>
  <si>
    <t>Dina Terciarios</t>
  </si>
  <si>
    <t>Dina Cretaceos</t>
  </si>
  <si>
    <t>Dina Norte</t>
  </si>
  <si>
    <t>Florena</t>
  </si>
  <si>
    <t>Florena Mirador</t>
  </si>
  <si>
    <t>Según ellos</t>
  </si>
  <si>
    <t>Infantas</t>
  </si>
  <si>
    <t>Pauto Sur Recetor</t>
  </si>
  <si>
    <t>Pauto Sur</t>
  </si>
  <si>
    <t>Teca</t>
  </si>
  <si>
    <t>Yarigui</t>
  </si>
  <si>
    <t>RESERVAS TOTAL</t>
  </si>
  <si>
    <t>RESSERVAS CRUDO</t>
  </si>
  <si>
    <t>RESREVAS GAS</t>
  </si>
  <si>
    <t>Bscf</t>
  </si>
  <si>
    <t>RESERVAS DE GAS</t>
  </si>
  <si>
    <t>según ecp</t>
  </si>
  <si>
    <t>Bonga</t>
  </si>
  <si>
    <t>Provincia</t>
  </si>
  <si>
    <t>Mamey</t>
  </si>
  <si>
    <t>Bonanza</t>
  </si>
  <si>
    <t>Mscf</t>
  </si>
  <si>
    <t>años</t>
  </si>
  <si>
    <t>scf/boe</t>
  </si>
  <si>
    <t>Scf</t>
  </si>
  <si>
    <t>ca</t>
  </si>
  <si>
    <t>be/d</t>
  </si>
  <si>
    <t>Mbe/d</t>
  </si>
  <si>
    <t>g</t>
  </si>
  <si>
    <t>o</t>
  </si>
  <si>
    <t>Según yo</t>
  </si>
  <si>
    <t>ECP, 2019</t>
  </si>
  <si>
    <t>G, Mpc</t>
  </si>
  <si>
    <t>O, bl</t>
  </si>
  <si>
    <t>Barriles</t>
  </si>
  <si>
    <t>%O</t>
  </si>
  <si>
    <t>%O, global</t>
  </si>
  <si>
    <t xml:space="preserve">  </t>
  </si>
  <si>
    <t>Total Reservas</t>
  </si>
  <si>
    <t>Total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</si>
</sst>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_-* #,##0.0_-;\-* #,##0.0_-;_-* &quot;-&quot;??_-;_-@_-"/>
    <numFmt numFmtId="166" formatCode="0.0"/>
    <numFmt numFmtId="167" formatCode="0.0%"/>
    <numFmt numFmtId="168" formatCode="0.0000"/>
    <numFmt numFmtId="169" formatCode="0.000"/>
    <numFmt numFmtId="171" formatCode="_-* #,##0.0_-;\-* #,##0.0_-;_-* &quot;-&quot;?_-;_-@_-"/>
  </numFmts>
  <fonts count="2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sz val="5"/>
      <color theme="1"/>
      <name val="Calibri"/>
      <family val="2"/>
      <scheme val="minor"/>
    </font>
    <font>
      <sz val="8"/>
      <color theme="0" tint="-0.249977111117893"/>
      <name val="Calibri"/>
      <family val="2"/>
      <scheme val="minor"/>
    </font>
    <font>
      <b/>
      <sz val="8"/>
      <color theme="1"/>
      <name val="Calibri"/>
      <family val="2"/>
      <scheme val="minor"/>
    </font>
    <font>
      <b/>
      <sz val="9"/>
      <color theme="1"/>
      <name val="Calibri"/>
      <family val="2"/>
      <scheme val="minor"/>
    </font>
    <font>
      <sz val="11"/>
      <color theme="0" tint="-4.9989318521683403E-2"/>
      <name val="Calibri"/>
      <family val="2"/>
      <scheme val="minor"/>
    </font>
    <font>
      <b/>
      <sz val="11"/>
      <color rgb="FFFF0000"/>
      <name val="Calibri"/>
      <family val="2"/>
      <scheme val="minor"/>
    </font>
    <font>
      <sz val="11"/>
      <color theme="0" tint="-0.34998626667073579"/>
      <name val="Calibri"/>
      <family val="2"/>
      <scheme val="minor"/>
    </font>
    <font>
      <b/>
      <sz val="12"/>
      <color rgb="FF202124"/>
      <name val="Arial"/>
      <family val="2"/>
    </font>
    <font>
      <b/>
      <sz val="14"/>
      <color theme="1"/>
      <name val="Calibri"/>
      <family val="2"/>
      <scheme val="minor"/>
    </font>
    <font>
      <b/>
      <vertAlign val="subscript"/>
      <sz val="14"/>
      <color theme="1"/>
      <name val="Calibri"/>
      <family val="2"/>
      <scheme val="minor"/>
    </font>
    <font>
      <b/>
      <sz val="12"/>
      <color rgb="FFFF0000"/>
      <name val="Calibri"/>
      <family val="2"/>
      <scheme val="minor"/>
    </font>
    <font>
      <sz val="9"/>
      <color indexed="81"/>
      <name val="Tahoma"/>
      <family val="2"/>
    </font>
    <font>
      <b/>
      <sz val="9"/>
      <color indexed="81"/>
      <name val="Tahoma"/>
      <family val="2"/>
    </font>
    <font>
      <sz val="11"/>
      <color rgb="FFFF0000"/>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s>
  <borders count="2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top style="double">
        <color indexed="64"/>
      </top>
      <bottom/>
      <diagonal/>
    </border>
    <border>
      <left style="double">
        <color indexed="64"/>
      </left>
      <right/>
      <top style="double">
        <color indexed="64"/>
      </top>
      <bottom/>
      <diagonal/>
    </border>
    <border>
      <left/>
      <right style="double">
        <color indexed="64"/>
      </right>
      <top/>
      <bottom/>
      <diagonal/>
    </border>
    <border>
      <left style="double">
        <color indexed="64"/>
      </left>
      <right/>
      <top/>
      <bottom/>
      <diagonal/>
    </border>
    <border>
      <left style="double">
        <color indexed="64"/>
      </left>
      <right/>
      <top/>
      <bottom style="double">
        <color indexed="64"/>
      </bottom>
      <diagonal/>
    </border>
    <border>
      <left/>
      <right style="double">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double">
        <color indexed="64"/>
      </bottom>
      <diagonal/>
    </border>
    <border>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263">
    <xf numFmtId="0" fontId="0" fillId="0" borderId="0" xfId="0"/>
    <xf numFmtId="0" fontId="0" fillId="2" borderId="0" xfId="0" applyFill="1"/>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2"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5" fillId="2" borderId="2" xfId="0" applyFont="1" applyFill="1" applyBorder="1" applyAlignment="1">
      <alignment horizontal="center" vertical="center" wrapText="1"/>
    </xf>
    <xf numFmtId="164" fontId="5" fillId="2" borderId="2" xfId="1" applyNumberFormat="1" applyFont="1" applyFill="1" applyBorder="1" applyAlignment="1">
      <alignment horizontal="center" vertical="center" wrapText="1"/>
    </xf>
    <xf numFmtId="43" fontId="5" fillId="2" borderId="2" xfId="1" applyFont="1" applyFill="1" applyBorder="1" applyAlignment="1">
      <alignment horizontal="center" vertical="center" wrapText="1"/>
    </xf>
    <xf numFmtId="17" fontId="5" fillId="2" borderId="2" xfId="0" applyNumberFormat="1" applyFont="1" applyFill="1" applyBorder="1" applyAlignment="1">
      <alignment horizontal="center" vertical="center" wrapText="1"/>
    </xf>
    <xf numFmtId="0" fontId="5" fillId="2" borderId="3" xfId="0" applyFont="1" applyFill="1" applyBorder="1" applyAlignment="1">
      <alignment horizontal="center" vertical="center" wrapText="1"/>
    </xf>
    <xf numFmtId="0" fontId="6" fillId="2" borderId="0" xfId="0" applyFont="1" applyFill="1" applyAlignment="1">
      <alignment horizontal="left" vertical="top"/>
    </xf>
    <xf numFmtId="10" fontId="5" fillId="2" borderId="2" xfId="0" applyNumberFormat="1" applyFont="1" applyFill="1" applyBorder="1" applyAlignment="1">
      <alignment horizontal="center" vertical="center" wrapText="1"/>
    </xf>
    <xf numFmtId="15" fontId="5" fillId="2" borderId="2" xfId="0" applyNumberFormat="1" applyFont="1" applyFill="1" applyBorder="1" applyAlignment="1">
      <alignment horizontal="center" vertical="center" wrapText="1"/>
    </xf>
    <xf numFmtId="9" fontId="5" fillId="2" borderId="2" xfId="0" applyNumberFormat="1" applyFont="1" applyFill="1" applyBorder="1" applyAlignment="1">
      <alignment horizontal="center" vertical="center" wrapText="1"/>
    </xf>
    <xf numFmtId="0" fontId="5" fillId="2" borderId="2" xfId="3"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164" fontId="5" fillId="2" borderId="5" xfId="1" applyNumberFormat="1" applyFont="1" applyFill="1" applyBorder="1" applyAlignment="1">
      <alignment horizontal="center" vertical="center" wrapText="1"/>
    </xf>
    <xf numFmtId="43" fontId="5" fillId="2" borderId="5" xfId="1" applyFont="1" applyFill="1" applyBorder="1" applyAlignment="1">
      <alignment horizontal="center" vertical="center" wrapText="1"/>
    </xf>
    <xf numFmtId="0" fontId="5" fillId="2" borderId="6" xfId="0" applyFont="1" applyFill="1" applyBorder="1" applyAlignment="1">
      <alignment horizontal="center" vertical="center" wrapText="1"/>
    </xf>
    <xf numFmtId="15" fontId="6" fillId="2" borderId="0" xfId="0" applyNumberFormat="1" applyFont="1" applyFill="1" applyAlignment="1">
      <alignment horizontal="left" vertical="top"/>
    </xf>
    <xf numFmtId="0" fontId="5" fillId="4"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5" fillId="4" borderId="3" xfId="0" applyFont="1" applyFill="1" applyBorder="1" applyAlignment="1">
      <alignment horizontal="center" vertical="center" wrapText="1"/>
    </xf>
    <xf numFmtId="0" fontId="7" fillId="2" borderId="4" xfId="0" applyFont="1" applyFill="1" applyBorder="1" applyAlignment="1">
      <alignment horizontal="left" vertical="center"/>
    </xf>
    <xf numFmtId="0" fontId="0" fillId="2" borderId="5" xfId="0" applyFill="1" applyBorder="1"/>
    <xf numFmtId="0" fontId="8" fillId="2" borderId="5" xfId="0" applyFont="1" applyFill="1" applyBorder="1" applyAlignment="1">
      <alignment horizontal="center" vertical="center"/>
    </xf>
    <xf numFmtId="0" fontId="6" fillId="2" borderId="5" xfId="0" applyFont="1" applyFill="1" applyBorder="1" applyAlignment="1">
      <alignment horizontal="center"/>
    </xf>
    <xf numFmtId="0" fontId="8" fillId="2" borderId="6" xfId="0" applyFont="1" applyFill="1" applyBorder="1" applyAlignment="1">
      <alignment horizontal="center" vertical="center"/>
    </xf>
    <xf numFmtId="0" fontId="7" fillId="2" borderId="0" xfId="0" applyFont="1" applyFill="1" applyAlignment="1">
      <alignment horizontal="center" vertical="center"/>
    </xf>
    <xf numFmtId="0" fontId="7" fillId="2" borderId="7" xfId="0" applyFont="1" applyFill="1" applyBorder="1"/>
    <xf numFmtId="0" fontId="8" fillId="2" borderId="0" xfId="0" applyFont="1" applyFill="1" applyAlignment="1">
      <alignment horizontal="center" vertical="center"/>
    </xf>
    <xf numFmtId="0" fontId="6" fillId="2" borderId="0" xfId="0" applyFont="1" applyFill="1" applyAlignment="1">
      <alignment horizontal="center"/>
    </xf>
    <xf numFmtId="0" fontId="8" fillId="2" borderId="8" xfId="0" applyFont="1" applyFill="1" applyBorder="1" applyAlignment="1">
      <alignment horizontal="center" vertical="center"/>
    </xf>
    <xf numFmtId="0" fontId="8" fillId="2" borderId="0" xfId="0" applyFont="1" applyFill="1" applyAlignment="1">
      <alignment horizontal="center"/>
    </xf>
    <xf numFmtId="0" fontId="8" fillId="2" borderId="8" xfId="0" applyFont="1" applyFill="1" applyBorder="1" applyAlignment="1">
      <alignment horizontal="center"/>
    </xf>
    <xf numFmtId="0" fontId="7" fillId="2" borderId="9" xfId="0" applyFont="1" applyFill="1" applyBorder="1"/>
    <xf numFmtId="0" fontId="0" fillId="2" borderId="10" xfId="0" applyFill="1" applyBorder="1"/>
    <xf numFmtId="0" fontId="6" fillId="2" borderId="10" xfId="0" applyFont="1" applyFill="1" applyBorder="1" applyAlignment="1">
      <alignment horizontal="center"/>
    </xf>
    <xf numFmtId="0" fontId="6" fillId="2" borderId="11" xfId="0" applyFont="1" applyFill="1" applyBorder="1" applyAlignment="1">
      <alignment horizontal="center"/>
    </xf>
    <xf numFmtId="0" fontId="2" fillId="3" borderId="9" xfId="0" applyFont="1" applyFill="1" applyBorder="1" applyAlignment="1">
      <alignment horizontal="centerContinuous"/>
    </xf>
    <xf numFmtId="0" fontId="0" fillId="3" borderId="10" xfId="0" applyFill="1" applyBorder="1" applyAlignment="1">
      <alignment horizontal="centerContinuous"/>
    </xf>
    <xf numFmtId="0" fontId="0" fillId="3" borderId="10" xfId="0" applyFill="1" applyBorder="1" applyAlignment="1">
      <alignment horizontal="center"/>
    </xf>
    <xf numFmtId="0" fontId="6" fillId="3" borderId="11" xfId="0" applyFont="1" applyFill="1" applyBorder="1" applyAlignment="1">
      <alignment horizontal="center"/>
    </xf>
    <xf numFmtId="0" fontId="2" fillId="3" borderId="10" xfId="0" applyFont="1" applyFill="1" applyBorder="1" applyAlignment="1">
      <alignment horizontal="left"/>
    </xf>
    <xf numFmtId="0" fontId="2" fillId="2" borderId="0" xfId="0" applyFont="1" applyFill="1" applyAlignment="1">
      <alignment horizontal="centerContinuous"/>
    </xf>
    <xf numFmtId="0" fontId="6" fillId="2" borderId="0" xfId="0" applyFont="1" applyFill="1" applyAlignment="1">
      <alignment horizontal="centerContinuous"/>
    </xf>
    <xf numFmtId="0" fontId="2" fillId="3" borderId="7" xfId="0" applyFont="1" applyFill="1" applyBorder="1"/>
    <xf numFmtId="164" fontId="2" fillId="3" borderId="8" xfId="0" applyNumberFormat="1" applyFont="1" applyFill="1" applyBorder="1"/>
    <xf numFmtId="0" fontId="2" fillId="3" borderId="7" xfId="0" applyFont="1" applyFill="1" applyBorder="1" applyAlignment="1">
      <alignment horizontal="left"/>
    </xf>
    <xf numFmtId="0" fontId="2" fillId="3" borderId="0" xfId="0" applyFont="1" applyFill="1" applyAlignment="1">
      <alignment horizontal="left"/>
    </xf>
    <xf numFmtId="0" fontId="2" fillId="3" borderId="5" xfId="0" applyFont="1" applyFill="1" applyBorder="1" applyAlignment="1">
      <alignment horizontal="left"/>
    </xf>
    <xf numFmtId="0" fontId="2" fillId="3" borderId="0" xfId="0" applyFont="1" applyFill="1"/>
    <xf numFmtId="9" fontId="2" fillId="3" borderId="8" xfId="2" applyFont="1" applyFill="1" applyBorder="1"/>
    <xf numFmtId="9" fontId="2" fillId="3" borderId="0" xfId="2" applyFont="1" applyFill="1" applyBorder="1"/>
    <xf numFmtId="2" fontId="2" fillId="3" borderId="0" xfId="2" applyNumberFormat="1" applyFont="1" applyFill="1" applyBorder="1"/>
    <xf numFmtId="10" fontId="2" fillId="3" borderId="12" xfId="0" applyNumberFormat="1" applyFont="1" applyFill="1" applyBorder="1" applyAlignment="1">
      <alignment horizontal="left"/>
    </xf>
    <xf numFmtId="0" fontId="2" fillId="2" borderId="0" xfId="0" applyFont="1" applyFill="1"/>
    <xf numFmtId="9" fontId="2" fillId="2" borderId="0" xfId="2" applyFont="1" applyFill="1" applyBorder="1"/>
    <xf numFmtId="0" fontId="2" fillId="3" borderId="9" xfId="0" applyFont="1" applyFill="1" applyBorder="1"/>
    <xf numFmtId="164" fontId="2" fillId="3" borderId="11" xfId="0" applyNumberFormat="1" applyFont="1" applyFill="1" applyBorder="1"/>
    <xf numFmtId="0" fontId="2" fillId="3" borderId="10" xfId="0" applyFont="1" applyFill="1" applyBorder="1"/>
    <xf numFmtId="9" fontId="2" fillId="3" borderId="11" xfId="2" applyFont="1" applyFill="1" applyBorder="1"/>
    <xf numFmtId="9" fontId="2" fillId="3" borderId="10" xfId="2" applyFont="1" applyFill="1" applyBorder="1"/>
    <xf numFmtId="2" fontId="2" fillId="3" borderId="10" xfId="2" applyNumberFormat="1" applyFont="1" applyFill="1" applyBorder="1"/>
    <xf numFmtId="10" fontId="2" fillId="3" borderId="13" xfId="0" applyNumberFormat="1" applyFont="1" applyFill="1" applyBorder="1" applyAlignment="1">
      <alignment horizontal="left"/>
    </xf>
    <xf numFmtId="165" fontId="5" fillId="2" borderId="2" xfId="1" applyNumberFormat="1"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164" fontId="5" fillId="5" borderId="2" xfId="1" applyNumberFormat="1" applyFont="1" applyFill="1" applyBorder="1" applyAlignment="1">
      <alignment horizontal="center" vertical="center" wrapText="1"/>
    </xf>
    <xf numFmtId="165" fontId="5" fillId="5" borderId="2" xfId="1" applyNumberFormat="1" applyFont="1" applyFill="1" applyBorder="1" applyAlignment="1">
      <alignment horizontal="center" vertical="center" wrapText="1"/>
    </xf>
    <xf numFmtId="0" fontId="2" fillId="3" borderId="11" xfId="0" applyFont="1" applyFill="1" applyBorder="1"/>
    <xf numFmtId="0" fontId="2" fillId="2" borderId="0" xfId="0" applyFont="1" applyFill="1" applyAlignment="1">
      <alignment horizontal="center" wrapText="1"/>
    </xf>
    <xf numFmtId="0" fontId="5" fillId="2" borderId="5" xfId="0" applyFont="1" applyFill="1" applyBorder="1" applyAlignment="1">
      <alignment horizontal="center" vertical="center"/>
    </xf>
    <xf numFmtId="0" fontId="2" fillId="2" borderId="0" xfId="0" applyFont="1" applyFill="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5" xfId="0" applyFill="1" applyBorder="1" applyAlignment="1">
      <alignment horizontal="center"/>
    </xf>
    <xf numFmtId="0" fontId="0" fillId="2" borderId="5" xfId="0" applyFill="1" applyBorder="1" applyAlignment="1">
      <alignment horizontal="center" vertical="center" wrapText="1"/>
    </xf>
    <xf numFmtId="0" fontId="9" fillId="2" borderId="0" xfId="0" applyFont="1" applyFill="1" applyAlignment="1">
      <alignment horizontal="center" vertical="center"/>
    </xf>
    <xf numFmtId="0" fontId="9" fillId="2" borderId="0" xfId="0" applyFont="1" applyFill="1"/>
    <xf numFmtId="0" fontId="0" fillId="2" borderId="0" xfId="0" applyFill="1" applyAlignment="1">
      <alignment horizontal="right"/>
    </xf>
    <xf numFmtId="0" fontId="0" fillId="2" borderId="0" xfId="0" applyFill="1" applyAlignment="1">
      <alignment horizontal="left"/>
    </xf>
    <xf numFmtId="0" fontId="2" fillId="2" borderId="0" xfId="0" applyFont="1" applyFill="1" applyAlignment="1">
      <alignment horizontal="center"/>
    </xf>
    <xf numFmtId="0" fontId="10" fillId="2" borderId="0" xfId="0" applyFont="1" applyFill="1" applyAlignment="1">
      <alignment horizontal="center" wrapText="1"/>
    </xf>
    <xf numFmtId="164" fontId="6" fillId="2" borderId="0" xfId="1" applyNumberFormat="1" applyFont="1" applyFill="1" applyAlignment="1">
      <alignment horizontal="center" vertical="center"/>
    </xf>
    <xf numFmtId="164" fontId="6" fillId="2" borderId="0" xfId="1" applyNumberFormat="1" applyFont="1" applyFill="1" applyAlignment="1">
      <alignment horizontal="center" vertical="center" wrapText="1"/>
    </xf>
    <xf numFmtId="0" fontId="11" fillId="2" borderId="0" xfId="0" applyFont="1" applyFill="1" applyAlignment="1">
      <alignment horizontal="center"/>
    </xf>
    <xf numFmtId="0" fontId="12" fillId="2" borderId="0" xfId="0" applyFont="1" applyFill="1"/>
    <xf numFmtId="164" fontId="7" fillId="2" borderId="5" xfId="1" applyNumberFormat="1" applyFont="1" applyFill="1" applyBorder="1" applyAlignment="1">
      <alignment horizontal="center" vertical="center" wrapText="1"/>
    </xf>
    <xf numFmtId="166" fontId="0" fillId="6" borderId="5" xfId="0" applyNumberFormat="1" applyFill="1" applyBorder="1"/>
    <xf numFmtId="164" fontId="0" fillId="2" borderId="0" xfId="0" applyNumberFormat="1" applyFill="1"/>
    <xf numFmtId="2" fontId="0" fillId="2" borderId="0" xfId="0" applyNumberFormat="1" applyFill="1"/>
    <xf numFmtId="0" fontId="5" fillId="2" borderId="0" xfId="0" applyFont="1" applyFill="1"/>
    <xf numFmtId="0" fontId="0" fillId="2" borderId="14" xfId="0" applyFill="1" applyBorder="1" applyAlignment="1">
      <alignment horizontal="center" vertical="center"/>
    </xf>
    <xf numFmtId="0" fontId="0" fillId="2" borderId="0" xfId="0" applyFill="1" applyAlignment="1">
      <alignment horizontal="center"/>
    </xf>
    <xf numFmtId="0" fontId="12" fillId="2" borderId="0" xfId="0" applyFont="1" applyFill="1" applyAlignment="1">
      <alignment horizontal="center"/>
    </xf>
    <xf numFmtId="0" fontId="0" fillId="2" borderId="0" xfId="0" applyFill="1" applyAlignment="1">
      <alignment horizontal="right" vertical="center"/>
    </xf>
    <xf numFmtId="164" fontId="0" fillId="2" borderId="0" xfId="1" applyNumberFormat="1" applyFont="1" applyFill="1" applyAlignment="1">
      <alignment vertical="center"/>
    </xf>
    <xf numFmtId="167" fontId="0" fillId="2" borderId="0" xfId="0" applyNumberFormat="1" applyFill="1"/>
    <xf numFmtId="0" fontId="0" fillId="2" borderId="0" xfId="0" applyFill="1" applyAlignment="1">
      <alignment horizontal="right" wrapText="1"/>
    </xf>
    <xf numFmtId="167" fontId="0" fillId="2" borderId="0" xfId="0" applyNumberFormat="1" applyFill="1" applyAlignment="1">
      <alignment horizontal="center" vertical="center"/>
    </xf>
    <xf numFmtId="164" fontId="0" fillId="2" borderId="0" xfId="1" applyNumberFormat="1" applyFont="1" applyFill="1"/>
    <xf numFmtId="43" fontId="0" fillId="2" borderId="0" xfId="0" applyNumberFormat="1" applyFill="1"/>
    <xf numFmtId="164" fontId="0" fillId="2" borderId="0" xfId="1" applyNumberFormat="1" applyFont="1" applyFill="1" applyBorder="1" applyAlignment="1">
      <alignment horizontal="center" vertical="center"/>
    </xf>
    <xf numFmtId="167" fontId="0" fillId="2" borderId="0" xfId="1" applyNumberFormat="1" applyFont="1" applyFill="1" applyBorder="1" applyAlignment="1">
      <alignment horizontal="center" vertical="center"/>
    </xf>
    <xf numFmtId="164" fontId="0" fillId="2" borderId="0" xfId="1" applyNumberFormat="1" applyFont="1" applyFill="1" applyAlignment="1">
      <alignment horizontal="center" vertical="center"/>
    </xf>
    <xf numFmtId="10" fontId="0" fillId="2" borderId="0" xfId="0" applyNumberFormat="1" applyFill="1" applyAlignment="1">
      <alignment horizontal="center" vertical="center"/>
    </xf>
    <xf numFmtId="9" fontId="0" fillId="2" borderId="0" xfId="0" applyNumberFormat="1" applyFill="1" applyAlignment="1">
      <alignment horizontal="center" vertical="center"/>
    </xf>
    <xf numFmtId="164" fontId="0" fillId="2" borderId="14" xfId="1" applyNumberFormat="1" applyFont="1" applyFill="1" applyBorder="1" applyAlignment="1">
      <alignment horizontal="center" vertical="center"/>
    </xf>
    <xf numFmtId="9" fontId="0" fillId="2" borderId="14" xfId="0" applyNumberFormat="1" applyFill="1" applyBorder="1" applyAlignment="1">
      <alignment horizontal="center" vertical="center"/>
    </xf>
    <xf numFmtId="0" fontId="0" fillId="2" borderId="16" xfId="0" applyFill="1" applyBorder="1"/>
    <xf numFmtId="9" fontId="0" fillId="2" borderId="0" xfId="0" applyNumberFormat="1" applyFill="1" applyAlignment="1">
      <alignment horizontal="center"/>
    </xf>
    <xf numFmtId="164" fontId="0" fillId="2" borderId="17" xfId="1" applyNumberFormat="1" applyFont="1" applyFill="1" applyBorder="1"/>
    <xf numFmtId="167" fontId="0" fillId="2" borderId="18" xfId="0" applyNumberFormat="1" applyFill="1" applyBorder="1" applyAlignment="1">
      <alignment horizontal="center" vertical="center"/>
    </xf>
    <xf numFmtId="164" fontId="0" fillId="2" borderId="0" xfId="1" applyNumberFormat="1" applyFont="1" applyFill="1" applyBorder="1"/>
    <xf numFmtId="167" fontId="0" fillId="2" borderId="0" xfId="0" applyNumberFormat="1" applyFill="1" applyAlignment="1">
      <alignment horizontal="center"/>
    </xf>
    <xf numFmtId="0" fontId="0" fillId="2" borderId="0" xfId="0" applyFill="1" applyAlignment="1">
      <alignment vertical="center"/>
    </xf>
    <xf numFmtId="164" fontId="0" fillId="2" borderId="19" xfId="1" applyNumberFormat="1" applyFont="1" applyFill="1" applyBorder="1"/>
    <xf numFmtId="164" fontId="0" fillId="2" borderId="14" xfId="1" applyNumberFormat="1" applyFont="1" applyFill="1" applyBorder="1"/>
    <xf numFmtId="167" fontId="0" fillId="2" borderId="14" xfId="0" applyNumberFormat="1" applyFill="1" applyBorder="1" applyAlignment="1">
      <alignment horizontal="center" vertical="center"/>
    </xf>
    <xf numFmtId="164" fontId="0" fillId="2" borderId="20" xfId="1" applyNumberFormat="1" applyFont="1" applyFill="1" applyBorder="1"/>
    <xf numFmtId="167" fontId="0" fillId="2" borderId="14" xfId="1" applyNumberFormat="1" applyFont="1" applyFill="1" applyBorder="1" applyAlignment="1">
      <alignment horizontal="center"/>
    </xf>
    <xf numFmtId="167" fontId="0" fillId="2" borderId="21" xfId="0" applyNumberFormat="1" applyFill="1" applyBorder="1" applyAlignment="1">
      <alignment horizontal="center" vertical="center"/>
    </xf>
    <xf numFmtId="164" fontId="0" fillId="2" borderId="16" xfId="0" applyNumberFormat="1" applyFill="1" applyBorder="1"/>
    <xf numFmtId="0" fontId="0" fillId="7" borderId="15" xfId="0" applyFill="1" applyBorder="1"/>
    <xf numFmtId="164" fontId="0" fillId="7" borderId="15" xfId="0" applyNumberFormat="1" applyFill="1" applyBorder="1"/>
    <xf numFmtId="167" fontId="0" fillId="7" borderId="22" xfId="0" applyNumberFormat="1" applyFill="1" applyBorder="1" applyAlignment="1">
      <alignment horizontal="center" vertical="center"/>
    </xf>
    <xf numFmtId="0" fontId="0" fillId="2" borderId="21" xfId="0" applyFill="1" applyBorder="1" applyAlignment="1">
      <alignment horizontal="center" vertical="center"/>
    </xf>
    <xf numFmtId="9" fontId="0" fillId="2" borderId="18" xfId="0" applyNumberFormat="1" applyFill="1" applyBorder="1" applyAlignment="1">
      <alignment horizontal="center" vertical="center"/>
    </xf>
    <xf numFmtId="43" fontId="0" fillId="2" borderId="0" xfId="0" applyNumberFormat="1" applyFill="1" applyAlignment="1">
      <alignment horizontal="center" vertical="center"/>
    </xf>
    <xf numFmtId="164" fontId="14" fillId="2" borderId="0" xfId="1" applyNumberFormat="1" applyFont="1" applyFill="1" applyAlignment="1">
      <alignment horizontal="center" vertical="center"/>
    </xf>
    <xf numFmtId="167" fontId="0" fillId="2" borderId="0" xfId="0" applyNumberFormat="1" applyFill="1" applyAlignment="1">
      <alignment vertical="center"/>
    </xf>
    <xf numFmtId="0" fontId="0" fillId="2" borderId="14" xfId="0" applyFill="1" applyBorder="1"/>
    <xf numFmtId="9" fontId="0" fillId="2" borderId="23" xfId="0" applyNumberFormat="1" applyFill="1" applyBorder="1" applyAlignment="1">
      <alignment horizontal="center" vertical="center"/>
    </xf>
    <xf numFmtId="43" fontId="0" fillId="2" borderId="14" xfId="0" applyNumberFormat="1" applyFill="1" applyBorder="1" applyAlignment="1">
      <alignment horizontal="center" vertical="center"/>
    </xf>
    <xf numFmtId="0" fontId="14" fillId="2" borderId="0" xfId="0" applyFont="1" applyFill="1"/>
    <xf numFmtId="166" fontId="14" fillId="2" borderId="0" xfId="0" applyNumberFormat="1" applyFont="1" applyFill="1"/>
    <xf numFmtId="164" fontId="0" fillId="2" borderId="0" xfId="0" applyNumberFormat="1" applyFill="1" applyAlignment="1">
      <alignment horizontal="center" vertical="center"/>
    </xf>
    <xf numFmtId="0" fontId="0" fillId="7" borderId="14" xfId="0" applyFill="1" applyBorder="1"/>
    <xf numFmtId="164" fontId="14" fillId="7" borderId="14" xfId="1" applyNumberFormat="1" applyFont="1" applyFill="1" applyBorder="1" applyAlignment="1">
      <alignment horizontal="center" vertical="center"/>
    </xf>
    <xf numFmtId="9" fontId="0" fillId="7" borderId="23" xfId="0" applyNumberFormat="1" applyFill="1" applyBorder="1" applyAlignment="1">
      <alignment horizontal="center" vertical="center"/>
    </xf>
    <xf numFmtId="167" fontId="0" fillId="7" borderId="14" xfId="0" applyNumberFormat="1" applyFill="1" applyBorder="1" applyAlignment="1">
      <alignment vertical="center"/>
    </xf>
    <xf numFmtId="164" fontId="14" fillId="2" borderId="0" xfId="0" applyNumberFormat="1" applyFont="1" applyFill="1"/>
    <xf numFmtId="9" fontId="0" fillId="2" borderId="0" xfId="0" applyNumberFormat="1" applyFill="1"/>
    <xf numFmtId="2" fontId="14" fillId="8" borderId="0" xfId="0" applyNumberFormat="1" applyFont="1" applyFill="1"/>
    <xf numFmtId="0" fontId="0" fillId="2" borderId="24" xfId="0" applyFill="1" applyBorder="1"/>
    <xf numFmtId="0" fontId="2" fillId="2" borderId="24" xfId="0" applyFont="1" applyFill="1" applyBorder="1" applyAlignment="1">
      <alignment horizontal="center" vertical="center"/>
    </xf>
    <xf numFmtId="0" fontId="0" fillId="2" borderId="24" xfId="0" applyFill="1" applyBorder="1" applyAlignment="1">
      <alignment horizontal="center" vertical="center"/>
    </xf>
    <xf numFmtId="1" fontId="0" fillId="2" borderId="0" xfId="0" applyNumberFormat="1" applyFill="1" applyAlignment="1">
      <alignment horizontal="center"/>
    </xf>
    <xf numFmtId="9" fontId="0" fillId="2" borderId="0" xfId="2" applyFont="1" applyFill="1" applyAlignment="1">
      <alignment horizontal="center"/>
    </xf>
    <xf numFmtId="1" fontId="0" fillId="2" borderId="0" xfId="0" applyNumberFormat="1" applyFill="1" applyAlignment="1">
      <alignment horizontal="center" vertical="center"/>
    </xf>
    <xf numFmtId="2" fontId="0" fillId="2" borderId="0" xfId="0" applyNumberFormat="1" applyFill="1" applyAlignment="1">
      <alignment horizontal="center"/>
    </xf>
    <xf numFmtId="166" fontId="0" fillId="2" borderId="0" xfId="0" applyNumberFormat="1" applyFill="1" applyAlignment="1">
      <alignment horizontal="center" vertical="center"/>
    </xf>
    <xf numFmtId="0" fontId="0" fillId="2" borderId="14" xfId="0" applyFill="1" applyBorder="1" applyAlignment="1">
      <alignment vertical="center"/>
    </xf>
    <xf numFmtId="1" fontId="0" fillId="2" borderId="14" xfId="0" applyNumberFormat="1" applyFill="1" applyBorder="1" applyAlignment="1">
      <alignment horizontal="center"/>
    </xf>
    <xf numFmtId="9" fontId="0" fillId="2" borderId="14" xfId="2" applyFont="1" applyFill="1" applyBorder="1" applyAlignment="1">
      <alignment horizontal="center"/>
    </xf>
    <xf numFmtId="1" fontId="0" fillId="2" borderId="14" xfId="0" applyNumberFormat="1" applyFill="1" applyBorder="1" applyAlignment="1">
      <alignment horizontal="center" vertical="center"/>
    </xf>
    <xf numFmtId="167" fontId="0" fillId="2" borderId="14" xfId="0" applyNumberFormat="1" applyFill="1" applyBorder="1" applyAlignment="1">
      <alignment horizontal="center"/>
    </xf>
    <xf numFmtId="2" fontId="0" fillId="7" borderId="15" xfId="0" applyNumberFormat="1" applyFill="1" applyBorder="1" applyAlignment="1">
      <alignment horizontal="center"/>
    </xf>
    <xf numFmtId="9" fontId="0" fillId="7" borderId="15" xfId="2" applyFont="1" applyFill="1" applyBorder="1" applyAlignment="1">
      <alignment horizontal="center"/>
    </xf>
    <xf numFmtId="166" fontId="0" fillId="7" borderId="15" xfId="0" applyNumberFormat="1" applyFill="1" applyBorder="1" applyAlignment="1">
      <alignment horizontal="center" vertical="center"/>
    </xf>
    <xf numFmtId="167" fontId="0" fillId="7" borderId="15" xfId="0" applyNumberFormat="1" applyFill="1" applyBorder="1" applyAlignment="1">
      <alignment horizontal="center"/>
    </xf>
    <xf numFmtId="1" fontId="0" fillId="2" borderId="5" xfId="0" applyNumberFormat="1" applyFill="1" applyBorder="1" applyAlignment="1">
      <alignment horizontal="center" vertical="center"/>
    </xf>
    <xf numFmtId="9" fontId="0" fillId="2" borderId="5" xfId="0" applyNumberFormat="1" applyFill="1" applyBorder="1" applyAlignment="1">
      <alignment horizontal="center" vertical="center"/>
    </xf>
    <xf numFmtId="2" fontId="0" fillId="2" borderId="5" xfId="0" applyNumberFormat="1" applyFill="1" applyBorder="1" applyAlignment="1">
      <alignment horizontal="center" vertical="center"/>
    </xf>
    <xf numFmtId="166" fontId="0" fillId="2" borderId="5" xfId="0" applyNumberFormat="1" applyFill="1" applyBorder="1" applyAlignment="1">
      <alignment horizontal="center" vertical="center"/>
    </xf>
    <xf numFmtId="0" fontId="0" fillId="2" borderId="15" xfId="0" applyFill="1" applyBorder="1"/>
    <xf numFmtId="1" fontId="0" fillId="2" borderId="15" xfId="0" applyNumberFormat="1" applyFill="1" applyBorder="1" applyAlignment="1">
      <alignment horizontal="center" vertical="center"/>
    </xf>
    <xf numFmtId="9" fontId="0" fillId="2" borderId="15" xfId="0" applyNumberFormat="1" applyFill="1" applyBorder="1" applyAlignment="1">
      <alignment horizontal="center" vertical="center"/>
    </xf>
    <xf numFmtId="2" fontId="0" fillId="2" borderId="15" xfId="0" applyNumberFormat="1" applyFill="1" applyBorder="1" applyAlignment="1">
      <alignment horizontal="center" vertical="center"/>
    </xf>
    <xf numFmtId="166" fontId="0" fillId="2" borderId="15" xfId="0" applyNumberFormat="1" applyFill="1" applyBorder="1" applyAlignment="1">
      <alignment horizontal="center" vertical="center"/>
    </xf>
    <xf numFmtId="0" fontId="0" fillId="2" borderId="14" xfId="0" applyFill="1" applyBorder="1" applyAlignment="1">
      <alignment horizontal="right"/>
    </xf>
    <xf numFmtId="9" fontId="0" fillId="2" borderId="0" xfId="2" applyFont="1" applyFill="1" applyAlignment="1">
      <alignment horizontal="center" vertical="center"/>
    </xf>
    <xf numFmtId="9" fontId="0" fillId="2" borderId="14" xfId="2" applyFont="1" applyFill="1" applyBorder="1" applyAlignment="1">
      <alignment horizontal="center" vertical="center"/>
    </xf>
    <xf numFmtId="2" fontId="0" fillId="2" borderId="14" xfId="0" applyNumberFormat="1" applyFill="1" applyBorder="1" applyAlignment="1">
      <alignment horizontal="center"/>
    </xf>
    <xf numFmtId="0" fontId="16" fillId="2" borderId="0" xfId="0" applyFont="1" applyFill="1" applyAlignment="1">
      <alignment horizontal="center" vertical="center" wrapText="1"/>
    </xf>
    <xf numFmtId="0" fontId="0" fillId="9" borderId="0" xfId="0" applyFill="1"/>
    <xf numFmtId="0" fontId="16" fillId="6" borderId="0" xfId="0" applyFont="1" applyFill="1" applyAlignment="1">
      <alignment horizontal="center" vertical="center" wrapText="1"/>
    </xf>
    <xf numFmtId="0" fontId="5" fillId="6" borderId="5" xfId="0" applyFont="1" applyFill="1" applyBorder="1" applyAlignment="1">
      <alignment horizontal="center" vertical="center" wrapText="1"/>
    </xf>
    <xf numFmtId="0" fontId="2" fillId="0" borderId="0" xfId="0" applyFont="1"/>
    <xf numFmtId="1" fontId="5" fillId="6" borderId="5" xfId="0" applyNumberFormat="1" applyFont="1" applyFill="1" applyBorder="1" applyAlignment="1">
      <alignment horizontal="center" vertical="center" wrapText="1"/>
    </xf>
    <xf numFmtId="166" fontId="5" fillId="2" borderId="5" xfId="0" applyNumberFormat="1" applyFont="1" applyFill="1" applyBorder="1" applyAlignment="1">
      <alignment horizontal="center" vertical="center" wrapText="1"/>
    </xf>
    <xf numFmtId="9" fontId="0" fillId="0" borderId="0" xfId="2" applyFont="1"/>
    <xf numFmtId="164" fontId="0" fillId="0" borderId="0" xfId="1" applyNumberFormat="1" applyFont="1"/>
    <xf numFmtId="164" fontId="0" fillId="0" borderId="0" xfId="0" applyNumberFormat="1"/>
    <xf numFmtId="0" fontId="5" fillId="9" borderId="5" xfId="0" applyFont="1" applyFill="1" applyBorder="1" applyAlignment="1">
      <alignment horizontal="center" vertical="center"/>
    </xf>
    <xf numFmtId="164" fontId="0" fillId="9" borderId="0" xfId="1" applyNumberFormat="1" applyFont="1" applyFill="1"/>
    <xf numFmtId="9" fontId="0" fillId="9" borderId="0" xfId="2" applyFont="1" applyFill="1"/>
    <xf numFmtId="164" fontId="0" fillId="9" borderId="0" xfId="0" applyNumberFormat="1" applyFill="1"/>
    <xf numFmtId="0" fontId="0" fillId="9" borderId="5" xfId="0" applyFill="1" applyBorder="1" applyAlignment="1">
      <alignment horizontal="center" vertical="center" wrapText="1"/>
    </xf>
    <xf numFmtId="0" fontId="0" fillId="0" borderId="0" xfId="0" applyAlignment="1">
      <alignment horizontal="center" vertical="center"/>
    </xf>
    <xf numFmtId="43" fontId="0" fillId="0" borderId="0" xfId="1" applyFont="1" applyAlignment="1">
      <alignment horizontal="center" vertical="center"/>
    </xf>
    <xf numFmtId="10" fontId="0" fillId="0" borderId="0" xfId="0" applyNumberFormat="1" applyAlignment="1">
      <alignment horizontal="center" vertical="center"/>
    </xf>
    <xf numFmtId="165" fontId="0" fillId="0" borderId="9" xfId="1" applyNumberFormat="1" applyFont="1" applyBorder="1" applyAlignment="1">
      <alignment horizontal="center" vertical="center"/>
    </xf>
    <xf numFmtId="165" fontId="0" fillId="0" borderId="10" xfId="1" applyNumberFormat="1" applyFont="1" applyBorder="1" applyAlignment="1">
      <alignment horizontal="center" vertical="center"/>
    </xf>
    <xf numFmtId="0" fontId="0" fillId="0" borderId="11" xfId="0" applyBorder="1" applyAlignment="1">
      <alignment horizontal="center" vertical="center"/>
    </xf>
    <xf numFmtId="10" fontId="0" fillId="0" borderId="13" xfId="0" applyNumberFormat="1" applyBorder="1" applyAlignment="1">
      <alignment horizontal="center" vertical="center"/>
    </xf>
    <xf numFmtId="1" fontId="0" fillId="0" borderId="9" xfId="1" applyNumberFormat="1" applyFont="1" applyBorder="1" applyAlignment="1">
      <alignment horizontal="center" vertical="center"/>
    </xf>
    <xf numFmtId="164" fontId="0" fillId="0" borderId="9" xfId="1" applyNumberFormat="1" applyFont="1" applyBorder="1" applyAlignment="1">
      <alignment horizontal="center" vertical="center"/>
    </xf>
    <xf numFmtId="164" fontId="0" fillId="0" borderId="10" xfId="1" applyNumberFormat="1" applyFont="1" applyBorder="1" applyAlignment="1">
      <alignment horizontal="center" vertical="center"/>
    </xf>
    <xf numFmtId="0" fontId="0" fillId="0" borderId="11" xfId="0" applyBorder="1"/>
    <xf numFmtId="0" fontId="0" fillId="0" borderId="0" xfId="0" applyAlignment="1">
      <alignment horizontal="center"/>
    </xf>
    <xf numFmtId="0" fontId="0" fillId="0" borderId="10" xfId="0" applyBorder="1" applyAlignment="1">
      <alignment horizontal="center" vertical="center"/>
    </xf>
    <xf numFmtId="0" fontId="0" fillId="0" borderId="4" xfId="0" applyBorder="1" applyAlignment="1">
      <alignment horizontal="centerContinuous" vertical="center"/>
    </xf>
    <xf numFmtId="0" fontId="0" fillId="0" borderId="5" xfId="0" applyBorder="1" applyAlignment="1">
      <alignment horizontal="centerContinuous" vertical="center"/>
    </xf>
    <xf numFmtId="0" fontId="0" fillId="0" borderId="6" xfId="0" applyBorder="1" applyAlignment="1">
      <alignment horizontal="centerContinuous" vertical="center"/>
    </xf>
    <xf numFmtId="0" fontId="0" fillId="0" borderId="9" xfId="0" applyBorder="1"/>
    <xf numFmtId="1" fontId="0" fillId="0" borderId="13" xfId="0" applyNumberFormat="1" applyBorder="1"/>
    <xf numFmtId="165" fontId="0" fillId="0" borderId="0" xfId="0" applyNumberFormat="1"/>
    <xf numFmtId="164" fontId="0" fillId="0" borderId="0" xfId="1" applyNumberFormat="1" applyFont="1" applyBorder="1" applyAlignment="1">
      <alignment horizontal="center" vertical="center"/>
    </xf>
    <xf numFmtId="164" fontId="0" fillId="0" borderId="0" xfId="0" applyNumberFormat="1" applyAlignment="1">
      <alignment horizontal="center"/>
    </xf>
    <xf numFmtId="164" fontId="0" fillId="0" borderId="0" xfId="1" applyNumberFormat="1" applyFont="1" applyBorder="1" applyAlignment="1">
      <alignment horizont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5" xfId="0" applyFont="1" applyBorder="1" applyAlignment="1">
      <alignment horizontal="center" vertical="center"/>
    </xf>
    <xf numFmtId="0" fontId="2" fillId="0" borderId="1" xfId="0" applyFont="1" applyBorder="1"/>
    <xf numFmtId="0" fontId="2" fillId="0" borderId="3" xfId="0" applyFont="1" applyBorder="1"/>
    <xf numFmtId="0" fontId="2" fillId="0" borderId="25" xfId="0" applyFont="1" applyBorder="1"/>
    <xf numFmtId="168" fontId="0" fillId="0" borderId="0" xfId="0" applyNumberFormat="1"/>
    <xf numFmtId="168" fontId="0" fillId="0" borderId="7" xfId="0" applyNumberFormat="1" applyBorder="1"/>
    <xf numFmtId="168" fontId="0" fillId="0" borderId="8" xfId="0" applyNumberFormat="1" applyBorder="1"/>
    <xf numFmtId="168" fontId="0" fillId="0" borderId="9" xfId="0" applyNumberFormat="1" applyBorder="1"/>
    <xf numFmtId="168" fontId="0" fillId="0" borderId="11" xfId="0" applyNumberFormat="1" applyBorder="1"/>
    <xf numFmtId="10" fontId="0" fillId="0" borderId="0" xfId="0" applyNumberFormat="1"/>
    <xf numFmtId="166" fontId="0" fillId="0" borderId="0" xfId="0" applyNumberFormat="1"/>
    <xf numFmtId="166" fontId="0" fillId="0" borderId="0" xfId="0" applyNumberFormat="1" applyAlignment="1">
      <alignment horizontal="center" vertical="center"/>
    </xf>
    <xf numFmtId="1" fontId="0" fillId="0" borderId="0" xfId="0" applyNumberFormat="1" applyAlignment="1">
      <alignment horizontal="center" vertical="center"/>
    </xf>
    <xf numFmtId="0" fontId="0" fillId="0" borderId="7" xfId="0" applyBorder="1"/>
    <xf numFmtId="0" fontId="0" fillId="0" borderId="8" xfId="0" applyBorder="1"/>
    <xf numFmtId="1" fontId="0" fillId="0" borderId="26" xfId="0" applyNumberFormat="1" applyBorder="1"/>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3" borderId="5" xfId="0" applyFill="1" applyBorder="1" applyAlignment="1">
      <alignment horizontal="center"/>
    </xf>
    <xf numFmtId="0" fontId="2" fillId="3" borderId="7" xfId="0" applyFont="1" applyFill="1" applyBorder="1" applyAlignment="1">
      <alignment horizontal="left"/>
    </xf>
    <xf numFmtId="0" fontId="2" fillId="3" borderId="0" xfId="0" applyFont="1" applyFill="1" applyAlignment="1">
      <alignment horizontal="left"/>
    </xf>
    <xf numFmtId="0" fontId="15" fillId="0" borderId="5" xfId="0" applyFont="1" applyBorder="1" applyAlignment="1">
      <alignment horizontal="center"/>
    </xf>
    <xf numFmtId="0" fontId="15" fillId="0" borderId="5" xfId="0" applyFont="1" applyBorder="1" applyAlignment="1">
      <alignment horizontal="center" vertical="center"/>
    </xf>
    <xf numFmtId="0" fontId="15" fillId="2" borderId="15" xfId="0" applyFont="1" applyFill="1" applyBorder="1" applyAlignment="1">
      <alignment horizontal="center" vertical="center"/>
    </xf>
    <xf numFmtId="0" fontId="2" fillId="2" borderId="15" xfId="0" applyFont="1" applyFill="1" applyBorder="1" applyAlignment="1">
      <alignment horizontal="center"/>
    </xf>
    <xf numFmtId="0" fontId="2" fillId="2" borderId="14" xfId="0" applyFont="1" applyFill="1" applyBorder="1" applyAlignment="1">
      <alignment horizontal="center"/>
    </xf>
    <xf numFmtId="0" fontId="2" fillId="2" borderId="0" xfId="0" applyFont="1" applyFill="1" applyAlignment="1">
      <alignment horizontal="center" vertical="center" wrapText="1"/>
    </xf>
    <xf numFmtId="0" fontId="2" fillId="2" borderId="15" xfId="0" applyFont="1" applyFill="1" applyBorder="1" applyAlignment="1">
      <alignment horizontal="center" vertical="center"/>
    </xf>
    <xf numFmtId="0" fontId="2" fillId="2" borderId="15" xfId="0" applyFont="1" applyFill="1" applyBorder="1" applyAlignment="1">
      <alignment horizontal="center" wrapText="1"/>
    </xf>
    <xf numFmtId="0" fontId="18" fillId="0" borderId="0" xfId="0" applyFont="1" applyAlignment="1">
      <alignment horizontal="center"/>
    </xf>
    <xf numFmtId="0" fontId="0" fillId="0" borderId="10" xfId="0" applyBorder="1" applyAlignment="1">
      <alignment horizontal="center"/>
    </xf>
    <xf numFmtId="9" fontId="21" fillId="10" borderId="0" xfId="2" applyFont="1" applyFill="1"/>
    <xf numFmtId="169" fontId="2" fillId="0" borderId="25" xfId="0" applyNumberFormat="1" applyFont="1" applyBorder="1" applyAlignment="1">
      <alignment horizontal="center" vertical="center"/>
    </xf>
    <xf numFmtId="1" fontId="2" fillId="0" borderId="25" xfId="0" applyNumberFormat="1" applyFont="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1" fontId="2" fillId="3" borderId="9" xfId="1" applyNumberFormat="1" applyFont="1" applyFill="1" applyBorder="1" applyAlignment="1">
      <alignment horizontal="center" vertical="center"/>
    </xf>
    <xf numFmtId="1" fontId="0" fillId="3" borderId="0" xfId="0" applyNumberFormat="1" applyFill="1" applyAlignment="1">
      <alignment horizontal="center" vertical="center"/>
    </xf>
    <xf numFmtId="9" fontId="0" fillId="3" borderId="0" xfId="2" applyNumberFormat="1" applyFont="1" applyFill="1" applyAlignment="1">
      <alignment horizontal="center" vertical="center"/>
    </xf>
    <xf numFmtId="9" fontId="0" fillId="0" borderId="0" xfId="0" applyNumberFormat="1"/>
    <xf numFmtId="171" fontId="0" fillId="0" borderId="0" xfId="0" applyNumberFormat="1"/>
    <xf numFmtId="166" fontId="0" fillId="0" borderId="0" xfId="0" applyNumberFormat="1" applyAlignment="1">
      <alignment horizontal="center"/>
    </xf>
  </cellXfs>
  <cellStyles count="4">
    <cellStyle name="Hipervínculo" xfId="3" builtinId="8"/>
    <cellStyle name="Millares" xfId="1" builtinId="3"/>
    <cellStyle name="Normal" xfId="0" builtinId="0"/>
    <cellStyle name="Porcentaje" xfId="2" builtinId="5"/>
  </cellStyles>
  <dxfs count="45">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_xlchart.v6.9</cx:f>
        <cx:nf>_xlchart.v6.8</cx:nf>
      </cx:strDim>
      <cx:numDim type="colorVal">
        <cx:f>_xlchart.v6.11</cx:f>
        <cx:nf>_xlchart.v6.10</cx:nf>
      </cx:numDim>
    </cx:data>
  </cx:chartData>
  <cx:chart>
    <cx:title pos="t" align="ctr" overlay="0">
      <cx:tx>
        <cx:txData>
          <cx:v>Oil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a:t>
          </a:r>
        </a:p>
      </cx:txPr>
    </cx:title>
    <cx:plotArea>
      <cx:plotAreaRegion>
        <cx:series layoutId="regionMap" uniqueId="{4E3DC997-3E87-41FC-ACE6-F30E991338C0}" formatIdx="0">
          <cx:tx>
            <cx:txData>
              <cx:f>_xlchart.v6.10</cx:f>
              <cx:v>Oil production STB/d</cx:v>
            </cx:txData>
          </cx:tx>
          <cx:spPr>
            <a:solidFill>
              <a:schemeClr val="bg1">
                <a:lumMod val="95000"/>
              </a:schemeClr>
            </a:solidFill>
          </cx:spPr>
          <cx:dataPt idx="7">
            <cx:spPr>
              <a:solidFill>
                <a:sysClr val="window" lastClr="FFFFFF">
                  <a:lumMod val="95000"/>
                </a:sys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fJpZb9241qb/SiHXrSqRoqaDr/qCkvbg2Y4zVG4EJ3FIipNEUpSoX98rpw8+NBroBnzjLW2ZItfw
vs/yf/3Y//VDvb+5P3atjP/Xj/3vDzyE+V9//eV/8Hf95v/U4oez3v4Kf/6w+i/765f48f7XT/e2
CcP+wjkif/3gby687x/+53/B09i77d/C22CCCOl5fXfp5d2vKvj/79X/x8U/3v/9mNc0v//94Ydd
Tfj9OCas+fCfS9eff38o0Yc//vo/n/Cfaw9vGr7WWWX1d/H2f3/j/c2Hvz9kVfVnUyJUNojgvGkb
Qj78sb3/+1KD/qwLTKo8x6itcVVWH/4w1gX+9wdU/Fk0Zdu0CH5I3ZL2wx/err8vZeRPXKCqaVvc
thWGJ+P/3pknqxKz5r/34j+//2FW/WSFCf7vD7AI/OGP+X/f+O+3K+uyJej3X8NFgVHe1nD9x9sL
7D/cj/6Hl15MehSyz92GH4WOgtc3Ey+E0s98Nm7MEs1RtpuhyRdff/Rz3MgFj5krH5DM9kBrFh/R
vPw6jngt6vhrCjvLnveyZaLT8xi3PsRK/NLFgWi5r1k6JYvq9EJaxKquGMfcXCUzBktqBMbqdKB8
LmnmmUyDKUKIr4ZP7Oixypf9s2425V03TmjHb7GxVnWLbIPtyimvtm7eVdnSpZyVul0P0WZUGMTc
i+OR+et+YH5QbOJYfI82X+df0RsRz2UhJKEbl/V+CllMK63bOKthXLPavMR5OkhnzBRecgm70KnQ
LqqzXG/lKS+y2lOtau0HZnM50+2YIj6jds0V5UdV1Z1dVkuolC3K+8ktle2InPbsZtwYbztYWqWu
nJhaUx7ncR5GxezYrfvCLZWsXh3sZDS5q+meSaGHNB947n1Qgd1Mapumhym06fhsucwF+5F73X6r
jTMTnWLlWmoWnT2XS8kEtbttMppJ49/msVTwyWpNy2nB88ipy1TdfGN82ghdcNzGb24ehcnp7sme
Tqs34/SVJCTU/eJKzq6BEGl7E+0xd8QXQl8U4R73vCWZ68dmt8cXVxUTGlK1travTMiQom222MPQ
NvfHixotYucWh/x4Xbd8+UfkIRY5rZMt+WBI1MXAiXZ88MjipVt4KMLFNgdDFz0lMnmaKVj9g/KN
jrca5aO6JVWzyE6nY83Pa3FkcmgyxuONJMyT4WBayCvZj4ncxIov2zMhy97c4lQg1R+hLvj9So6U
IKhMK2jeZNWVeI2WC2uNIn0xl2tOj9ykX1to5N7rEMeyvPqRLPwGAmUq6eaF9XRpju14MaWv4CaZ
Ozd4VbXoadbruA5rpprqTu4kS9dCQ170vpSltZS7tKVIRVzz+i6kUJNumskuOnfMUd608yTsSTZV
4sPGnUtvdZ2P83c0u8X2KEax3B5ogW0/YrbWt97P4/jGMtva12w8pukUWuHYUHuLvqzZuK1fuUc4
MiogAOJzeeTN9CONRdsM3m/YdWlrW9EZlqPmuvljK2/L0q51n7LWipIeadkP6vNyC0NVqEM9y4Yr
fjXBjOVTduyZuBu9gHuWamync14tpsV9pnMx03nVk+ybxtTzTANGqerx6FY75Mfe5tdpXbWdA/Vr
U/mLGMe03YU1jvJFMp+KXqm8rG5WPy7biahsIj22+zJ9YTylWy9n2DtNovrM5oTRsI9m2rrC1Ku4
elQHBafbuHRbVXGPb4dupqI7VmWWoUU+q/sWN/uvpoEEvuOTNhAes9Kjo3DuzlyaNY2QQ7iVuj5z
BOE45EUsylO0sOZ/sExu7rSAyn2T13uTX5eaB/XPvk8z6qNetLhlJRrVDZEMosWaeV4GUZN8+b7m
xc5edXDN3MWdNH7pj02bTVG1o9W96GOe/Y/aNc1rPmE1d4ep2C1DOyogbOfyy6jiijo2E82u3lQ+
9WhR7UE35bY4rFWe1YO3pIFaO8/ZP5KT1tDcharbcBh3mut6OkdZLi8tlBoDoTdOoSsJs4GqkLtI
WRXxreaZ2gaoW070SHp5uxrGPZ3n2NwWGJu7MezY0DIv9KBqhX5yQtL3cne5oLGa4x0JfHf9lPnt
oyMMDymO+5Nvi2alfJstwzRs0+j7mYxV1h+rLMb7RXFf9xmZQxqQxHIcKsmCf1ORNKYrcb4fvSPE
j1Rg6+Wlzo9WXo5IfF1Rh/O0nSdWTWyixZogw904FglqRD3Hm2oTylzGsay+bRpjdqdL3ip2gbhz
y6+wiCx98hAEQXeh9Khz08EHHcKnBo8dw+0Ty/lLmNDt3lZLl5vtpoZMoofFr/vSvCw12bo6Qvmr
EQ50Ips47WVWd9LrilZ+zi85ycSF2Wq5GXUMQ74yRGdbfg2mfPJzczY+PE9QC6mwEDRZfsR+G48K
zqNQdDLhPiPoTmqxQBEttmvDzGNt0Wcn+ccSpYaipN43sT8vh4/9UWIGB+Hf2Z69sap6nAroTDpt
HU9FuEHelzQQ3NzlmyNfCmwKKg2KN07Ji4mc3zbFkZ/LpYC2ohp9YksG2eEX3hWZ/LjN7W0zkUhR
kJg6CPCh3AP7mpds7Ro4k5mZcC7lWN+oWbdnhC17DpCirJ/MLEu6bkY/bqji+QmNgZxzPv9kpTYd
z3ZOFWTHEGX1JjLJ7vju7VBD8sOTW9nzVUMfyw/S0GYOj4lzDo3aPKQ97dRJJl6sENWpUeWDUmN4
AznzNUuo6qapuNm0fM0EV8MGZ32GhOV0LPlbaxf0yPUezqPdPG0F0dTVtj3lpcPvYdrl4yG2X3Xa
+anN09Stqr7JNH/Bh27vqz0+R5xzKq0pznLd09nZeezCPL8pK8lL4hv/nOlV3wRezr3dZfk1hUze
msOW58wEcimMzTqBzPfknKf1vN4d2VL3HmnTHwUaOx8yRo3L5Xcf83ul1F2D9EM4oGyaxU6nOM5L
l9myGtrUvHHJFlqZOFF8uLZLhb6t2TEN0M37pRC2C62yl52kE17FE2zddkcgpuwWEl2X+V1DJtAN
zRdnmktw6rM78HfLl8u0kI1ir+5FedzUpC37Vvq7Y+FTJ7GbrqE0p0mZJ8nz68rqHyT4q8/jiRct
o+24n7Z9P3HMz5hz/TZl0l02zn7KekLU7Lo8b7vX5ym1X2O7ZxDT6FxvR9Wxwp73OJ2bmnV8zXEn
t2broQy8gP7+KFFxW87uzrMxUTs6SVPjb/eJdWqFGoonlg2hKosu8ChPYybzS5YVkMJxrg7KiK7O
yOTLaW5Z+0oOYT9aPvkvOcHxIytC/t4aPn4UyaxTtxeuusbJckbRmAJ0bYPkp3UOoJLqqj1pOzWJ
+gLx27bYyd2YQKJGt65va5z3T7Vo5Avcop6a0ITezCW/58EVlKt9PoHsbt7nOheXAkTWxaR2flj1
wb7GMKYHmWToRmSqXxVp5FMwa+irtCz2AbSoJPCyCI30cDF04Vj9V8vbjF+swk15v8c5TZSpMWko
Z4f13Talw52UG9v1akBHf9cZqNKOtDIsfVNlTA3EpfixTFxA5Y+hTldIwxj6uKpKnMsozHRTVOte
frNK1OFuCqiaoEoQ+49IWbW+NyoX9XmxyiDSL4kZNnetdVnVedSyhtYNYs9CeThpu4B8o1jKZqci
7cL3+bbmz2u+untTu/xzEi5AJ5jJTZ4Wk6hcXLPCS4Sj6tfaj5geMxKgrhQ4ov4AbenPtV9D7Jxb
YRsIU4sChYRDe9lB12DarCP6brPqy9QgMxC81xRV7TqBS1kftywNWRU4PYo1dBFcRQ8pu3/Su5O3
ajPzZfLBQ12U0IG3OTtppquurKAVW1m01220OS2nCd1AQXhVNeEv++6WJ8NScStYKqEQ59PVxfxq
1/yrQVXe7wsWnZi8opYUn4MrvxE1V4+4th+1bdA3jmd3Y3UO7Tk425flsl1Qlr23y149Hii+2aP+
vkW/D3qT6WYSgne8ys1jGXS41XPUZw8pe89x46GdctG1m9o+zSk1fTisOIHC0L+OVqUTFPGjm7Tg
J4hL9dtJrOh5PqbyEsjKh4m47AUcRT5sbVS9AP8E0lE3PWlnqaFBgagD25NnN56BpKR5gTW0CJ9d
q73I70HI+bNZTN0RRu7VMs10qet4h+vRddo1SFKSW/7amtzelus8ghSX6ozNrO6balyg72w/l9Bu
Q2r26SzMuF9bo5vOFuEzVAYOL9ac1O92Me7rgyblz3ppO1K0l3Isu5gUogsSL6wo3lEi/5gyflzR
BtVS2KkD2bfTMbb/hJEYKmahoM2v7aCWklCj8T+4KKHPZy2ixNmbqoY6s/F4dKYCX32M1SUT1cM+
Fw8uC59B+yWqPe/dzj5Ns7+MPkq6huo+q+Tbiv1XYkA2TDl6HAm+a+HDgOLV5M15Q3ajI0r2UrVM
3ZSo7JZZQWPBJKNeTeWpkdvDnuSrievPlHtEj22+B+V171Ie7msBIqAYZUErSX61NhO02aoNumR+
j3F1lXVbUC2PYoiFW2hooIqy4jxzv9BNlFc35q+BifNawToqsoLnbEM4u2wkNBL7g6NjOa1B2H6E
NtLVFXhEJqAGTpUoqJCloojBorMdFzSF/VuxV72rE3RKYEVdPrtPglWfgvcTtUmoLtj1dQz6vMo2
0iIP89nsdbwG3q7UQYm9zpt6DsfeOxlUJ6E7DMiNp3nCUDSy6aGNxkLPaPfOxakdvMlYN+v0eZrW
uzw4PCxtBqGUgcvb8ESFU68uLM955fOztSynaTN4KPPlR1sgT7emeD7Y3qE9fyVT+xTVdIO5fyRl
23Ez7f1mBHueXTGfps2EC5ZQfyacAbbwSwOERcmnhRjSee9kV0143ajSa32nJl/Bk4ToWF6lOysq
TVVpDpqvPO9GJe6ibuAjnh/dmuUPR1k/kuSvxW5gNY0jXZlmaNB5c9va8kTyRM4qCX11GYQ5Bos2
Kp36A9Wfy6W1nSmylTZV+2Lr7S4ydZ+kRhQ8xWUq2OeSpCHPMKfmkN8AG9z7Mn1R0X9KctkGfmS2
n3KsIPSbC9S8+dI4kQ/1OqoepNHWeXNkHdpApSYoL3SHvaALGRmU07CZ+zkBNJBqfI12V8OszSeU
zXeaFe0zQXa8phUeuSicTpYo16+stXd5ns1X0HHLeUEbgYZTr59BrRaMLm7SIAQbd3U+zr5DCyk1
MIe9OJVHlDNgHO11N7XzyLpjc+P3Jc3xymVA7FTOKQowo/P4Fla5r0PD5qO85EUJXbE0MuZDy5d9
p1EicWrFGF+yacS35PAIJEwG+BJo1atoIIlGkX5lcGjnlMd9YAVJj7oi42nNom+BNCUtoXaQ9cSI
CpfaRn8pq6B/KZSVNwFIxjXkC3iuCq1njlfIPyyOZGhglWjgS2DU6ArmtJsjHHN2bPzc5k0kdFVj
DmUmH3V50x7tVNxKLf09wdn6VaPK2fMkEZRsXAPbuLaoRWfRivYW4M3W3iuk2NWoTUJGtXJ0V6PH
0FVH4R9zj/PHA4/tE+dVEi/ztPv9qsJR3B2CcAUbbNzNrh0+L2zPHyYEiuacbYIZWhiiUC+BdAEp
SIhWYOhuQULsgxNh/8XH2gxgq9BFHhYBPCwO3DdlyKAc1Jhm2fRcZke6E0i/LgU+bmdcss9Kb1U/
kkk8Mpf7j8ixZ3vE2ySaT9h5d7UY5GqqHDkZMb7y6TjBeYOTroq3NG34tGSVoGRnke4N+qT19Dyy
5WENheiK1T+RFU10L5vrPuEHsuuTtMVg63w5V778qab5BoE3iC77pveS0bC7m4OrfJgq+8Xp6XFG
xg5NI1KHgJj1lfamw4tewe7tEqKsgr5XVSdW8EGBE+1xveYnEKf3q2hA41fTPy6KOwkisgPOaCmc
yaVK9r6S7U1Wl0Pm9obGJqaTU0AU9djaZ1LyAHAvyh6xPIcu2bKhseM2ZA34hokcGw2uLm4kRuKx
BWfwWBo8TaCNZktDMgKKHoHVkQrNwO1s6Jd2VXcbByqndZ4/ZDmZOizjfWzBp2VAi2FbdEklz86V
sncr4ZfmiB8LOQ2Mzc8Oj4auWSbpTtQFqJvsgshu8eg/FXMgHTqkHMaqbocqC1AECRHXuSo0iOfx
ulUzoXuVPbXh+OK3paVxH1+nAvovweFr5rLHSYZAZ6AsnSfzSE2Oz5MwG8i88LCaGjrbqH+bikdA
s99thHiux4ea6+dpxwPC5Zml9KI2UlJt5kh1DXV9ldkVrfh7luFbQMWMHlX2htrmGxL4uE5isr3L
wAtb+TSm+i5V6T6w/Hrw5su+pWFl6pNX+ALAtHfYXwk/zubYGMW5GabGXQ5vp+s4ItzV9XafCP+F
mb/Rx36vpuXZl+UzlJ3nOmOfWL38Kkt1Y4EBsAIEiNTpccHSnKcDnEmq3a8om9C1RfwMZ9u3roHW
3gx4XOFdovmSmul5SeNMicmuRK10PPhTDPbnbOOQ7QWknz+V23Lx1gKahbMti6KfrO7jjnnnSwaK
w73gbAEHGYZjL64YAD6Z7NOGyUclSkdJ6QM9ZPW0mewBSN19rePUIaJ/yCz/qir+KNNyWX0Ljbr8
BDXf9976pTv2ELp5a77Mq6OqCazDOuYAW+vqEYG9AzeSLB3HrKB+lPgcxvzKYkY6yaHBzqieP/sA
uB1Z7+jsQCwu8yfYwcdmijfrsXah2S+TzW/bCIpqGfebqVKnhsy3slkGQoCdHKgR/bFI3u0p1xQy
/4vO25IyM7NTy8hKreNXoIt0K+2bF9sZROUn1hTnY7LfVXIPgMTumFp/iBRKCEr1Kic3uIMMbp8f
J1c8LkpwaHx7D4Cwl9l0B/r021RNz2oaO3UAfdHhrd7KjOZlC4mH+W8B58/FdgiqwUepuDwGzr/U
s3i10gm6m4VduHXvNjJA3GAEQc6gftbi2hilO7G333c/fg+yPC2Mvxa+fYMXnW4rtj8ID4H5Wynl
4x0f1zsg592us7krFCkGzDM+lHh+Nbg9x93YN6LL9mbVwlH/W7PgDUFqTuZ5l37sWzHDt8udD/FY
n+oR8AfG9kls6WSyrO1yoU54nF9l5T8Tu5UDtstxquvqZz1X2Xn1mnSzK+2JZOwF6M8PkzX3W4Yy
8G31b8F53IoR3btm4XSL83MJtKhLy3oJaINNLdfnle8QHZa9hi1+hVTlFzG352bBr41Q1/VQlro9
2068PmJz2o3fbsq8nb6zgNM9PgLXtJFB4H7BjYQj0cX9Os7+BNuCb2CaAkgARkagh/Klg6GA/EFi
RF0Em/y1YVl5TTMC0V+MB7mrAC9/hHnN8UJsOu4Ltfqe+wpgAxmb9WMmVnQFjrXf6Sp3PwTQrNBt
y0xmUCdjPI1rvv8TlGaXBYz/bXvs6B/niHsDrPI9LgmwSv0bukQ+wmSkhC7ORQ6/6rEbk3hyCgvK
ffbaxMKcDXRjW5eqqwsxsG1d75ttqS9gRB/LOQdmvybcHTk6aKvLZVjE1qOsBjI81YIyDFk65lAG
qhZAeQtpArQjUrAEz0SSG1S4jzD3gzCtm3SqjCyeRFEEClw0h6nTonrYLg7nVO1UAlOneqklBSL7
ktm5oVYtfXs0X5KuHGy+/FZN9XcL+rhbuSy7Yo4LjBrHL8zxXjXWa/A++/dK1F8Tb7KvpbdnGCS5
ISfHRYf8ZUTou1uKn7zeu7Y6sr6ogRSQKL+kfc+7GcYl/bRgS+cRpDaCKce1/G1C9wz8uRNwfHss
rmo9XmueVcAKw9cgs7ua4Ucf0UNYcOqZ9tWFedV2hiHfV9DUqeNa0Ux4QStwWsjMt3UrLjaboNAv
x1dgF4+6dm8qzz+KcjkoWu33o0r5A3Lxggj5OO4HA5YA5H4v1JUX1bWAoNvTQijfQcPoMXeXEkDF
sJKAe1HOopcxpnNNYPnASp5IskuX9hnQGUyQvuXuN2IwNTktWJfvdhHmrilWRNd9W66KYf6xmDfx
cTdHvCkxJD1utv2xCaMC2jsT/F5BIPcwDJoeYWxUjtS7ypYwyWwNwGE+fYwLZg9ozeytbz34PZ/j
DAooWdQ7zOpyQ7dszL+3TkXaLC3M/yBau0Yt21OleAkIe8VDoTX7zDJR3IWG8ys6Coj5Su8zOkHz
rR5KoLLXrLbk6QgV6bft4DKju9TgtdWeQzpNmwLCDsvDxbH0XlQgoHizDwCygM5YEdZnvK87QPpj
CTPUiKKegR4C76AqT+i6CweYcwEHpfd2+uVaAU28MMXdUnjzonZj7opo65vCJnxp20z/wlvBbiNK
y/OI2qqkXEgPfxQZMt+n2GRwTLx5lQ3br/Iwy7Ut+HaDxqUcZGjzTwDOitBDBURfC7nmnZpd9Rs+
mYeAbXYeUdwuY2H9GRHnbi2CWZlnpg40tbrox3muTrpO01OWZijEUxlw6GCX1k+6sMXn6rfn8s0M
GxoLMAvmCAAQslI8xG0mV7KGddiaStwCvMpPG4JpFNVFnE/NAbJX5n66lhsKFeULnvpoG+jpopa+
q+ZRXceMZV2GG711OdvI7ZJ48UuXzGKaVCh0R0IrBxQYaPGjVK19QcqnnDJIILocIMWA9nxCMK9p
usg28Q3FnH+2ZZCDhsHD3MPwFIiQ3I6fDCau/bqo4tn8BrsaMdY3spi+cAUDzqWd8vtJ7x60bNOA
RiHlI57q7clVx3T0arZTNeRAvk5p3dkgfemg9DXlS3KPWQOchNEaewej+rZJEqbh9XaDg2cXtIeL
GdUh6WiA11H4z4Wp5zCLVC/lspT6NAY58SFj0byjsUA/R99uN4nV8p0U1Sj6aEb/bQQS8TkW0lY0
2IUcNB6iuZ9VwRFVyzF9Q0bu3wzPbTmAnAnlbZXazJ+Ibt2uqZ8gl2EBYBpo3CofgRZpEOJpdhsD
fecQ9Ik6FuOAFsCbACGPpKonVnOoBdXI3HY5LAeht+Qjqq8Jb5dS/MaFM5ERdpFjcVuOtv3UgFe3
fSKqgP+nMNBwhtWOPjsjltrqVK//ngebDZTUFoI8q3VNxTAXbVC9agEAUl8aogfhDIzrZbuBDHUJ
JnxUp9Kyji11wy4lTuoG7Q0Pp//FzrklSYprXXou/U610AUJs7Z+ANw9Lh73e7xgmRmZAsRNgAAx
mx5Aj+KfWC+vqnMqM+v8VX367Tdrq6eoSA93cCHtvda39sTn6TME2NFkTTjCpXFTPMXQcKl9BbmC
E6YUOijSvK/XYT9RzdRFrfriugxx/GWlnA9QgGV4Jn1QbfcAUU6rqejpkjWMba2BntGGH10bwKFU
QYudNoqcW/e6cVBRheZoZfFLsBssGk4yVL6honQ5M3wXchzQ2dg6Hu0qotrmssCRq2AzicZeRbNW
5VW3Qgf+JISpxdXSuXW9Go1o38bKLSs+Na3hjYQu9D7RVsxpDlSjsevUwWjJ46+09eJbHqGmSDao
hONlXK7NnSrmoElHiEVpNYCBSAPVbdBMQIu4hI2T6g+CTO2cjbk23Y4u0JDOXUymrzygsDjIRjzJ
6mJ7ypfYJ0L1sFFjvmHHmEz5pVm563f9FLsYCkLLQIM0cezvwwkFNemmxl06ytQXmBx+TQH/uDVz
eQ4Ah0SBIvuB5OZKx/P2bTIrmv6I9MRmQQ6q60CaQKpdsdZDnwUEPkcyla4ssm5p+iNfPF2P8wkZ
OaDyHqpTa1agGa3UyC5dN0ItwxoSfr94LoE8RHG+rUceuE4+yDmXQbasZXPTQ8/Qu0gDqUgbXevh
xpVMs52PGYAE6SDwHOYZ1MlxmIJYXDrT9LdyzTeWNjS8nHDMLuiw3GoeKtR8wxV1ekZBswUU2E6U
YxnCeFsClPWtAo+0kt7idlZbn4CFAjiy8Bg7cRihUNiFc8ua/SyDcIVXb5t411Zj8KXoCWHHHnAO
lI9whpzU5bb6WDdZ5MkUdSxVosKF2k7dzUEHgASkTjQDsTEFS7GCIUOaMoat1JA8ztPeL+sD0KBR
o+3y1ZPaVqruvF7qz5XYxu18kUVhHxuAD+F+igK082TUfZFUKNry5zqia3MVFmM5JTP+ygrDrHA4
o9ecjSiD5rZ5k8GpBOJBoStU4aOCQE3HyL+IQZAyJWopJJTqaohSWRfFM2pdphIbFFbfRS3dPhbr
8i1raA78ZgrK7dVUEZxTn7eKJ+M0uM+h3RqTlk0BzXBaJB9uel3P32B/VibpCvzFXR9v45qEoWTP
G20alF/S4jDtoWaYFFxWsH4lcJHsXoOukQcSz7pISaEiiQesmBvU4VWlL2pa+W+8Ae1wzoaaq13X
13Oc1H7d2ktJunZI66UHS9WKitf7OZ6KKCmbij7PfOH+YLkUfiepyD8VEHnduwCkMV70QUWHTFfC
Yh+XwxKnE8odCMZBExzRlpdtEmHNsCSe5XjfzgO59l3emKzUQSuy0Q+dS7yrwdlgM0dLDVylPlsB
Q+2xG0ZpSea5T42hFZxwj74QtV7DxDGyqx2ysiD1eFEzHXNsiwO2T5gbcCmmWoaw++Hpt5mrONx4
UWx83eezte4FHqb6lMNohK4a1vQLbeLgJTein7PY1xyNPhYHHIE+5s2+m9dB3EHxYCYlwpvi3Oaj
5MdqCYYbXvVtlZbluFF42Hyg6RQsqzjHTjuxyylGA5EtQMzGbGq1sDjjui3P6jByPsXDOxXHjuUM
SNkqzFWt8YvLZgibMjXWG/jTSq14LPpxuUFNt5Z7NjKAXmUb1MPl1G9QycK+2zrUncwUxxHyyJbk
Kpq+NN52zb61uR7TsfZMpB5Gij14Znl5KFCjTLiabfkyYf3EENeIUAdaGgBThdZrfwhzk3+OuQ62
AxioRh0Cx4d4H80Etu9WFRbU1rC2qMNc0ZXpUjYRlMJiHq5sXDKzs5UQM07AZbuZ5EzXtB5rWSUD
9wNAkx4gCjrojpQXA22mdQdqBjsHqyY+nm/dxBzkryEed1HupE8bvFbsOFTBMZVLN82H0YIVQ8dd
wxAsOohzKadNX/I1seAFnkznT7pR4LlPZTeG/qKuqAiKRPFa42FqIr9dh5Lb6sDjRbjTlkIb7DI4
saPkO9j1X/CjJzj0D3hUoaSRMQkjJgVVaGIoWNkf4NEWG2TbFBRNVT7gaZjGEFsTG/bcBX2CO2nO
vD389XsCfv3xPSUREvhriP1dgoM9Aa3fAash4yWkecMyLhtyLxVUR2YtkFTTjXvI0vm+1dxnBjci
XcSwub+5ZvHn948YFTA/GaeSsJ+uGSpesXmB959su+3DspjPJPXgJUixfv3rS/1Xb8WJjIWS4IDl
z2zutqDw7IueZSEd6mtK0JAHAOYyo426/+u3Ck8f+4evEtubAo8MMDIC3iDYj7dVl3i6Z0iuKDM8
SFsHRVFbFJgiy21AjpUbIXyZASWQx+bbQ4JPHIlI+tcfA9Dzz59CcQUpmuCwgIjw06dAtd447Bos
01NDPxsUpnO6mqBOelu3dyPase1v3vFPS1jiWqNYKgoKOpTRT8sJzXFe4pnEZXZRkXTV/BXwDckA
Ab8WA7mzGoDgX1/jn79VJjgXTLII+qGip3vw3QIemrXgdl5EBlumzVCSbgmrAQkROU9/86z86XYq
LpWIophFgjPG1Y9vxWbwboubwDGHlX0tVlVdbI6HidJQEro6Ds7++tKAs//49eHNeCQp56DdGY9/
ujTLir4SukVLoCyrdoEtAcCt0BbV33xr/+KNZMhOSzZW2Hx+vofx6nDcrB1AgYHMD2Bii+uVz3L3
15cT/vltlIK6RwWAQS4jflo8331VzgOOXzWvdm0j2L7tKnowITc4EsYqHSAdpXpQW4IP8exbne9A
crSJ4W2RSlWcOoIVBrXM9d+soNPX9sOziqb2+4/109famhwXO4tq59sC8IcBiLC5RuOxDEwqNjFd
Ga2r2zqP6d8sqD/dEOy3+FrxyLAwDNmvN+y7G9KX4AkYMzVEFtYeu9zHt74k8m/e5ecnhCts7Ioi
GoFVi8r5p+sj0CtqmGwhvHsQEoMq15sOdV6iqrzI/vor/vmC8PwpxkOcKTTCJ2c/rdiBgW5H915B
dg7hlG2RGQDtr71c/mYt/XxNWKnIV+DkkBRol4jIj0tpJKBfRuuKfbh6OlyJbq7uebQSwD1gTubf
Luu//5aBuf1tMfyW9PjS9X4oNQrSX1Mq//zxf179I1vzP04v++P/n4I0f/x0039tH6bh69fp6lP/
87/84YX4+7+//ymD88MPfwrkfB+Y+b/95Q95nE8fTdlmJRqF8sv0fboGaRXkaHB3/yKU88l9+SGR
88/X/B7LkeIXiZIezREWmsIKwGH4eyxHyl8AdKOmiSIq4C59F8tBKoeqU+6GhCFlhEd/xHLIL9jI
hSRYq7AMBA2x0/7jFvzwZSHA9PvP38dy+K8byx9PuBCKMC5wfOIjYG2G8qcnoIC9nE8nebmc2/m1
tNJ9RRikORchMkyE9uUttaw9F4q3T1YF/F2ebKVQkOrQNcW4g+4pjrpY2szE5baTPVzpDBc9fKs5
TE+Yu3zvc1q/DGExXyPMUJ9pzbdUR12Udr1jDyv6jH1RzO3l0Hb63AyePwZwD146ATGti2X1ZC3Y
U9pX85sPOfr7cYQxHjDFHs3agDkLO/a69G2ZARCq/Y4ztzyGiqOOrzks/6iZw7d25dgycaj4ZMGB
ckAFHCXV0rsCTOqiz8OWyTsDbEIjFrSNLKGgCz7LfHZ30Lp74FZbADWvhuuJWgwPEsS9ql2TiXi2
V9HmaeKgPE8JqQHE7icA5vuih1OTiCBed8q38DlreHDvFQSQDjpMCEjQNHMMYiUw/t0UC/6oBQNy
zYeZfg3ajjzgUadXOTbpfd2P0xXobXJbi2D5wr1VbxAciuM0rLFNYx4NJ1l6W9Hx5NC6FtMjxMEm
ZctErqa7t7HSn+cJnuWZmnNyS9AqQgkqI/Xayk6Bjh+GtUpxh2Gc6DE0uxWBHbsfVB3Lw+zmqMs4
d8ylumrQESmNIm5f8shA/o47ksmm6l91HZHnqOPFxwQ09SyPhTt3QTOkg2maEWya9V8WB7n7MCxD
0yelbgD8RDF6z4qAJgLGBosgXBx2R+JFfufHvIM0X4j8xoebg3rSipOF3ASjfW593/M0zhf/qZu9
ecAGp14BHW1necjj11VP/achrkKVaF/mezK38VWrldmXloXXnTbLJVIPdh8vnIArqKPrhoENg6Re
HdFwwKDnZqFf+rwC1hIhPZTkPQj9BPGGqUsCNdf0WlsFjzwCdnXToj996kYJgl1389VSmeCwKDre
AmJQlwTBo0MnmuCSo0W7jKa83BGV5+ALRJFBAqquO8eq/Ziz8kRucmB7st9V1kOSw7rYmXrbUlvL
/MJ2ZN5J0DigU/vgVQ1R5hEuee9MEe+E8mMKa4OBMBkhsDdQ/Vzv4/NW8OmKqqFLcw5omHloTpyS
8tBs4bqbTtp/gd0Inh+6aQbKe9dtzgJ6N9EFG1R8K60pPzNFAaL7ToE52cJDO6DXR78ISS8amv1K
B2iVtTRHuZbzHkUnGrVZWZvYpivPelbSQwtC6I15HVwToiHl4ouHkNnURXOkVVfBATK5O3S0LiFR
gxA24Ke8hJbQCNXClu/qIG1rR9+9plGTWlnTS70OK6j8KnwhCxm/nvDgW6W5/ipoy7+UYbjs+sUW
2Cvy9Y1Jh7+Q40ascRngNjd+j6xJswf5GJ0BO+5SX6+g07a6OVtgMqWKzLBMrAGtuM6E7JDD1Klh
uIut9eudRBIxdWQxS7J6xHo8zNpkaGT9TIUz58qX8gypt/YJdFxzxSDMXtOuC3YmrssvmgbVrWR1
9Yi177NFCkDCHSFn+QKKTDDbp2Vr492C7eZKBdtsE1NadQMcDbV9ZwmoyIkT8iEqsCL7X5VpL6Qv
4fHO71WeF+cV5DMQEgSUI0gNcOeBsOfUBuWUQiEAOdnNYImFguiVjzwENRmMCEn+KmCT3PJ9V+nm
WpClvHILVojsGDlvg1hde23s3i6K7NZV10fnC4g1geQ3cwh1gkYeFRwvxNsyhXHWU2QhYO7GUBRI
AJqu0d49QxaC5IC0IWyQ0EbsMM4SLqdvJvwzBEK3OplaIm7ZVIevTcHsx0CC4RphGlFnohMsTCa+
QcOGokuPK1JOAMYLOb3ivLNvpBgFsmDOnNDuVgbISPiTQidEDCFhojR4zivbQPkqw3sdvlGxlDcR
39i5E1AVoJ5u30pimg9Le/LoLDibSjhXZH5BUmfJq+IgGla/4qmjU1YVHRhaRjUU9dXDcQj09OaG
CT9PCJY8LQJYASDRtbid4mH+JKsyR5crTYxPF4vtBlGcaQ/npXvB25mboWibBwJZ6J6CgkhZDBxC
yC7/1K20eYTMBXB2JcMup2vwBHFyjc+Fg02SQE2TZ1u/RPtoHrqbMtfTU1H3tU+ruR0fg36cL3BU
Bw3ucz63mV59PiWcIfSKKKehR7vR9QP49AZJ1M+Pcup9eYhzHTWZhrr2LR8seBFPjEzAsk9vuW2m
g8pJfgcGQA8JCKNg73I1VdhFqvJBhtXJXkLxm0z1WF71sHYD4JtkA+q6cgi6UQSqNgy291KPQ3WI
AoowEkrc+NMAPwL7Thd8Hg0rzkyeQx5A8mrnpV0TAROLnmid4qlrZ4IyJbc6myDEu6QPaX/J5xJ8
TOun4m3Z4vmAjq4BulacQmaeIluJOrwKHm2o+lskKeyVV926h+u93K3bxg9NlbfHsS63Z2cjtxcs
WG5+LRv/fxX930ISkiim6Ib+8zL66uv0QxX9x2v+UUaHvxApIVApCCghJyft5B9lNP8lZgzFMkdT
JWIIhP9Mt+M3kJmg3SEpyhmNQjTV42/p9vCXiIToL/FSCm0N8t6/VUXLU0/1QxUdKuS8kHyFVHiq
6X9Sk9apnBeJwG4G5JaTjE0SGMpcGURC1ChdnUa1Gj7Zzi7BbvA0uo3DgnwrOkRygSgjmTjnqu+n
PSzV6TIamb5du3J9acRUfSC6l3+i87o9+oa600YFZ57wfkFl5uNrB2TFZ7yUDVj/yfo0mmV1AdNm
eqAhbZF/HbozG85l1hH0moheoSAM7Mj2qK7yLz3gra8Kcf8dy91w06xsutyKiVwEbbTe9P1ikMNB
NIpoLV9GJ+W+LFV7M9mo/BwhkQsBfJ1eQ2awaXadTGfJwQSVDDx4ojXqsrHk7ApFpr/JO4FUMY9L
gJIcMFzZDIDIqm1Op6Wuz2ctqjOUFePXhWu905RXTzjL4IrXQ/G+Ys/duSIHIICy88q1TXRfVSCP
We3HtyZfok9h3cER7nr4Zhua4/M1DqJn40u27RpadMcp7PllRcv6oYJPX8HljnqgllYfDGL05+U0
RBcBtvsLzQUOz34h7Vfk2UYAwEC7dxivgP2oRtjhPiSDvCpKucWJo8F6WzqU8TAHnLnyWoe3TrbI
y2j0fBluFruIZ9Nc+kW5D+WQPkJRU+eXiEE1hxqaAGINK0IXsafXrHT2OqJgSwLX27d23uidRCT2
qcwnBcCDINvfAAPrQ2/eMBJB3zV13XyYZa4vtrjID8DT1DdemxnB7i1GOe9MBb6obcsXGUQxQfQu
nI+Q/xHXyw05X13Mzstw4w9zgPWb6om0l0hLxOdczQ7u/jw/4EbgmGgnspyhwQ3vt0mAEUAqXnzx
YxA/gN8rYeKOtO9wQLmZpPCT7CNZtmVvK9kfuDUgOCnyQIIv6rnVbjEZZc32IFVX3SHQ7m8hK8Jc
NK1UdQJOId9BuaWA5YcAZu/SBw4ohELk20aDeGkg2e2k79tLtGvNmQ1iUFktytkE0W77gm8fzgoi
ab1LtFoHZGw4vbPwg1Gm080i4Vqai0AbfW9bJU6FjoQc7UOErTkS5M1FUyzhfkWu7CkeY3WjurbF
okHTA2S+OyFAQtzwkaBWbKv60jeSwWiUgp0pwasGBDRdM7YUxVnYFtN1Qyf1oVY0cUYTebl5zRA0
4VpeLjmWINcVY8kg4PMlksA9xRVrR4aiv9hMPeyXOZiPvUdCIqB1eJljWYcXXQi2f6v5xvdqJVWZ
Ut6L2yVQbBfFRfgRtkoC3+rwfO+3BQ8LPTllqdeVqtKJK9FcAEsacZsQiHotAMEVKVg14KrUzm+8
RuIOLlE75rBzwqkFl1+vNhk3D7Z7UxNyyU2Hz6vhkX0MUwTcFFiTe0Hha9c9dgNJk3ot1/cGFDfo
qanmzy1h45GMeaGSGld87kW5fEKl2Xzlnegf8XXrMyTrS9AKY370SP7AeilteFeA7wyxnvv2cx7Y
5VID6ztGQrJ9GOjorR1EOyVsDnsPZgVOWEIFHL503tZ8l8+cp2Vdi2M8oUBBwhTaxhSgFQd8lfVA
tVArObNAyPSAC6PldaZh8bBiakKG5EN3tcLNvJx5Jd7XSrK083x+R+wIvSxahIi+Vr7tATBZjpkZ
xosTf9Qu4TstgXYvKUqxPnhE9MjO6MIt6hkll/VsQJFWXYNmQW2rOnQ+mWSy3nYK6KTN9Ai9ZBoD
pFqdKQDa1bDA7zAlor0c+9WWGdbIeD+rKLy1IIhR0+dV/NS2K8B1u5bodgNQGSv2la54GpewDAG2
18MOBXN1tdixi/EcTNiHulZVt/nAg69s2FAilTP8v6wwFo9Pr8lwizYKYxyGUBxgxVIE+vvcwZXW
L6hb1Z0sy6bDZeU4darR5mgaCcAhPHOenAhtthzFaBQy73zSN7kcwKvCujxX/VDfhOBqt8yHcrzk
uTSZcENz7x1jh3pb5A4Z1GiXbzAg+WYQga7QkeuCgrUQ4CMuAhTaCbIH66FEt3oOwE6dm6gCrxRU
Y7d38MXxQo2oJFKRNoOME13Awwwy6EXLkc4cgOGAtPZaTOYmHuv5EAn0duOUY88IexbssXnKC62B
sxZtOZ4BOzMHW/b2rAvrPrxvayllEve+M8kwNcBLW07jY7v4NjiYeh01wrNjhbglEjXg/CH1icQS
4tB59Ho8gh7o+52KMS4CCWpW32gUzG/t4sYt6UdFV9DNY/2gWFffTigB8HwtBM/o0jLr94EpwhfB
aLEAPbGyPViPyGuCL6I9dNIo6Faj+Yxb2MZZXZYOe6yHHSwaTBlJYuu3DNgIlm1ej911HisQL3M8
CvT/tavuhnLFzu0M+lw8j1t7JowlZ20TIyvR5/g+x3ydX5aN1cjZV1ac0MS+mQ/5REKTIe6NYydA
IjMhukaZAdM8BVG0nEdbFLpdSGZ+PzuMsEgiPcojNLshxHAE61/gKoRNajChAvTUELMOFLPULkNg
3V2beuluKxCKEd6/B1ITN3mvd3DtT6xgP+Eg8S6/baHmxalZJ8xXscHSqxRzBdxxiur4FS2D+axL
XHNYFNu3kwmIrX5CFJb75TBiTsX9xnsbpDIAOpbobi0u9WYQ4/33y/3/anL4b0U5Q+X7nxfyCER+
+vIf/+t7Ff2Pl/1Ry8co1amCjM1hhZ4K9j9q+Qgl/MkbFhg6RWJ0Db9PqpK/EMEVi6MwBBvBowg6
9e+1PP8lOsnYsOdQ/1D4q+LfquVPCv+PtTzaDBFRgp5BCvyHXuN7Kw5BnwBNYeWyIqTzK9Ky8RGk
B3kWCEjH2cRRIGImCdSSeQORlNsuv8bJAuC5/vVs3TQWeYJZSoylQztjx2nz6K6Mp0esSJjMIjCo
PR0Uo3PnWsghkWzsYZVMTUkXquaLFOF4nGqG6EDTzcUBYU9CUtsCussEHXR8LMuyfsMQnt4eplKx
8NCHQwRqs/H5i90i8TrjmWRZMHmGSHqMbjqd51btTCSa17JbigshJTJpY7Pqcj/JKhdJHhBa7Eqo
zA0Mau+vQ593O4i+wWe9od9OOw5J9QyHob4ecOMOXeTUsYgb4H+208We9VsBxRI0KLLnIIqQ1BZt
jVvA4uO4eOTB7bgvFj2kolkxDAK+ot11kIzvTWjmm62PaTqX3WDTKYdOx8QaIW6LMKBPYPX2n0g0
461Aqob7MYxsl06rzC89hYa9QIAYEdxZ56PiQBSrctTnqhP20yhg1cb9MH9dELR/7OnKr8Jyy29B
yNoj74xYd1BsSNIFmwFaDR1g306Tv2oW5DMNAppnqPokDkMXXDQAqHZbsU4Y5SKj+aKVHg1APdgc
xCEC13XSbIF79KYvFowp8ssrQmf0eo4b5w5m6ukeHtGIoQpzPVVnLqRFhVFEvfgG3h2BjbAKNRKS
ENWwEYphvBoClzcZOkdUywgwoRoGtogJPVsVH1VVTCcAX4QvOWDxtK+1vnZb1x1MNNDztgza9zVa
l92G2iDDoAiegbJyj90qw9scSt1wFgUYKZBaZ22WT5bMiQ/BRCDyW4FppcKjt7JBPjwXXYGQtKAc
M8GYbz7pmZojafnyhik+00NJNnORg7j8TNoJEPfIpnKEYGn0zWxH8zEB1EeyRU+vcLHVU1c36q5Q
pd5x5CmglK4KxQZpwLQlUy7y24jCXdhtrg/izG+W36x0a1N0Fd3TTGoLjr5FQrXY2mnfQB89ryEk
X6K5wJO0jFH40a74TdBKeVdrgpAIwv9DEk+OvHV+0BeeaHvEIYog68a2+Q74ks34ElUQqLFpTUCc
2/olCAt30ax5V2TOOG3w/dbVFeRTehWgoMxypDTPECyb71pApqhE4Loifdu7yidzM8gcgYBm+Ea6
cvumtbVVUuebP+0T+XUpWn8gZWmOBSbA7F2UB88z8sHXqLvcVUQ2vSXBJPCdNgG8LhWj9mvGVUAh
k779Jt1cP7WkiO7lZhBc8lDG0yKeQVH2ZPKQcguPnBII3+msdnO7m9swfMFZCeVQeQUVdigQRE8I
xSyhrQv0JUbuVJfSL0gqhJFvv8R61s/4phEM24K6fgKIUMC1iyfYb8Z2/syOaA56jM65oC142IN0
mAsHo+TXyDG21lRAz4QVOLQfNQdJmGDkhu6T2gTFIR8oxpBRKV4pZEXEAMWCJxiGkOnQTDTdTvcY
zRXzgqA1sa55JGDOy2QZZHVJINQ/bwbnxkFUTiKoULur2nh9XmOcHj69hCupsX3vJOZqPcOAXC5q
TuYqM2sZfBYN2lVIyU2xc+MA8iYOtg+FfihhQysw4afT9mqFIkyzEe/x0ICDirIZOz4GEsSSn7eF
WLH7IAEfJStaaIswgbAPtW3NvfCeoX1zbREnlQFjn4AJLl+UK/oXhNwxXgMNXIlkeNg9lq4IHqey
MFWGpHy3JS0GrqHiBsBfJ3CLa6zF0hbYKTDKcEujSW97T/mK7KTFkCYdku26kiE5yALq/g5KqAMz
HaBU3eZaoR0IiSLJPDTmVi7zKR5L7S2gR4ukL1YA1lTQ9niaQENCEu+rZ0ZNhG+0JuN1O26IszQB
Md/WskfiI45q2H523iN1ZC5z3mDTqIkzt4u0XYLhY1ECTLG4YKjaMddwm3aUDsVtjDlq2YS++aKp
ty5bNGldhjhPfde7SLfZOOYRjswBFZww5XIt6wCDCxejMZJHs3VcEoDZ5LZEtA3jThbXP3LsLw9z
XAUfo7AVsHtr5P0kkMZJnfvVvkRaZF4X/YiBHeIs35q+34czj8Atm+q1mucZHt9q+MHVo4ZuTipU
/Hhk0Q+sLP+6kKE+wlVi33QUl5hbBBX+2hdT+O4mTa+xDW1XmKWIYXFwtxEoxjCZ69hIbK+8YdF7
0EfTO7bX4ECDoduj0Y5Pw/Wa8D1H1uxoprW5LrDAHyu9kAs2ckzlmfl8WFqVI/Wp4vMZQ23eyw0y
N/JHNNKZIU5gvsjcfhiMMMM/KkNo2Wv4OkRYE+kI5wfTKZk6RpKj7hewJ2EvBRe0as1DvEbsbQyH
GCZE3Yw8BXVLo3QCKP4tL3OHWR0lDMgBc+MeRiqhD+GfnQF2jfddHa3YTZZ5uTQCWhQiMsU9AWB/
phoO86+H2Q3+P6y6K4f4/pg54JlAYUHd35YbR9DGjlDky4UXNmGq5lfB5OwBA7R6+f+An/zXrKRP
COt/Xkkf3Key/Y///a9kcbzu74e+SoAiPARCwhnIPAiNqGJ/L6X5LyDMGORqxUNGFKay/rOUDn8J
I4CmMcgTTgVmtP5bsjggkh9L6Qg1NMgq1Aao3IGxyp9k8XmCao9pfAQAOlJi/xi0iUE/9tIEOYZ7
1B7jXWD+IIPAFoSvbRyX12UVte8eKYA1hWIZ8CTElCWKKs8Fd8Gk9b6aGHufhdF1hpGU23S/bnPY
JfXiNmS1+gCyUVApdtaPg78+JefbLOwkocBDOHI+1Uhw4o/1s5y2NpuQmph3kOfF4bfxnfMgthdE
o/Nr6pf8Cb6Yef9tmKcznkrMigoUNmhQ3vXeYVzF6xop+YI5ddNjgIGBzzHF9IkET7m7rAbLvmzN
/2HvzJLjxrbuPBWH36FA3zz+iUS2TPaNyBcEJVLomwMctHPyKDwxf0ipqiTWvVVRDocjrsPPVVQy
mUhgn73W+hZEK6OPyXNj2a5OlpF7ZBpdfuOwdzikhm566+pxyeLBBfBHPEUtnr5DQYGZXU9NrqxS
F4qjU2jZRl0IoVOaklpNEI73WSryQ1JJbyEkFAkbA6f8wrc+IbeiOQseVVx67VwcAd4wfP5bfGib
YydkJ29q74Yj6msrVbPLn2miusJDaq03PdYDr9Tmw9hl+m2ococzyqG9zO08v2TLkTwS+CA3mXMG
egarGd3oRjm/WxFEXv87ejSae8L6UGLN+EgYhfM7gMQwRTywpp3kuZNt1ZCjzToCZxv7EfZkeJFh
T7hfNDm25NKZSejqWn6beXP3ouZYl/mgs03adnIfDcx4UuH5tJlHjRFaDwHhVR1Mg1LJqj2zevw2
Th0ElLJyAvwb9qZhk/xA4tzmF5JOMJAFYmNHPvY1IvFyNRnMHwpputKHlQNFq3JrYi6kQmeykcnc
PBGQD9eOVnXfpjYFe6EMcf40JpN6FOpIDs0DB7IhtWkvKXUVihz3ZGBKrEU0zcveR3eyNyPLrDuS
J/16lARLfNUO3ZtOt7IAG427ncNqfI5h4imrKVTnwADSt5ngDElcAi1/3DEEdFkWTI3p7MCJSCCL
mGJSnku5/E+x7LqXdlbMbcI3dwsfyfo2R83MsYxTluf2xb3pxhZoHllJJvnJbI5DT8yJfFJbftOh
Ie/UVmU540Ko2DaNnPdu48X4dWrevNKVS7inaevNTGZwa8GFbVaVYYgLuyWeQBA0O0ZAIkAM6I26
VUs7w9JuhMsPhcqDSJrkS2XgJOboqFQpcVTXPvaFzB/dfoy3IwGRp9wo8tveHvONsxgqVnGk1myb
MifxRepGazvOk3vRFHkLeBBqjQ8xXAMqJevFObQIQrUYQs6xRHXGqrP3XoiDyI4t/UVh1Nmk4GRa
koqQCrx51vlOqqP2YCoSvqdSE8BWI2sPfRKlS3eVJ8xeYe57btlvLFkUNxWEzBddM6anhlzBRR2n
DpgICZhqxcUd+90g45dYzkwejVf1azEwtK/TwSDuG+aQUPJm1P1mSJudzt7/3sxs78Kw2QjAfUhu
MHkBs+OigeNTgW77UoC42Xa1EX7RdKEGs2nVW3h9+slJ0VaCUTCpy7Qdnkf00CU9YWqH2tXaIygm
rpgsdvXbCXfKqarx2a7ibk4/hypb9dVIQvQydmPlje9NFEz8EvtFqTHWVsu41+PK2s1kED+jsmTP
Tg8emTkx6n19cpfbTusi4cTpG2CXSIHUonUPZtdzW4rkQmlUh5EBU46vVpfaJxna882Y5nO6CpvR
uLSkN+6MXDEvBgy1z5NXlke+kPqTC1voBGZKe5ee0+6T0M0uWjfU9nDHYwY7FdaW29naGnNdeAqd
Ba1lhI7vanX/WPek7XxRVemV2yXzlhV3dxdGoX2oRltsOKha9+3UDwYi4mjvNTzI30KgN59TLZ21
oB/ZpJK7B/5MxtjixOgpnDCLxc3Fg0g1APWM4SNz7UkIwzfSlhFO0YdtnqWuLnZI2wAle6VLWRPn
7sF2B4eEftmV12EZmrdV5Xn3REEz31Q7nmHxjLNOJxm2Zd4enzxDIGcYsrj1zDb8yu0lPKSe2iC+
2vIo0BkfmZsrEcS27L5iYyPw5+S53BphG38G4xw+d7M+BRmRszWke0xhwDCBDGvVC54XlNNGDtcK
H99asfrhUpCUfjLqRN1yYw131dSBasgt/DyKkssV/5XrK1Olr5H2OHQQpe7zYpzuZ0/ELzP/VjCC
m1JXDcabOmIF4wIhftWGyROrOYd2veqnAlrc2CT7zARPWVR2AZ27ZDXQhc5F2WUJQbwBZqBwqwNU
O9KVIp/u09Q1d7NQomu7nKor6Nwctlo33ejSyIAVeWQlZRF/y0u72fatjokIvtPWZPeor/TGBp6t
DfrB1ab4Oi66fjN4qAXRGNpYAKP5qLiW+GITTd02ThSvh86bb2Oo/r4wZHk7Qgvf2J3hHQxUqVNb
uNE2VatogkJBSoUTvhlEsepssGr2B+LY3W2a6dVGJ0AUYDxFqpJVrwqeICn4WqW2BlBhlWEzmNis
2bRI0QAsD/Y2isr2NrK4oa7sxKw5BANj2hS2Mr7IJPRgkRSKBDvoYFybrIIFBKSghDS0mqY24d6G
+LfWsT3X3XQ74yhel0Pv7JQin1aaEUfQ2bQYlFrrPbYpFPioz/pVDPR7Nc2zByt8hOmQI88rfaRs
nZl3SbJwSk9m29pBTOqQB7anbE3ViA7jKMROaxuIUURK9y54ZfYCLf4ypUTwg7A2oj1bpU9k1wsK
xXauuYEt8CtnWItmTgAFKQiMecK753GOPTQnY0azwY3biMhn9qixTGoVOVtMjUaZqWt10IatwBm5
kcC/1w76/0YH6sayxWq2hB01XzSt2GDNYEsTzIYhh+qYZk61r3nXJ/hW7cZQIGPrIjf3du+Fl1Go
RiwC9fLK7PE+gCpPdxE0wp02S2f3nWzPnjDeGt2sksyHNJ9aTKq9Bn5ixFK+xzIZr+2wKEZf4bAV
oWHM3rCOPCiPvyDwhTDtN9GE8rHgFL3mmDy7aFwLEd+q4fEG0TyireiGYj+Ds6uexowN4To3y6gE
/zdbF2Yx5Q+5bStvfa20Bup9wp5FiSptPyl1djOAlUl2eFFCN8jzqXzvpq7iebTYJXAy1/VDNDvY
58bYbm7JoyvXTKRcjglfym9mHLn72YicW6S9/sugZvrTLMN22wsYJmAHw4qvft5v0KtZfbStUT5w
kekPjqNUu8FItDtP9SDZfafyp9AcXpvMxIPQs228aXHQKviM6XHISZQWfix7cVuaYwp8pkasGirv
zEVQ2aUk9uxpzF+DZaxYV6P9LDx/8g2SQOs8ly+lk84PWBPTaY1J1Dhi7F9yYwvk/3wM+/9Orf/+
Q6khl/Lvj6V3r6V8Ld/em38h8fCDv0k8+ifOnCZuKNNZ+kb0XyQe8i9o85pqmh7yDzrOj3Op+0lb
fBjYaDx0IYNo9e/nUlIUKgdTD0XbQblwyBT+g9ADFvlfz6WoG0t0zLJdDqWkMpbf72eJp8OBj1hR
zDhenXzPaiquYb3YEZYhNopVz6Vj1Krb7VAm3JuhybLjfF5DqstG0j0vJ1nwQvVQQB7kvQ0qXxj1
VPsxR4Zhky/7TWXZdMJK5CGG17GGl2GpMKuIp28GkkwcaE2hqYEh3PyknfeoMuzTw1Rame91shh2
EWSt17ZI02SHHJ496OedLITO6NFCyP2aKmr3BibSPU3LHtdlLgvEebmrW5JqA6oE8OA2mVs88pgr
A6ggQEfO6+GcsAYGrfPa2Kw6l8OD2bmnatkru8uGeV52zToBYdLjHNJfYydtWfcyHIyxQj9AX0lm
F+E0KNkLHs4W810jBmsHu53N9rLjJpsNcRXcCutvUr32O0kT+z13DYFwHmLAX3VpNSKVJB1m+nDQ
0faHgYSJ4pkEzvvuelYUxlU7dN45lkJSDJfd/OTWACas88reXbb36rLHjyL866tJaHR+OKFMnwm7
ZzxqnUy9qmK3v3PSTm7GRSFgkSC/ys6qTuUiIGg5/8FLbVQFAm0QMBepwR1BdEiWp6fprERYZ1XC
YsN11XojgJF+VF9F2/NsBh7IrTcfqygAUO6ClB/dB5pg5GfypDx8LE28aKZ0b1w+ytZXQwWVRFkE
E6SdjKd+rPbgMJTi0ivi8tU8Ky1y7McXm/PKDcF/C3OE431pRQIesMI2jVe63HHmF4hZxQTJHha8
54Jwmga1u8mNtDsQF45Onozy6znH27GytdJ5q3Io3LiavZXBW913ALO44YabZMw77th5cuTRMe+q
pnWpL4qzIyqdAgsuqdHPq/k0c/j5zNkr3WVd020xB4ZXRjoKfqFUflNLL9saaa0A7GrrkwgxaUWq
wjG6r8STJYD84J/KenM9wRrYTVMN1p65VO7MxlDWJXM1Q2BhwGVpiSmDpTU4tKVaVWZrgLEQkACg
c9Bv7Uq/Meu0Mzlk28MbXpT4JWJHdEiLOfuCgBbG2KFaUJnzYhyqR1j1ODBS/UTfgviKBzjj+MVm
YGF7d8xAWE9wYQ91BvJN2E5S+bkzMyUlts7fqungR7NOtwlaxJZ5ocahNvhl59kvgjuWXIVdNaV7
+IretVGJ+kWzwuHE/iK80aeq/0yWPipWZH0z3Q9VCoFWDnQivjx8x1c9RUtbkXXmE/v4noYSzrOf
OwMRZxVh3IFT7OnZvAIHI46j0+MWTJvQMVd2VeboRHExX45ofwt7VYmv66qI7hNNzVGsmjR3l0yO
+i0xqgx6ulDmdwNr3oWwxlKDBGw2mAvb/F7iX3usHSDeAYA454qBLn2YmYAfKqvB8NJwPEZcqrPH
0olHccizvH9q4VdUaz0qrdeyl+VTavfFM9ZAmKoJp3/SO3ZMuQYO8wH6lmYo+xyMTnOwekvAqKtZ
9Vxi0U76NTQv1PbZKyf8flEY8+VWk+FJejOSZ+YO+h1QdAQBPiMr8p1uBtQJ86lxVxIj11GjkwkE
v6NuUjWeXN/qzEL1M8DS34rU8hSoVKn7ZHOf3JiMkmDo8RwxVpWNJoBDlC3mto6kAEasRYtpz7pM
vEg0sWsqDxD08KljQzeORlV2D/ybqOxpRQqjNeOu8dPJlV+icp6vCX8vwN8h8RY4KiKRkTudvRGx
qsMSRkJCFSQ0sbbZSN4kZNztNf6f+Goc8+RbMlTfzLQcKIOhXyJUchVEEFIVMx6qFQsQ5UusDEO6
HtJu3BGuSj7rHf/kPx9v/kP36YQk//3g8l/Nx6jm93FH56d+26Z7n8gAExBTbff7zvwPY4r+aQFQ
YDKxWI8DaP19aHE+McgsRnLL1HXDRiH+fWixP5En5kBn664JacDFFP4PhhbdYfz5xZeCSx3+BaA3
m30+LvKPy/RlYT8NYGA1k66WwJxjJEms0hWjBf0vrXLJgY3CoH1RqiOMSLOj8Mccag78RsXDrHJm
yIu9iuZu1iN3/ryynuvaK07liFukMuJpNyRCv8WDG/ucZXXfgHG2wuA1AnGkxCJHHDp6tWG81Zle
fFOUoT2ElQtaTrY0grhsrlqWSX6qV8NSr9SEHGHm1FjsEuqb5PTG5tYSb3Nb5pdJH5r7GUc5i3ty
Sw/c5sRrKaBBs7WJTrAGCHaaYfelVZLBH3lOrHnH05YdPD7fSQzYzDOnzHedIeIdUZGWhaaOB1Oi
sWm9XV/FsRddJDQY+TNRVEqhpuy9ZJq4Gnsbk+iUl+HlGEXJ2gHmt8OJHF2wIGoPSHfqxssEK8UM
SbjgYSnn68mU5WVVWc46S7XbpvBuGkv27R5fRnjTWhguzu9jo9tQ1bjb9xk4fm4LV9NYIt2PybDP
WuHteu6zbyicHMTVXLuZdVb/K4N87etsTcYb2ZgBMK3Eh5kSoz2gNqSvk1NFFutKIS6YxYpjOnhz
uU2A6jwLHDePBbZYmEyiiZxoNVZmwcA12FG6js5Wk+UmZ6xCOTT4TZzK3naLL8UAf/dZjBpSKKz0
7t6bBBaWsbU83ApKmTpYvvMWnvWMd7WIQi2QSa4c3KxyYNTgjNGruN9bTWZsKo2IADRePd33ajop
WKc6ErOE672nRB2Lo9Q780YWGYfPQaO8jcYKfXzXUlZJJAKGQm5odbKMgIQC+J86Fsoh1pvmWoEK
07KlbIRFCodLcuHXo2ecp7oJqT0Gz/4SV2OxZ7wgNBBO9kFEZrgWfGcvAZLBm5vJpoKqNJ+k1sMw
ytQiUHlkbT1PGBtV6DlZszjpA1cO8c2cl9aFNhf9KR1IZcITNIOcW/zJGz3rfWxI6q44bE47clzG
dYize5sZjbHj8DzSQFHqmwj21Lax6CeaEboDSfrYN7FnbpNR5UBrTJPYOAkbDgBAM5QTRk1IDg3l
QpoHJ4jPA2hTbBPcTPlWZbohbzL2OmtdoxxiMk3n0GMA37iOmb5a+tRb+JfT4dKrBpY+sVtj2rSL
5FkKs76LAQGAltZbsS0yoksNWZMdx5D5olWL9tZloCNx64Rbd+zSTaZbmIlZ0rabia3+V3vIHKw0
pb7NvZL2ITVZgnqxqdI/aGXyMaXO7NKox27LeN/RQ0h1j6FN0YYYcnVgxS5om2koj+JiyvY9n/6F
QHMPGqXFYtTHhrdu3ZbFVofpZttXGbIIPCnrgkmUV0v1aI1hszxENZ7yggXDLUAl7boSVEhZsgHM
bLCI0UGAfnG6rLljf16tq9yRNwZn0ruksIZX/obmIRQJtzQWmAlh7NDetGNfXNEK1D21tWf5Xtmm
N9lid7Xm2iTN3HvafVnzGM+Hsbso9JoPtIyVL0oM14kt20hkrIhcbdeKSe5bItufjdTBVMOsryfb
eVKqLEgGRxm/8yr+0fbhP+3xvJzmefr91dMZ/O7//B/96y9bhd9/7LelgrGgFMhA8sDlSXyGIvzm
G7U/aSjWLBRMHrYQfTjv/1gqaOonF7oHj01Whcvj+6fHMzI3dicWCpbFXs77R/2mGqL5r09ndHTM
rAu8xcV4bTJX/LxS+ANIExsUSkVxrfmWJaoDx1a5HmnO9DUrsrdekXT0CKBuKHAhf3BrrLyhZgNc
msZdZu6Dn/6U199TaP/tp+rVBSzyczbNsTVmFssi/w3Axl6aYX/+zYz/s2gey1pez1UX1IlG5yyf
xq+vNxedhYMyzANrUIgIzAEe/++uj1+YIz+/JVY1/+JNMXPxAioAINXDFPHzm6oJxpB+L00exnO2
z7rK3rthrb5GWslaOuuGTlU2Drt/d2dOinyvz2eYqpvFTmEYeCCSlD1Qouhc9Zyt24B8sf7sLoch
l3AYj/blhJQWfXvhLccmWKM4/K1RdWh08AYjSM9nLG+aont1OXhhi+UMluqkLdatKRLDz2RsshWd
C3EfTzXB63hg6YPfysxuytLNkrXJdPWVKtn02hKh8jkq4q7ymWjcbBU3YXxfs8bQUWqSTKy441jw
iNmyr71RowzETWueqLhfMY7iq+S5IsJpgcd5clhxOpcat+sJqbcnOkb1kGNExXK66l8SfLncvlRF
PmvF2H1rK7CJ5NfizeQmwKHByhTXBrIoNS5lgkt4KqIru46Me6z38rl2SnFIMQYEsurydUfX160g
sPLZwx97TbRJI4yM5KsnYHbha5jP0tCM+5Ek3z4b8mLPSWnsVyU8kluNQeTSIRONR1fRslVhxsMc
mHgRizXfKIqASH12b6RZmGimirPkGpEkf511HZtyXDVILz3jRDCQaXmu3YIKC3JD7UnvPcp/MZzS
p5Na5p3amfDbJ0Q2mab5s0X90cFix/La1uB+LXznV7AVpj02U3opdOnAOO1YA4xGS6tKlwzlqRNj
SHSZviisY7XgLw5SUIEsGhX6G9mq9KJKuyYmlUD3COKOUd54U1s/siznvGvIqoAtLyPSSLlQume8
w+5WHVymGY0gor7mbKveheQtrhShAXkd3UgMa1XxiuZa1crkDTXfoDKAU/W7vbSvhZjt+hWau+o3
CVwvpuE6PxQlZ1RnqWEyvSVZqXeayQYk6m8pmxQH5usREnDqnsAJgvU1Zf2VbtL5wZy9+utgeepD
XIv4Vld7Ki5MZ5SntNElIkLtdBcKJnQ4s2Z3NqWn7EpS69Z2W4jng0Q78ykow+UdwXy+dsaxglaN
Yo2IWNZ0ABd0bg2KLIMIK8TeXjq3Jqtv388tWy51cwRkZC0cNDR6tSRdPoiDGoB5fbC2504tCsls
0jCJfUqjkZJCA8tQhcslaFx4kedSLLZ8rcSHSPMVrtVmXU1j7luTGT30SttA0v6tuMqbVQrG9N9K
q7J5sPyMu0DgZmn+RfcK4ddu5hyBQbjHbimbGoXVXIepTd3j0jGVIjbfnZulWMOiV5zrowYkJvo5
ACX4WS85CAC0oJmsijUYqpp5mpeKJ3YVFFQ3YUmSDntLaYbhbhpVYzMMDkyopcQpmopu9KWR0g/U
4tw91zYpc2geR6ZlZ+tRrXfSh7G4nd0e872M87vMyuJ7igbbWyogsFUuJUsyckkBRp1zmQm87fh3
f5Qn4cBg2OIcyC7XtCkWcvEcZpep3YZsWqYMcqqqFuKrLsUcrqxI9sSH8JueOi8vTkiX1npEeTyA
zWm9bcdnTZ1Sx+1DdgXNSmh+ID6JKeRan3/DWbJki/os3Srp0AU9BuHCp5I6+mqWSfkZG0KyN9jL
knjuqZyUiXmTEPq+VuxJHkOhGxeJzL2DHdOtQ20YK7QwsmDSh42zpqt4fE5Gbvud3Xl8jwC6+ANc
z8cSLutLGEfdIWzr4X1uai1wZ1vdt3at83Wt08tCrcxd21rq1ohzQpzk0/i+OG0h8pVJQPqLAZH7
Dt89qqjFEfmyQ10PrGm2SWsUkwlpog+br5MZQuEfK5CQhuR+vqCC4z7FRINJhT5PbWjBGrglefDB
SdTLKOvsk9Cl9rWRYUxznj4dLdVKgiQ0yueKCXPtAr/+ik0hPA4tPq8dJ6qO8840ZZ9jQ8MmFnl5
/W7TI3JFDjwlv9gQo5q1LENElrkM2qKoi3XSze23cJA0wUYmXb9W5Yx+5BldEDYLt7KKomNE6+t1
nqTqjaY0Q7zGG9CcmjhzrkY03wssLxRGJexQ20jvdRwL47w32jQ+pC2rzxUJWoq5PRJmqzwRPDGa
qOeRA8KXOrRxLi7LphA3uVKn266cI8BxXh+W63FK6msItGREQm280KPG3RVTR2xswlDrl0DNT6Wp
Kbeai6W8Jo1z33sUToHaDZ8GUD6Y6Cn0WtUJ8WC/TwvvijhddVOXAJE10nO3WOu9ezHQiDw2ZQSE
GuTGXs8dXD1DaxaVT1gmPmLA5TFhDKGyqeiQ52+c5/YjeiLitUzN9t2rPQph42ofNzq/bQvDOfbt
SC8uWwOWNqAJ7S2pELTY2BZKwKeu3Jk8xmHDqGCXidnUHZR1kEEUQSa2AJpVVOE1f1uAI1wO9zhi
pptahcg9lCK+JDyrHpFq2q+60z2EKZfZhis9O9pJB494QGS/JeRWcETu+veclvBAo+SP7XzbUr7a
ZPdNVuXf2jZGfgF7Zj54ZBDsbTmUwwUQ+PQ+bsf5YFKQqm5qjafKPqwN74oNdfla8TjTVlNaY+0i
nXoZ1X25abROPjjx418Ppvqysfo4mf48xH1gjwE2ViaAikWAb3uN3a29fHHJjQZ0jB7Zu48+jJq1
n60dWuyPh2ST+n/9C/x5aHfovmRH57qMXn+eIh0qzElotUXQrGknXoNvONxHp97X/Odq4z3/3di6
yIp/vF/yZKwVSb05PEVVhzPHB9kxqSIZKQOQTO5yIBDEynIvBXD7v35Xv+4Jf7yKTSiB4w6AuI/Y
WPA+uMPGjjrhrHqjbXfdKPUmr5z7QiYHrry/mcV/ncSXl4PEiWqrsjhlb/rx4CNhByy+2TwQzudx
+hyCwcUTt/a03V+/rQ8f1o8XAvVhepyyNE9f3vdPRMiYvkA1VmQRtIGWb5IdKw2foNLXovDVdeMr
67+7PD5cn7+9Il5pVq6caNQPr5j27dDxZc6DlL2TEuDr4TUo/5DrUNuqARVia8fnwTsG1TreOH4X
nsyNuqOK+a/f+q9nyz//Hh++J8LGQJt6/B6AEQBuULO64jnxN8dE7V9+kOBUYUeCK7Q/MkwaNlG5
HfFtlGtto62TINsREL52gmqvBRinsG/v//p9ab/eAH68MdvlSjXxm4Nk+fUjRWiWleYURWBu5b6o
/XTjrtu1svUewy+sZf/mStVYA3z4/rE1VnUW+CzrOfF/eDmKQsAMAlYLGKyjXbkJ19jYqhVL1TWn
ieDv0LEfbAbf397Pr7d8rj9dsbbdEXc0eb02wAx3D/5/W/n75Jiv8bn5SF6BfYy5dgArkOn/m9vA
snD49Wbz65v9cLNxoRDO5gQh1+5qkibyFUbsUm9q3LU44Va0V560pqVIryyMv3npf3G94u/g0MT5
HFHEXT6Hn943yj5lkNDcglkI4eujx+xh5P/8SwHlw2XVYgAGwn3664v8b4J5//RWvAVD67DaAStD
7ni5gn96K3+Nof1Ha73/NyGqP1Q27lj/XpvzX9vX8rV5/7OnaFHT/lDnXJZXrmm7UEot52eSqgEd
ytB52pEdZ8+n8VX4sf6zP3HX1giTq5RaLjEULsXfY+M0jLMChCvFj6HT/yN5Dqnvl+8bCXTuK1wm
XC34lKCzfvi+JZ1rt/VsNevRrPF46mccSdoum+7FT/1MealJyTzkElzKC3bSLL9EZ7AJyA/tJqEO
wVi7C/kkUaR6nKkQ2Qx6Lu4Ti22+QvFbtMpSsCksSQpI0LKlnVGdzMdCAxK/IuE4vqQpJOsVcr4C
/Ze2lGfFoMJDbzx5JPXdvLlw7Yi8RR0gDtUWTmDQuyk4YONBptsrlSH+0z7MfEUz+2ePNcQhOpNh
YrjAz1nTo7zbpZXrByFs5tvQ0LvY1/RSPmQF54UAH6xF7edQiA3xZkkoNDUDThfWtVrHlgOcQ+pE
NPt0vioMgDiHmeH56EmRn0iD5JfFRPAsmboeZzdO001p4/BYydhIBcAcmjfhszZbq26aGTpp02CX
0nQSasxVXfqMA4iSTrWuQmBMpoZdla2fQe3oaG9oi4CYBGr2xTTy/oVIEalpoVHcsFYQs9K1M1LC
sadDduIAmtbaVRbpsLdJxVcP1sxCkMSG1ZWB4Lz5uec0Vh0VozTeJeDZO7uozfuh8RzImITRxQpp
WD+qlohoFMwa3XqlpSW+5e2IN/OsFMhFNMhGW+7hkWo7QhxoCnhu0BdoAKM1ojPVjUKx6kW1CBEU
LGj39lmdyOJODTQaRk8xnboBF5N+rY2hzqmvco5NkSRbyZHRx9dOL+NclAX4R5QQdufWXb2oI8Wi
k8DtFHfGop2Yph1tyY8YB+IK+deRyNZ1uagtGIlHKNIoMAspYG0uqoxY9BmiOCOBz6w7OCKNHllQ
VIg4i55DewoXf7OoPPMcCgrtWM+ORBM5AC16kNuxE69Np/TNRJc7q63xh+qNyzJRelcWDLW7ZNGX
sixbpKbRtal5SAj+k+8d8IigSuHWQ63NhvGtzat0YyzylTqT+JeLpKVF5gSrD5lLH+Zu0y/Sl8ZW
BhVsEcTCEMpKlCwqmTVQOZMu0pl9VtFaKdJXjtbDdoxjZW8sctuMRzxQIODexBX1H95Zl3PFLFZ2
bvcBtVXuoSnpbMYrCwixT4zp5C7anrmofFOfIvhZi/bXLiogXlrqOajJ2yRlqwE3Q6GleADxsKYb
BNu8cd1gvd1NZ5XRXQTHYpEeS6c3g2yRI2NMiSd1kSib1B6PHXwDfyxzdcQVlA1B5qrTttcFRyaT
sVgJ6ckhWhJuIdw4azkOSwt63ZycIc23VSLsw0S6PUgW/ZSO6fylXDTVEDrwUdE7/bY8S64onbWF
Wkk82Jfkha5lGisH7SzVNh23raBqS1q0VVAPcTAQOPtGZIqVpojtuNt2Z9k3rm3zJhoALXOzHl6T
s0AsTLa8AGOs6VGmYjL9csEwSBb+KxalPZGiUWQ3xpjg4dNBNwCXWiAOMKobC7CDsyAe+Pby0XdV
R8Iqci6iMkTxHBcsBCjoEFoWGGL014wKUKpk1nWst+9g1TLi+mRGWAiq+MzbBTkRYc3cYWKjn94u
3Qnmq1PcRHixbvFoUnoq28x50+C2+3VtqQcuqup66Li/15Wd0aZFZolCizMGo+LiZ+galQrLT+5e
CEcZggpowQ31sqq5i89Ijf5M11AJLBHK1i2cyypmtFF0lMHWehZZQVV1+IziBdmR0SD+eVgwHpz/
G3jKdUgI12kYW9bNAv2Yz/iPMwnEKaNcbIHL6pd64S3KJzAjUM/LPm5QQ/cCLCZvMOIO+jTIJmug
CFfxtj1DR+iWbi9KzS2+Sp2a35UhBYXaPDPYl5R6vICwS7fzNfhZK3VOZppXIhvkCeRfhwhfmoAR
Thk9KZdS6nDEH7VAsfj2Acgqmqz1fBx9Q/lsnSFa5cLT0qRu+N3C2PLcGp5a14xHiRIY2JOtgUSt
3ge7jNhl2f2pOiO76HsDh6GFdaCPSbqzKqXdsreB8gWewU9x1QfaGQJ2Hkz+0aD2n6a/fh/BDOaV
fz+C/Vcpk0p0yeufZ7DlB/+QYIHswJ/HwU0nwweavabj0MY/xYNVw/P9+wzmfoKNCeLeYFh3fqiz
P2Yw69MyWOvLQcEgf0ZbwT+xSH3YECwQIJQadVFz+QX4TT4M6/+3SjQ8/Vc8KAdBG2O7gcUZnxPQ
COPDIkFaRadVdaev66YowouWb3Dki2mSNVQvdBdu21gdG7BXpzEeQQtpvXvqctM6uqU7gDZs5y8z
PVrHHhcCxtDZRm9Yqu78bB6hMOAHsx7LUEDM8TrqHaOxF5jTC63+Fg1puxu5rQdKTVu1qib2S1em
9UbvjP5WmxT1hV3LeCGobLy11N4NqPGNNm4Tkv7Lxug6UUhQwqNQk8+NismF0UatH/SeQY7q6jNT
wo6bayOyqoueSqZjNWcQovtQg0TRnakUkC/ptkGTbJepTYkCFUTMLie+oW6qqXRB6et9iMmRwfAb
2nGp+m2CNuH3tM7vgRUUEPJDZw6QI7GhlGcfqJpNKJ12rueXDQNoS2gO02gZESpcKWqIl7TTWLMD
M+rTfi1tiICo6xVED5D/doNXGI7+PgqRbNEMuvQkoZ7t0u/W1bONld684rlavK30ykQ3Wh+TRIFX
3nwlyZd9ob6oRGSesa/WPuCz+UsbR8jQUZPtK4KBjwTkyk3b13jdJBvzAVMK8b9lySrsuqe4XGj6
LjZ6Y9ory1b2f3F3JruRK9fWfpX/BWiQwX6aZLZKpfrKKk0IqSSxb4JdkHz6+7Hs43tOwdeAB//E
gAfHKEiZymRE7Nh7rW8RR6zO7qjL704+ZIc0EmQVMAtdWYBrK7dbu7pTpWXPY5N2F6aq3TmWoDKZ
G+efhO90J6Vr1aMDBd8lHjrNb7RfzeOl8y4RHaSPYu0sY1ROLtSyC44b+s7KrbLnee1FzyNgpB7D
xBQqvcTr6qoIpFNUW7hLzaS+43ahf7VTsZoSYrHQ76LzjQG4Dcy0o/DxojgLfL+fi0Cs/XISpZCF
4Wmnkz5irnqMR9TBuRmTep4tMPamX613/NHJzfSrIY9gdrXcrn36+VfLnmio+DSufXxn7KP7smrJ
rVeQN7wxdhiLyxx0HbjmKj02LeNUyOR4VI/SjXsdd7bbzbvSbs1PkZAV5uo4OXYDmZ63qNnHZZvO
DKo7A9X+RirVfMbKM69Zz1O+hs2L0KMIfB8QqZHraRo/hswH6DfoFdHtZoXkwExWLx4A9e8+17+f
ptaPt5rhj7ClpXMA5IQeLsobH2VeBSw7RauFQ7K5iTB62BuFx/8rE7P1JJW0u00dR9V9j0mS2Wkz
3C59o559t1pefLrYRwMbK3lKudndTpqfI08zmxcNc/QYxN06WwGj3j1aqe7kZOLmafdDi1a2aUxO
+A2zLUKa55SplZ/b6dG223YzoL8DY2KPb5hD5tCxF7knsxUvi1hyG2A5IVZsUGMKf4lhE7KFUdPR
GZDnm+YjjZ04brZahNt/k/mtve0n4QPwtg0sWareAwOMA3A4aO2dqq5e8qnl1xWiie+XajKAkxv2
o18VH+Oy2hCjBa4WJZp+KfQWuFaKABrhWgEUBq/ezeRYE1nAXXHyB7ls+T7nYPAHshr6FJO3hrrb
LdlJkEkwwINVxj14TGYwnyoPJDY4tjQSSXVkckkAUit5Y45DBe25GGhRLt6Zc3olMfE+IoVv5foU
TCJUh5+5TYxYD7LEWX6mVibOOdTLpzETjs5N2kof2cxi1Amxk12xgRfUmTGBJAHoJwozeOX4L824
IfpjNIBPtK7zaqed1l8EkcnHqsDTubG7jgGo4kwLWoL8jrmeRziOPONZGIOb3S+D3YwnoMHGxaRn
5++8gS/Rweh9aGLZXdQSW2GfOmo3em5kHDQkCBVSOmTBBKVK/5QnY7N1zNnYcA02b7S4IC0wtt3X
dtIfELACpczBTmWxqXNrEfl35kXiK1GQMTxoqWHr0lfQtOwBV90MD7l8BpaFUxY05/NiJwZ5VF52
4+Qi4pKTp0dtABMP8cojxYGR7ey01o6hP+KZZadwzCN2Mt/mTIldK5GmNils3KE3ySsZunuLB3Mz
2d5xysTFIumFjJot/A65dzr7o8jwddjJG2XqawnBftNP7WlJCp04ivraltkdjLh665GWDqqjHUIj
twzksJwvHAQMzapZ32fVOIL6TdI9Qn1okbHm3WVe9AqbgHXJjr4heFWEs6aOQ6LunKzIwwinSqAG
wrA86fAnpAtq3jmK5galjWJhZWtq/FI5uyWxxQfPfI9tZSjOEHATIEcma5br/Y2WECSY16WNKV7b
O8XKZ+JCu4xPZp5tWVMPrWBJDRoyZwTdh0TyBEOSuxFR92I2PXHyS87sAcH61tFAciL5YvfjgIPy
GvEUQYGdHO3e75drpyQ26yl6zkw6I5bocaVpdxijuLS4kxd0VhNtmFLus5TM7LToLwMuKofmwk5N
053hD+/12B4rknzcpHzIJrFFHb+P5/mR7YbdrGrQBrsYsDnpj8aAP0kTMLWreLM42hvcbDotYjmu
EBbmUOOprcFSzO55dubbPtaPS+JdJzXTIypeukIcjLQIW9EdMb/vK+J4GTtU22yNocReQ7iuIQLX
VbezxTEQd6dymW6LTKK/th8YJz64WvxCy+XLtotTXdEgM4lmyVd/msirfbYQNjK77ZeY4iFw+v6b
tagQI8ltO3tbEQ38LWOFwSx7kDOp1lal4UoeNtGS3DOp+GhYDtqaPZPCLVPy0NUkCvnE+tiQirO6
DMdJ4F2y47OPn1Zg/hqjfrtM5lHEznqi3CthPRXwTjeWjUplyR2qAO2SRms4B0QUw4JwounfCye5
y2d5GDo21MR+gf7XhZiVZbBMfQ+Zybs2AypxDwqUKEcdOJvr3DG8mTe0zWpWPlmxBCKIfR+hkh01
Cw21/YtQ3nyDzUGATd3hA6YgtCSh25m887LxNCxD0NN/oLK88UcUDzKCBw0Uw7Oamxxiu2UtDhID
Dym+5AycZg5yVu21ZBS5iasmhlFlDYAEkqOWsXHbNfh3te999WIUKLhN+Q7G4tLr7Tkuhp/p3BOw
I4rnHPZwu1jbdmru0K7cyQKe9EzO1GjaIBSycyN02FbpcC4mFB6OLENUY9qGVCvY0iIB3Cw4XxXN
zdJJMazJO4hZ1caWaY91v/2sR+7v3lTDmx/pAZTsUH1TorFy3qcueu9zeyfj5Bkpyxt/HjtZPF3S
ThxKa6B9Gt8ai3pO0NxsBoyClJeOClp3cOFxMswnIPiooYVhNO9X2iEuYDCsBLH7rLTMBwRJC89A
A6qrXqtUZzG+L8ZgPRFFq980NfLorGTaXSNu3UjQSJt4tNg8q8L88CCSBFOWJVzj4YG5UepvEaQ/
57B1wnyAEzeaaLQDdDf9NU5jVmpHoryJwoyKd/yuiPZ+QInwI/ZoUxTGZJ3g2ADa8+wGoZwOpJjM
9iyU2fgtirxWDzQrUnd203iPfFjxdystoseE4JVhM9qoZ3pMrfukr/AyeGuQj2o1lF9sBIJ57XLW
ddXrAV4URl2W0jlPkPnUtNfwFczsPKc0IRKe5B0e58h1P8kPKHH5qftJ795Hy8ULFnnyadDVjMfA
z74oVrJAGcuqsjCTW+pFC9Oot7aP0r0wO+hJOTWNng36JsWvf/X7zPnGpjwFiWVcah/1CGXh1e3l
GJCaDg61W77RlOdBsdtxM4oaTV/leycjsu4khcdG6fq3CpEgw1ZysEx42ruE8/kAinShf2G+Mj1F
hIlHOcizpLhx4CuHsKMhimskNGruwAnCl77LMbreQ48xN9JOryDonoElsOjB7OMUwfMZu6N4Yz5Q
rd3EId3W3tIc66Un7nzOvCOd0viu8YqSV1wSQNKjWrSnLs+9C5qGKTAVW1Ceeh7Rbap7LBMepxIJ
wl7veFCrIva71ZFCJ6VexKVp0mHYcHtszp6yaY6VVfYIR6Y8TLVwHmyqeBLHbHUfS+GqTWzr4omq
tN0SBV2GuXS4TMz18qvwlXcJ17GDb3bkQkxs/5tSxHIjirrd02Gv9g6J0K+9wgzhipmw00SjVi/o
DYQzJ+U9cIh225tQ/ploTIyae1X+bDALk6kwmDd9nFZ7P7O7+7RtmjMYP51HaZiXc8tN591oLBN0
c7cUgUdG1M5L4/QIPZhHSZ/BMahMGy/50ovQ4DnbC2nKm547RpA1s/w5Qum4caFc37vxtOYVKvai
KtV3Ctn52eriYdvEUf6dvUsPqLn712jy+6sNuU9tVNGWW0YNKfTbZTp4Kp529tT2Z70YZ7g8bpcf
7crNf1pmlsLNkB5h2IAj9l2vVL2Z26GNg9LomieF2/riuTMds5yD6jpnGoMaI068IHf14oHcuicR
EfJe2h3ZvyiITq1Yhj0K3GxbGkuzIzMoj4JuKJt9QdUc7xuKjWujl5wybaY+aLj4ezlkw0WAqgKl
KsSx5bu+IX2PEBITsEaNDxIrMm7f7NBlYqFCUrX9Ec+tuqkGx78j/bN5K9Uq3hsZoCS3FVgXusJL
vyPsth7AsibZe1GW7ltRpt7FqFFLklDWI2oBuzltTM2F6InN/bWEsEYQktWEbpUwFKmipTsisNR2
uEj6Ww+u/e00523OQVDC8oTYNF1sKRpOWuiNC56PQ2sl+U6CDF7hI3Yakjqq349qqs6giSGkO14E
BbYFew5YwsTGHdaMMX62CIkPSZlZBO0ZEfjKqowBfS+KMDTwS1fmU+MNx617qLxEf2CTNT503vMF
HU9MHmHXrEe12YZmTmAaZKN0bxlz/1qlriiA0FuIu+c0sa6DEP31T224+7/P6/+sdF+lHX+d4nvM
th1g2EwxwfX9Ziv4/xnASvQrxzayNYeSzlyHqn+efGdcOskB4NicDMrP9j2bb//zXup/89DbRpHw
f3dcz2//D8Zjlrb/ouW6/uQfLVeQjNyYsbvg3SDlaI0C/cP1Yv6NrwaJBX1Fa52Mo134w/UCgMNe
R+JEj+qr/YNh9D9arob+N4QZK5rDQhsGZOM/sr2sQ+3/fTxXr4dwPeyyAEZ1KLbGb41NSr6iwhka
b+v2McqHQO+46ZAZ8qdP5l8sAuP3/iktZZ037RKu5BOX+jtHsnAJElh8Xkb18dbgVhDVZG5KFWRx
wRlu7qN43kWjf+mr879/6d9FUb+/8m8SntqPF7TbU8wqOHd9SAOPOgyXwb9/ld9X+e+v8pt2wOAb
I9GOV1HWZjOHuN5DP9R2//5F/vpd8XgYhs/z4hLeg2WG5PO/LmiG5VU5gWNEjeTa1Y4LwDb5/Pcv
gdriLw/E+iKCDCy6+jxaQrgr5PTPu0bu2d5sF1EU6nbs7lFB7uQoBxUQP6INBKx39JwzJqtY7odW
3/aRn73CYChv8tKSP+O5wy2lM9F5bjUyQmYevDNpn+KLaSCavyRKbiH4UrNl1bwcFrvLto4C9sRx
0cV3DvRqSBdptNy6xMr8aGSrfQfi3Z6HSKQnQeOGIwvyC5Exphu0hTJuu0zrPpwBrtimUMmq58Zi
eKcK2e+l5+T3lYjtfS88LvzmQOQgWSuROdM84a4lo6Ig4Wjq6xPmioK008h2XlUpRHwubXJCybOZ
VSu/1uOi29IjniY7MPqoAF1gd8T5lcW00/0oor9kqXTXREq3d/2A/HuOFZOv3okPXcFTXSZCP7VL
bW0l9VDQYWPeLKCRGc+BTxmPmSE1eQDSQS+6kegCOLHiyX6WmhitAyegfpo73aq3VsSxFTjwzY+q
zinL9MUnVEX0yFEmxsQ3rmyp3AezWTmEtW29iKX0b5WknQIdfL7mdgdJTNNMiGFE6vpfU2mC8bB6
8xAnZt4Fi8b8HDT9OC4kaDj2lh5F9OQWpbnD/DaSP2jCTx2QkQCe0gyEo9gjnuZkjF+LvqhvZWMw
/vVHuS+mQp5HkJ23Rq6pC1Gp5V6JugmHBrRn7YMAY2RbBlDm5oBr4rD1AKpu0I92SCBy8D7ahy0Z
HHqGtEKtgwaJFEY9a7E5P49KqHMNd2U3Mw09I4ypn+Akz1fXiuWTptv5jcqIjNlUapHZ2itf7ept
8ZHrcX+jWfXSPAv624e8AVXZZ6OL69sp/RMPHV+/Jeajp9ftW1tV1gGpgQotLxKPOYnFP+lERseh
ctILhlLrXSU97Sf6hXeI6YxHQbYZ6YMAigK76pr7yRzbUKLDbi4TmD1YM4OBGL8vrD6YCjt+my29
cPY1nDf7tpydyTjpJRFq4N4TG8zIiBLe0vXH1jb7p6Y1iXWVv0zQ9UR/i5A266ehxxN3Uz/vJeN4
worCbsz8d4DUKd/t2Lvz0SUNqw/HoeCCrdy8E/TJZhOKUepr+KhGGhPnrDfAU6Ktr39oxWJ2oZxm
8y7iIpXf9j2kxa2O4zjf1SYQtk2ZwrdHgyNo/MqFHnxFcOaIYMEtnnwjxaIE0JdUgs4P9cKCkeP6
ySnGew2rqIsug2XB/6TfaV4bCU+GeKTkYnfp9K2mD3PPHczbUcn7JzxQ8k74s+LeDH40aGpz6DeG
4MskiTOlMUaV2KzkSWQLgSZ89C5maoeV45pdMMb9/OD2mfHZeJ34dME4fYBTJaAKb/1WKQsyaA0Z
+DR6aXpaUTwIZfXS3yVymCB+6KJf7aCrETwBoGKN+sIeItZrsJY+G85Stzu4bfY5T+r5iJiyO7Va
lh4Tmfj0H/o5wcRjy8CzI53PVoziKfMX99PQdApwBk3VZxnLj18b+X/1nJtqhCPv/664grfi4637
84D77z/xR6VFjgxMMIreX4NoRML/W2nZJEmKdXiLQE78XXv4j0oLMhmp7qBBBCcqz4PHzPmfAkMP
+LVOIA1e5f+Y/8FP/eVoXafbDqoxKiCUhkgg9bVI+pMUNUXIIyzA/GGRA1fv4TUTnj18TJ3/2hpd
ddclTrFFP+fuCuaBQd45xY0A5LDFWKWfFhytu8gvqsCZ4wRE/AieQqT83yF74SQYXxqQYrceCZKH
otdIZTdcNiH9re4z88IvBCEJyBrLDPCnynugShMboekyYL9uGObqpCxwfb9gOPnWpDQzlWgikGM4
tGyfXJO8Kx5SL3+wKw3181L8nBs5BFqfls90F+Sx1IgPjB1U0VPBf0TIyrrynM52d8S0eJDN/EMC
WQyNgiZu3dRPZu0ddV1WdN1oaDq2/MKUhUrPK1/ylhQCE05x73HiZ1P+atHW20yx/zKp/s1WLg6x
BPpma2JXMtBG0SA7NAMNYNOsyO9r7J2tT22IooSuwgTit3cxHfhR9eX05V07p9+8NAEwGDc77LXs
UkUk9mncH8gkOc1KPQ3x+FayK1u+dmO2hE843c7Tiz0Sn347LDi9ULCEXo63VzHNpZ1IfqepqtUn
nO5hI2RBiY+JBiiTvsE/TH13tkA2BrJT+ywGiVJ5mGKjynOCDo4DiYHGHS/srhnzWJ1sXsLNIwIf
OUkxkyn6PBNtfsIdfINE80lRG3i7yCquWdO0YVy7aHoMQiaavMdNUQ7HPG3nE6nYzxHxlLWsEgKp
5csYLW2oCmAHnNjfoVMQT5fbRyLrr7qKzk6aP4E+/oiMdDhonnPfGNbnxFyiHbuXUURP0P0iwsZI
Umqta970TChz/XYqknYjZ/igRFhYF03vqidRRc2tTkrloWsVmjXzlLnMj0GIXcYMTMPQ89cmfuTz
DSpj63oZ0iI9verx0m7hx70x/wO7jCnroRuTZ93QoJEyqCJOzLnKjP6dCxSvnW0R2uOgv5HdsWyZ
48YBci73R5WSX96QnUG7NKpuaOwJcl864NCxjnp/nAxMYz4Jn91cnzsUUCEKmASnto0KzJXzMfMb
62C3UE2JgjRPrYcnlbabQ6jh+i3IZAlTKxFbaZQQqCP6WVrrAoqW6AUZckZbwgPjoHAKtS18RvNJ
Vr1i1iY6KX2KYW5iLDOZtUJ3pqxJmOOYGX7DVczB5AQXbV0/Mj53NmnD2NYe+nerir602P0U8Dc3
kdNdBzKVd8q1PRrtwgFOiis9o6EXzKtgBKwyzZycvMu8WJn6MVF3mLfpsBg54wBGAU7lP6ZOlZ/p
DjXhCPNkg6Pro3IUvDN9pucHlY5Zhyy+NUuFnC13nsH1DmGFLJPF1Rccr6kWmnTbyKpEz+LkBcDB
jjfcaEkdcMQuu8UwNFivWh32eoHZeYwJbxa8/KBm+siJMrfM6e+YPoKak8OLTVUXjDMXiVFXBwvY
PBLc5OBneBVJBbm14/xUDoqBZk/gJ1Pqd3dub2K1HKMEXDQ2bMaVz4nl8WRX87dRZ0LptDwyScKA
bzT7ADTQCY7PQ5f6j9FIkKLqgZpbeWnAnSNSyjRTRjxE7uwaVyK87f0A7Yxxk3fT2+Dax1gv+tAs
e5LsemNmilU/4rxkTm1k6sEnNI+NKelvE8h3m3z0azJ3JzNIUPv6anoYhkG9pF1B/Q2mLpQ6PfK5
acYtRgva5q1C2eEk+IpnlHiF6beb0mBT6xvSPrFW32qpyHaaK8/kfm8RgG/Bi29p2xrbVreZbhja
h891YIP++RqZq4q6ML8KV94YYrya8YTjarlCobQ3BH/eo41sQ7F2ttuim0PTQwoJGQCxekdLbka+
obVJOJXtD5/5wmSLJ2uwoJc75l0/gp1PPe2Q9uO3wa6OedW9tHLC0NUyGSqV8xUz+dqA9tu34xIm
i1Fuq4zstYmc8U2uK7SRbTXf6/qEaYjqMyD88CnDyrHhA0gDl2NCzx3y7IuOTzdj1C4r+wX1wW5I
Syq02Ax9TWhhbUgdCHx99YqZzNgut7fsVQz3euhIsjDoOkj73mW2O7WNvmfr/SKuZm+Bv0z85n12
yge9NM64pu9RcpYh5PvPIc+/SBiOsRhNKZFIyxULIkJdCyQhkZqo5FFQqa5SB6jET6Vb2DtOquZo
ewaBVanVHBNOrbBcxFOvA9ZUGStlMNJX3cjuNWbwu7jgb4loiTCxdzaRqzB9a83VaIXY0djmabeB
Egsn68OSjGmtnK8m+t0g1UiNZWgLXK7xtP2IbnPHR/jMrvuQaEVH7kHyvHDyXhkiNTtvnSTMeboF
tcE5noBYR2R9344N+Yx0a/dLOmoEo5mPKcPLHYjBeu+3w47kjOIgivxQwPMLam9aAl0bMedDO9rl
SOYC8IhZaCDeD0cr/bQdk9uesx/pHfB6SU5siM5umZli69uLs4vKpQkZDEgWH+xGGukZg4rR3DFr
/07TF8t223yfZMcwKFM/Wi1ZJ8WausVuy1B0Xt5lF93DKNxJspuawjlzxDIUiYdvXl+dNMXxk/r+
k6PlR89OWC12/tNd1nQ8d/lRR4UfFHZlcqTWIkhmqgVVgxhwczfe2CT9Br0ykqA24y+2VOvAD10r
F9N2bWhq7xrZMzclJhnZ9DlXEyyEqXnD+I7L2FMfkLzJvFzWwzwlyFOrPx2p+j2qDIz4BP7tJ68+
A1e717zks63aaa/H9ZOstfd8RHFP0imFTCwYBkGTOIiovyYMFjb0FgkZQE4W6Djkw9oXNW3z+M7U
SdAjsCPfwj3oNmOz5tNq7UX1C+Q2VTbvzmQdDMLYoF218WaYYY2O67pasnjTaVm15eZ1jcdWkXYc
++CQeEC8Vn0o3RgObq+ezIacFZQv6bZRbERGxeCRBs5rYQ/WVh8wQ6uBRkHn4KgE5saGAReBleo0
O0YxB0wpGeNNjmQxWN1eLxjI++V8M8VNtu0qtM+gOrbzzAp0u2+Nmg+xrI5inL8noLcyf9QgvlEo
5yXGGbNu7j1VkREhgeBBy4i3EZoafPnJxaL7oC3lKVM4cqvcfCyg8R8a29ZO/kReIhOj0PCa1cAw
/iQfCj6IxflJDGC9H5Brblus8hs9ZtUO6XxvNuo8LilMBs3zTtGwdggMdissLDSPmJIG9RKBsWzl
d1FqSJ7IU+fpiS6VzA9mSwfQQVEwR8RaRV5MzNXc752ZE0vrfqRs2gikT5FDiRTxTTUNLHRM899M
KHekXpzRgH9xSr7AD/2ir9Pcumn8Uaw7Mf7zxygSDfV/TYKKkb9MVTJswdEa4DJMLbAnH15fazDM
JWSFRBwaKMqEg2A4fhwky/JlGCi6QKD/TIh0WhvSGziAUEIGeUqJ4bYtcg+zrPc3rh19dZBAd4P0
5TZiFdOCaqZbEsl3JqoZQsS+u3X7inCKo9wsvg21dijdCFMKmeAIYOdseYyt7nsy+WejmR+7RCig
6MNBJeRZoY95a1Pw5gmGlDKvUI1PZEo32rgbLTG+kgHibu3RYtyISSEwNf+Fs/s5aotdZSTnrE7v
M226tQmDyGbv5wIMjkuVE1ZG+zSWI9vF8sNwvZsUa0WA8MwNqmlCWhsJQhEmNj8SBQVPceiI6YsL
UbbBYk1S3AhDf55odsK/3Y/zlG2xZunhpPgQ5zWYbc3U5e5SkENmtvrejsaaafnkX2LMUkFflCdR
YHtpwNnvaquuSapOLbQwmX6Z8/LFbpxPUsu/6t7UQ4loFUkWA3YMvdoNqJAvfco0ZPTIM/77uwHM
JWw63P93O+Ax7d7atSXw547AP37qj5aA/TeTsQvSdXK0DO73f2oJOH8TDGYsnTRAA6XVOpf5Z0sA
sDjuV3rszG0g3vNP/2wJUHo462/zaRlwBvwncneOv3/REWDysv7Pt5C9/9YR4HrB0CRzdWi69g8j
Hd2LVaziQJP7sA3y4Rgt1j0piEUw+06yU4pe0hxHdxYci00nDTMo8cMZfkxSs+4Wu05HS+Llg7sv
+847dkkO7aJpQd00UPLGuboOa9ehGUqx8RZoJZWkx4uyJ70CPSwDp/YHHl4eTlyDX0bqfy7rU7s+
vlGlD+ybSGExe/3sRmJei8F+kuuTbq7P/MDDj5+LM5CcGZjU3xosNwdnXSGw/XQmrom+cZxYJzuE
lTSva8oudD1U6zrT1hWXrGtPsQiJLHJCgj7ZXFmg5rpS8Zq0OLFIck2B8JDMgSaRdZ39WuEquqlY
8oqlrzvR98G2xjBnY7A8+0e6bhZxfGYcsZvd6GkR7susSNS1fu0vTuQwtGHPIXZs3EXrPkRG1Gud
FyUk4fxhbJL3ad2ziqg79L92sU5/7Dromghhv2uDDJ1UnftlXKf/x5IEqv1o9682O6TFTqmzY3br
1onYxTlEvSm3uTSq3ai5X+m61foNVKps3X3Zhet1O5aZ+96q+XFIB7VZZ1cULQpFHOzkcd3OJyBN
obFu8YCmbFIvTbb9AtdjTjAQSSQu6Jg+fSHmJA0JaWsCUWeP5XqEII/6Ga2HSsPp0nHKCBTvkMXz
s0tfv+IYkut5FGucTBpHFKY3ruzyXCoJ7yo/dbLbY2TtgVdbMpjZfq31vKMbfXA4AOmfetTt8Rv7
uqRxyi2OYEI4TuvJWaxnqLaeposHCYgorGRnrUctR24nrRY+dw5AjMJqS8Oj3hOMxLVvPa01jm1o
lXjsdS6diVZ/x3CmnfL1lC857tP13E+9+sId5TLJ7DIgmNhka40gfTLv86VlblC198VaSUTpIBg5
2trZiOtd25gPhidPWJdOzF6e5nTiAkB9gqUN0TeywEXizlxrF+QV3V6t9Uy6VjY6tBt4C5A51qpn
Wusfou4kDXZqIs8jfIx+L8QJCqYEou2mXmsosVZTWNv0MHfzrVPKA+fZxp+k2oNu+yjWGsxcqzFt
oC7T6+Q7reRqOw8lv32t3oQkVlhwOWOvo+lekJFH947HhbFJQ2vcowRcTEoznDykzhDAQVsFKl1k
p3duXvnIuvJVz5SXEO8qa5OtxSYr8xMlNNOeIS9ouSH+bKlL+XyeurVQjf3kkwzXe2T6Z2MtZTsN
baGwFp2bj3ft14K3tewgWktgmVqvFcHFgdLKN3Ti9QbB+WfSUdNrNHHiwaKU9lG1alTXI36kQ0O9
bVOIMdSiBI9MOkOxq3u/bMQbcy3Vm5Q3TYapTyDL8oN8YgeZeP6zrTviljl9M2r+xfKrwOcWUEj1
DYIQ74T7Qbo0mFXsXcu9oS/Fe7VeJDQI9STodBOV8uy4RxYKfQEaoHtN5/16TdLflOOIOCsxjpMk
M6omdW9nOylsITfnYUqHHyXFxVFL+iVk0PbdnXtth4m1Pw2TxwRrUm8z2lYwcoW4ma3pSfQy3w8z
ek9uY/NmIoQvnMc6OzB8yp6xOzZPfurPP5TStlEnGmjMOq02JbfCN40d47pyn9JrCLKyzrZ1ps9P
HeL2HR9XTsyc/WxE2KgBdK3cMPfFleMX9008kmQCxt34nFurCGYy38ESUfdYxVtCl0obzScXufUG
fv7PuXdf7an4cqnZxiK9tRJPA7fK/T2Zyl/167DvR88PF72uzg3+530uGwuonGwfGtlTDqb6SGbi
kt7LJXXubIJ1NlYvW57peQiJBde+8fkNlypP47CJvZSqlKBh5Egfnj4S2F7nTD9j990nhxdoizke
DZ/21VQ6hIQLlo3uo9H2s1yifF4qBOHaN7PR/UvZttR1OkFzuK2PBi3YjWJIGOImfZq9qAvwwk3b
Ie/SgMFvGeDYV2fSAtZuCZFXfcdqJjsNz2VEwakYQwZZoept1NQHq2hpJmNKLXvf2aal1x59gUZb
J9Ip5E417wdDpCF+Enq/g35tuDYjXaN9QYrwVmjtTdPb92DB75q2CJdW5ZvOsI7kZeCnp7xOdfVM
1AYiwni+ZY/iyiBotzaEKXhe9aqkWTNHJEcDOo9mxTeWqg99g7VI5fIGxdPWpYeLObS+1fyUO9ZQ
GSFu82qnE7EBQdot9pFX/xjt6YMt7DVLxXumjMcJLVfAu2mCaeH5z0WTHauseJjo0uwRNbZhVsgr
0REFAk4azU7+I/G5w8d9fhjS0diyi+xiGFT8EdWpQtHmDe2TrVs3tdWAsRP8uSlXVz9kh9rPYFNp
KDK+Jx2l0Yd0Q873pRu9F08UNzFzSB76nVEtT5GmwkZXW7vuaBpOe+XLxxFFOrsWr2Un6SmnDLKa
5YaTD0QXAEDXwyectHsyU+8tz78d9Pigem/H1fTUte3eqZxTpzgUekIdaMBLuoatPM0NrUBzrF7m
gn8X2bmrCzxxkfOA9N8NnQEPHnSuV6TIrPkViIcJYIOZnO+ZJBgMDfpGeSo0SPfLK80Ih5xLfD/I
n1ZB0CewWeCjoCNryw1HhWEIDOatiJk6Dov14Ud0HUwPOVs6TPGdBeEpcLSmv+/qqsacbOZ/14/8
V88EzRWc/u9uAc810IK/XAH+8SN/XAEsoozouFmQgvkX30S684f+Cuqw7sLihyHsrsZTtEP/vAKg
l+PegPeastyBu/vPK4D42woJXsN32Xep2r3/5Apg/hr6/VmAheX1f9g7kyXJrWvL/oqs5qChbwY1
ccD76CM8mpzAIiMj0V9c4KL/q/cN9WO1QIlSMlUii9NnbyLKSCbD3cMB3LPP3mvDHOF/eaK5lvuz
Sw+1Mg0a0xy59y3zSWaJZ2wdo1wLNlR6GcD+weou3PRZa2ztzeR6qzeqTQgaURbrRZU35yQ7RHsw
ykDjpFhMxk0uavt2ycbmPAwaE7/HI/GCF0I6oNULeXYWXVzZaavtmzb3wZl6METMwTdPlNGnR92b
012qmdUJzTu5zfXKEfS1ZdrdFHvpMemn/rZ0m1t4Agcq1q8Kusu+ZB0CcV+OLUuwfs739Ooito+N
kI9pnVbX3jIju/edG1qN8yu63b03x6S+MvFl7BXBl0jRzvqMStbbRxws4maeDeekO5SnSoNAwcaF
1T2Ho+OZl46tkQe3RG9OFr1tz5Nb67egyqeWNxt4SO2+TnBEZnkbAqBPuSHWiBs7jwlla2Sy4iEi
TPnY8O8+U7fmnknAA+AvgcR/b+eOSo/CSUktCA14XRNseSP2cZJ+FnNkIskWWYHH+k/IqYDRKn1Z
bSaDHSsPDGwsu2ryVJgNdf3I7q95DGxxLJdMu0WT1GBdIHPy+YY9++dPN+9xiad6YodJllvDBuCw
fa7cYbzrXG4VNoh67u5+m8H+yDiyFIoCVVvoxWGkB+HFFP5DzE5mn9nFQotO4D5rBhp46iD5haWQ
PZTaTpw91fTnQizZztadLlKIaScip/Ez0Nk2avV+/CBMPAQbocb6Gbdt9pqVqt5b9LzzgklXXIQg
ZWUuJgXltsvy1ZyF9sxchsjSl77YsWFs2IYWjvYad4F5TZ6NonQBnbn0nOYhpw9HRJo1zu8KBe5b
GufldY6XY8vTu/xSL2IBTuqLp3xwxVdTb9HOKap8kvmcfVi2jW4JvS47xySarzMIpydkL27YDZaW
hExH4X9xgJfQM5Br26yLEV7dIehAP6rYOijNaV7mQp9u0Xt4eJKAdK69ThsOk7d4YhOj8mibSiti
Pj9WnzzI5AWGZ/AV30dy4URXvTtgKtpthkCQRqzy2/taFXQPBlBM7GJK6byIzceyZ5e8LQIv+3AC
qaJqJB1UKjv4VBA6dok/W1/syubV1ZXZ3A1e38+s0XMmhorxj6VH7QZPMd8XhGd3sB5aIkt8X32n
us74I8BcVwMAzn9561mZfgrIjS60JMw0SNPmo1P/K7rpsZ9r5yTmwNgXXuvJbWLM/nfYOoCq+8W7
aCXC17E3kwBbvIY7h/MzIyU7Tt/bqHTEd9CN7vCCjI/lnPDErrSN5rmk/tTFzA/Ck6TYGNZDae5E
DAaZp3qdvLt03t9njmNQBzA0W3omOD5MVnfq/NK7G2pDXSgyiInmykVtbbzjIemN4nlxRfUwGY11
SXqYxEbT0AXtWwkdY4nePtRaI6odbnXGJsGVel5whi/EbRZaaKek/iQjZwIecf0TRcz2kW9/cWOx
k8FZmAf0bxus0W0OOUBfLJMoXNiLsnqP+dnX5B/1PmQ4ArvSdEV2UV66fIMVVH8ASkmPbQwMFi4r
54guHXAV1tl1CiPthjLHdteOyroaDS8gutnpPsfOTr4Hhh288mDBisET5FUMM0t1vrGvsnAMLeSK
gilbIP1km9j3spc4G9fUrmu0NzgrjK0045ie225cD7X2vJ+Sbnm16Fh++OvC4H9nC7eNffU/K4iP
/cf/C1q2/qF/nR6I/hkwTnHL6/zCkAJ/Oz3gHDIIUAf/0Ah/OD1g0ea8wUEzcEzM3WiM/zw9+L+Y
uJAQFcnbYuH2gGD+hU4h1+Ol/eTfxkpkUlBEuMy3DXf1HP3gKWp4ziiPuxx3maGmwJbRhqsmxXnZ
6VtvsY29zEFZ67SaHWjTUQgV461YrOCY9S31wkv1RlqzCo2mt0PL0vIIcCzyfY0rRAcCuNFK43u3
pA35eoNl/zweB+FaW5auBGkafIYZFX+RJpfmXV8WnVN9ZUZ2Sy1MXoy3NKlbIQU3mMr5JHdQa1+G
RbDl1fLbhRsotmJWjFRkVzd53GtkMdksSkOb74sc8CmAHoSROrgbJ5NrE09NlHZtvlmkoibV5la0
0b3gi24yt+kU6onkqiW2yn/eGa8cb7zJB5DlhkYzPWy6Yw/TPaydYOFin8ojaHbnxDkCKUIrYEaz
xd/0nmsRROuxIQED2nh58GxWkAgoAwOknhvPVSJqmu8qmmXaNNvaJfnbpZzEN8eU3qZNTW0rSRY1
Zv1exRUc8MS5hbiPJYm0/XZIsV3GOdyqAftGRMfBqxzV7eDmvPcCp1VP9I+1UTbuZE6zInGi4FR5
En9vy9a5TPktVW6X3HR5r2Ep1ZIHKuWmx5ncU+ROYoG7wW6+6+x5JB/IYC8cezybPBL3ogj6sIzb
S4+8DRk+9TfZDPwHxqXc4HWWn2VgufhP6iksk4ERyyEDPhCjsfQ22NdINGG+jNd9TGxpFPqFOfQd
okW8rZ38e9UtJlZmhOCxmCgQ4KumDQw4GjkfAADjd4TgmHPP/J5W5S13uydh+cvB1Fw/mmct2WmU
AYRxAccAAEX5AY/5MTUc/A81rglqsfUwnpAXC7mKWIN/ZxWzve874qRMEAunYWe5Kjv/u51ZH92C
JIfhYNV31gW6Dh1vXNs9c0ERoMN2j5OvMx88zR0iy7OHUy7bIDL6HIxoz1oGxX45+ChhUR/7POuH
+sYxO58qrew5SWv3umzcF8eiPUrjvLdpgwkvjZN/WEHyknQKnBj94GGv6nkbOxxHp6SUu9H3FFhk
rz4PrX7N/QNLy+xf+LWcBt21oymnFiJpkxah09m7K6wcVzahppxNu19CCNBNzT5pUslNMicBokRd
Hpc4E5suqSGCTvKhWd2pDmSRKCF5GNnKfuk6oF5Vat3UtIuHWo6rB7I5aluqA8IXdnmkrPsJ+jaV
0G0JNctd35E9+fu4aB782XssKi4FWxa4QNz5RK3fCYKHoEeANVo+ljsp4RIw5OzNLk15DKIrBDzh
IvB1bIDt8sEJUgM0RBNEczW/awszjvSWDzySrI+9+MmobZ9zOltYV2VvfK2HXS27T85paNa92Z8K
g6LpDLI4XAg2DB4xxrgvbsdJH99Exxxk2tO85wiPyF1MxWPdFbfJ5B/TkhHe7YW5WQAtZkvJJaVl
+LRcS+zB4FwtsZ5Gtr5QMdrhHVBJvp+1zr4XK8ae0gp9a2uDuVf4OldShnrqqQvf0MQcH/Eow2Xt
aueIGzA7LNhB1u+NHurBfA0Qf9ksAL6A81d3flaWYUWH+mdMSXnIV70lNTCOYeGirlElwgcOYeRQ
rtR9p07bSFEnZVEyhcgk+kdT+kcz9u7dKb9uUN8+SM9xWalijHEwdF/GBPeUPj7PBkB/HcNMtGjW
lUDJoXy6NMJ2rq6bGduWHDmr20NxT20rEvuckcRLAh1Oj5McFptYAxPTssPvjXaurTgKdxpCcyAp
bWU+qYJGAxDjJfeBEF7I3WzcBKqzNpXfGfBxPEpwCpRXNTV2cSNMU892vcrwo7Q4QuC6bIfF0fmY
m5GOE0/VpyqxlnDwe3UqHCs/0FM572q0/r3wLKCzg55csUJqjrO3yP2o+1R715U8mYPr7iyezTvl
040eLB4MDtuy9qWG1dNYlXqYMDLsZRUcJ9/WD441kyQvdNx/dfvm0EF3Ts0Gi5nXjiFmFxkxo7w7
WqIi+Cu0CY+6eyL8QLVXNbU7Xva8d2o/u5LAikKKQdIt7JAyGswMfo8ep5uR4q9DLYf4nUdysoUd
ZB5NqU/f88RtnvW54DsQm4Gxij6xebXUzUTm3kiWK+mpbu9k1RGJn6nX8a7VAu3GmEtty038PCxt
BT8x55FH5jqN42RnU7BEDYiWfudaTq7oDIBspIw7Oo0/WQoFESHH+tkrah5dMaxNrcZ+RXy8Qqxy
2z3pE/IGylaRXAs0YPEC18lji0sZW55MuVFk02jjql06DtROf15kVh9oFG1xfjBI05f6tbQ6azfM
co/geVn4/pMZYhDJXftzUOULAZMWmg/+Ren0X5zCPAaGC/yJTEqoqBHbYGuqUXW7fmubEz05qf6I
hkEfr+cZkWG5T9j1HgOdd2a29GiaY41X2VN9lOUGnIRxLG5L2ErSw8eAX3neEqC9xjfCPFMY7sbP
movvF5+a1eCKUcUNzI97YOfxpo8n0AKLqIm6ABmQrrjrBzlFQF28zRRjFpvE0G+dWedpl/kkNVyJ
8J4w0QrjapazC23FMrhXz0XU9iWYmLb9Vk7sX+hnf2aypEgsLbIdvQsMmvVcRyRUpxt0UlTMIbhV
Zv9gu2MTNUb9vQAUyxK0+0LM+6NMRxFy8YiNXWpA94h1PwxZAYymMDZsXdkqKR6tktrurc9eD1AL
NzCUoGLfye6SLuNNXBJ0Hvwh3s1F0uz5eNKwKDkY8qmUO13w6gUdNCxajfmYVuYXNdUv6eoHpnnn
Pu3n7BB03dd4xJkEppWlkFmvHdToDUVDs7VvH2s2PVv80/6pBqF6ErzZC4XUb+gX6VucaztDh0rJ
8TnZe6n1gYd9tTuoau8GOND93vtCW6e3x+xFy0Rl8n6UCo5+03OWStx4p/to5PUypViaeERMrfJ2
ySpTaGpdY/Xu3dQRj/HgGB6lR1UFcXArlKXJx2uOz3Vavy6+PRy9arABV8n6tW0T+JbaBAd+pK/O
0rAT+u4wH/o+s/Zekw4hcgRPG9e8IcyR7b0VQNlWNaRxkD/8Mal9MzhFbykRUm+eW9ov7Pjyh4kl
MLUt2F2XPn1wSSt9n9zS+HTqkXvc0uf5l1j3WPIZunbXj0t9BnBls16dTRRk5UO+51l6anvrnjxT
S+kmDnJjAIuBT2w9TAW7BHL/LUa1IYxH3wzdrH3SLCAmBs5yt9qFoeku3JSreDtWSAvwEZJl5DON
M57aE2d4OoU5cGp4bWkzxreIfRRlXR1jbHdn10yPPouNY9yiBCRVRZGI/6y13Ysu9IdsIp6VzWTj
eRGYD3LJEV+r0nPm8fVUNipQblcXj+PC5n9G024+fvvf/8uyIVb/0Vz6/F6Wn3/79ln+Lfy59PYf
f/a38ZQZFEcvrQ2o2NB//zmc+sYvLi0A/H3P8y2T+rgfpG3SxEjYRDdN0wHdzz/6h7sFDHfA34ap
jfQd2ATX/8pw+hOtf827rPFknz4CbticfJiCf5xNXY6ysz17VjS8MiYelgMNDJvy3Qr/f7oeeK+/
G4TXH8ZIrTuW7aw/7qdBmCE2xfAKrKtrBLyFLB0OnjnnW1unbuuHX8bd38X5HyP9tr++8t+L9rZu
wCPnXmcj6a8o8x/fGbdulZnjtETdRLV5QHtr1GqeRthgYkZq4wGNkCUauQJ/2yY89NymyL4mHBNu
Mz/Xz2Lpm63HTmtr2hxxO0fnibLEOGtnAmvlPD/yOwVSMIMr6IHQhQk2pnCYxv5mkHNwDFQugOZh
1VhKcJKg8JhrYSIjgHnGwc2lcWjY0xbD/L3VKxJ9stZ5TXlB++vcMyRys8KGMg9RUrr+blR6v7d5
qO7GLM1vxglQse5l7NW6mBEXsfYsnUo7+5qu7xO39M4wUqCtkOjeq2QeroXy/KtKJM7FQVa+1aSP
+B77SIM3OjCJGpMLAya0NYfTT5tOWA7aYvkM+gm7bcnocQJWgdq26m5uNmUXXFCIcdPQs9dWvnde
8b4kLHoOLeQXvreKjWVYrmJeU1MCC9LI65NQGQqjycTtEKsCIiCBqOCUm4W1RV2tP9tVLBxWKW3D
+jzlRmxPKxzaTeA8rSKjGNgUbPRVeiQNgwg5WdZFowDpYTbl+FQPGQ+1VbaEgAbwqDLL/FWPy/m+
gmuzG6lHDiBMlzgC5gnublXj84fP12hnBv1lOLAL7R9Mne0OPUtJ/JgbuXxqY787Bo7W7UanFee2
mPDJuDhVvsy8YIp8R/eBZHhx1y3kmRzPjg9BGRffOCBrBwmlsaRui363hkPlvURJOQjaZqftQJjc
i8rGVj7eLCzwITTN9lqj5ynb6GXrRHrj+Qdt6H3cL0b7DlNDvCxlhaIO44+uP+mN5zZ1p2/0JWuh
ZQh9R6WrjKAA8qCQ1RRi0zIJTOREMtF+t625rjYGMRCQKYNdL3rSpdJ4DpSM0JfGrSLQ/eAgr0Il
zKr4S94H6muepNpLYrKFrydlfmdR53chVB1mhzLv5XVDC9ijFQ/toSQl8yWoag0ydtBX1o2CQ9Nu
zSKI4VPGc2NvfL4NLG3nONjqeuxShDTp3Z7lhiY39WSJMkoVm6gNNr+a88civwojTl68XsUOyKY+
oV4qMeyI8a350qQ6p7HCrWmzytI19STQN5KgEpjEdCicYV91ycXIVc4cNHLJhcKrUcO6yr6edem9
9QUHMVTuOF9CMDfBHYKUPPeDJg6asJx7xEftJoW0KkBVLu7jIkuI0+5C6GPXLkbn7Wj/0u6nKgP/
RKGh/j2fVPbN1zz1KNy6uCTMDo/UhrseZgN7ZatmrX03x0ZFnJWRBzObGu7SePZv66zG/qQv5nhp
O8GZmW6ukpY7bmb3xeyC7ObTzo/0szrnwZho5CqKdG9rrvmQLb08TdgAT0BjtOeC7xa5JfZbnxr0
ZgwAS4JVl3Ue8yqnbGBwVEjHnYNFiaFX3gflqD660nD4TUz+eRzN/q1xfSFDRlAkR5WwQfI5agCI
FSUWC93dl/3R6oPm+6jhJWry1gPi15Q4+e1geos1W9uy+3GhpLb1PtcXhsVUxREJPQrlOEDjnzAJ
vMD424pxSE+9Xhhhwo5ui8xW38dt7O0ha3aIbS57CIWbnjhdcmB2EgcG3uGK0zZhvaZYwXIph/Ki
YO0GBjiEE1ieHD9HPVjmr+2Au0S6/gSuklSibWkyBD+PX6kpg00mpM9JLGc6roZiJwqogcSJGItB
MUVWrJHj4iFKWrthIi6507p6vlwjPNtbUSwguFEB8Hwi1fB16L5UAiSmBH64g9DpnD27G647MFSc
5nX75HU2lRBT7JystMkepNUvRxnMxjHPvYSW5LLfJsMEA8FMl6rAjU8ee04ruROJosCmRPNhfUMs
tA/0e0ZsZysqs9/OEkCBYgygiNHNtKu27uYneCd2NIIVuFm0xrrW01GdrGSo95NElQjwRkBXzat9
QhBmk5cZ1mpd+hGIXNCCS9dGVe0720UPhjN9DmC+VDw9kLYqTnHG7YYop3mYRDJc6UR3ofTMaUmu
OtW+dJ2pb63YHcluN/65nzqajkobcWOuQc07HqfuQm0sYi4XjEbzM6D1bhuk1oKPySflOoi2fZJ0
CGx8lRBv88pZbZj57RsdwicDm0EMrEwywq3oPqTWh72/1DkBLHApbLyD4CwGLGybcVism8xyGlx4
pAGxZ462f3GHBugFinh3TRpQHSdzTgiE6BjgrZJrNOzpIrzj5uuAwWyR4NIu6U7Emqyjx1MCJFwu
pmt3GKFDWg3uTd2vNn6t64fBcxS8Sx4wTLv5Ezmv/I7lVvZhzr225e9p56mKxf0ypAL7Z+YdkGqy
EzfDD62qq2e3Q6wORG2BcKip00sn8MrK11Q4F4G/LbOOOcfluOEZdhIas6tveQzD0iwKS6M/IIA8
WbuQLVdIlLkQCkhJl+7muJp3pHbZnnIxAsJYtBCc3/xWj0D50aRGBnxhf5DfSD/nolN3y6irz2TK
jRdtbKerKbMrkLqIU+ztDcCuE5mPEI8t47JpC0jQMwBsaGHYAAhqNNSzE/DMn+ex7/fSGKz7YYwn
qjqLkSfL4irrvgqW4K22QNxl1pAdtLnndaP5uifg0/1O2n3wJ6CZX+vL/nUo9CnVsH0qanSqqSy2
0b8eGn9YxcSyjWkqZIVKGfGwaZ+Krbock4O9zbZIifvgHjWPhMlRj0zaotThkO3+rCBrPfH/cDD9
x2twTcuBNsXK6ufXkI5zmZei4Q7MLhilcl9R8hK4/KU/YluuGvh53UegGdtEQk2lY1fLlihR6S7O
8vsKqaOvL9K+V6C26mTEsndlSblrTFKKzgUl/u9D3n/sgf63hq1fP7QfXvDqkP/hQ1OjO6d+wgu2
9xgfp0d1cW6rG3tb78uzM4fbjfZeH7sbZ80tRei2f4LUMf7sA/tpbMBcmIt2/cAQ/etyg3i7Fbv0
1j2WG/FcvoO63PeHPx4ffqLc//svaX1NP7xnv63EiEWu3MbXxo4vLGeSXUabWP7Q3tQ7IoJ/9iEz
XP77twJFiIlsJU39PK74eSOLpeCb2UXabUdz2m7YzVu6U3a3xUGFyRbu0mY5NcfyENo7NHv9kO//
+E1jpfrdSwAs7rJX52u5Grpc9yfOlEjcAXcrSlntnd0aRJ/Ep5p+a9R8/OMfZP78k36+DH+azQw+
29YmK8WbLd5fZeTuza3aY6W4Gd/ph9xyx74aIyvUo+UZswX5smhtBfz1Vfwlq91/z736SslwdC7T
/7xWv6nbbpUv/vb4Lrp38e2z/TGh88//wG8ahvmLjkOP9S93zuDvVrvfVuwA0ti+mayOVi2fn/xP
FSP4BaUcjAbTkkeOh3/4TxXDxaBn6Q6dbwG8DdPjmv8LK3a2/b/76oIYCYx1jb8Wjf0qY/wU0hH6
gOcZATgKWEJQudw36LYpVqAQjXUO9lTgzHfT0LpPwDsHDE1tTN6mq7+Q0Ki29SSXK6NtkhvTxfQM
R8Z88XIe+ZueB+rVbC8SAnpsexzHzfar389xwvksQNLdJ0VBm3dRkwfQaRlwdrO+OG/60lVXrhjl
2aesi6deWVHO5CCJdJsZdNKzWcycXHMbpDow/3J84TjMjAdB9TJ4BqXoy5yvxbKyh7zgDet2WXYD
/99ZfBL4besTEK7GsrhwT4kxyleusZ/sMXjPrVjC7kmtbaFm994mvfhcTTXW9RSzrpmlyLSlNF9t
gCHU3OO+nTUjblj4IAe3pMZ39B3FRwBTeORRxHHNpYY7RaIzOHnOpfGqd7ZJU07DUNHlGha/YqJO
tubjGf0kzkItcTgRmcLaSz13X2FLpegQJOpEJyOtR5rQvdp8VkbKQmcgXt7lZbxzGh3kVt46u5Sl
1NEcR9ffV+QOEpKzdbBsrIx9dwUmaiN1u4ukQ6m0ZsFAwf8Fk6LRx2fFtMDOYzL69iE3iWw8C6sZ
duRH/a2DwWeLPqp4vTGYElOpUM/K6RgbLUXoSgbR5EPt6mtzOgEYp7HZmEhvObl0XuJy6A2O+Jk8
Q+J3o7xLdCMqfUN/Yn3RvFmynG9cJ0ZSGYBIRYDGCUY1dHvvXCN3IlsrElLtNGe3lH9Gg597NyN4
aAgXHjCCwfEe+B0MB30J3FdNSu2tSPF64YDGjMn6JaYRpPLy/VDg0WObB2GmXeK8Cx2AEQyQFNvd
sVj1o6Qorb3jNga+q0Z5B9VU43ODI58FUmzFtyOlYjc92+nnpnOkWmvsvONojPUFCcgBDm00/mOh
t2Kf+JB5+7mA4jQ0affsJl73xgmOxYFlEIiceL2vtTLGAwv1ZKUqN9BuFvo4zzrz1a5c/DUxu7j3
eTA6l7jMCP5PScNxNWOJ3MONPTU+PQYjX4RDU8fN4xgn9teWvi1O4QyKFw9cGJRoHGJhp/nWK8id
gPOZjzbVBbK/Sn172rnsBGjzE+bz1OKF8ErBFFBZdXHt0vC1s5IRLisIoZdM+tXZy5z0o5gC67Mo
lPYi8hkwlArUUaey+tFL2+KL0QfJ1xhd7qHjqHrSnAms7RybNS0dUx7vhS2K3VCP+Bl9x+lJEARa
/E1mXt3tNW5S5UYxUEZUtuvbuKz0Uzmn1LONK7fFLdhugHPM+eRbb95TrjSRdEuLW12z4vdmrqsM
TwdhEt1QAT/WmovnMXWt77ltC0wwyFlXnSjyN7vK5L10DHa2jXKtN9+qq/OSTv33VDKybiRljMhb
feB+wdtjjKFqB/uqb13tleorHBajDMy1hB3jjMYX+cMRAk5Ayg72XZRTw+Dl9Ha6bSYDCgD9CZh7
aSdzvwhIgDcjsuFHmcn8DNKZHYqpDHnCgheDLkZd+xobSh0duDcferCIV31x7atpzI3HnJmGWkQr
JXEQsLplkIO/EU1mp21UntmUzYApScDrDcyCiTWBjaAS4AAHcaBxzEqCw8CITNawGWo/dIe6edEC
uIEa3PMdwiZh7D6I7xcRFHvTQtPkKgy0Qz0W8a01CXASZWrsjUL2b9lSVddSa+VVUNfaXkvTggmn
a77p7NaOS1ALhEmS7K7MrHt6beejjTqIXQXybWY72qeFApVv4MOXd9JvkuvCyvtTMsYVZ2EwK5W2
qDtQZtOeEay5zrNKHPLCksesJIa40ZRtMu5lI5pcOR5bwSme9R4U8JZNY7Gh+4uE9f+cef6+sFmP
LBwp/vDMQ179//xX/fNB59c/9dtBh4MJgxn/qV+xrYb/QxIh+EXXVxAsU9tvZ6B/JBHMX6hX5nnJ
8WNdo5j/OufovxAX4HSyLiFM1+Yvxl856Px+EuKYw/XM0pU8BBMK3sSfTug5RoSSYKEZdfiJSjlt
hHGM/acfPpS7f1+d/PxD2NIwJ+OPZl/hGwBufz/6iCQrE6xrVqTPxBry187Q9iQG/viH/DRgsXgy
mDF8bJu+ua6z9JXW+sOANUOm1ChxoL9wS5nLbtxb5+HcUUePBn5dPyZ/OmGtn82Po7/FVIXXc31P
DnE8+6eJLs1TGKaSvpFKfs8pbcja+px1NTEmdRX0b3/89mz9z37cOgL98P7gYOcgriemuXHGNc6B
gVCcLNwZnWgIzDM7K+1YcySIyL2YW2teqkc4asTlCEk9LCOFg9JijQTtXzz3eJMfEtXmd0HiOSTO
cBcOQQJb3vFg2Pue/jKp0omahpOMZlETWrNOIGgyFveBlRIYWfO/rKoLOY5BqGY/vUl6+ho2GUkA
uenzRD9PEzfuXKXxJzQtuVMjQKON4jz90BHSf7A14b6ihw/zXutaeYeQg9nIbKplP1AwSbq0E+at
MWG6Jte7lp/UcdWd19TIsXSc9E44FV6gwO2rncvDF0hnnZ3AmPpf8ZHRUOkrweynD9njwLoF5qxR
UwlFKxcOFUhE99XYwXhv++4t94TgTI1H/TQkgI82thq1LPI7OYPN1MrhyciTZWf1Ov1MnlnfAyup
LYA7GnSU1R8uIuoSNWpkFwo5QLuoJ2McCuwjBOcumZvUt7oc3V3Tt97B7SGEbVBhl+CIkq5dlGcg
x3Byf2T3FL+zPJmLkH2Ed6ITzLrxi6r/YrecpTDgTU+xIRqoYTggjM3K3P2gICK9o3iHzQTnVP1C
riylZ05Lurd2MAPAFyZMvRIz7XU9gZ+IMm8sHtNMZhQ7xNqe0qg+jYYmKS+I18sTDsHqG3oSLVcA
6PZzYy2nNNdoH/O7/rHiLYILGfrXIFW8j2SRKeHauI49/AxF4m+MVDnLBmBj82bqoJxwlPpz6JAC
v+rtBdaAW3Me2aQioNukH+fhvm+r9pvNquC1F7pz5zS5TqIurVH6F9EqajULx3li3SE561jwPsKc
+Mch1voFf0xJkxDIXe9W1k11Re/O9Eh0orzPU8t8aKTVhp2ynfRm6EgZhZbe0e0g3Bxllp5Szly4
n7R7neAhzt+gcwgsjX1xtpWor1cw8l3hZZ8ccIbPfkhi4CntxLeK4XA3YvemB9XWaohK2YqbpjCQ
HwfmT1zQ4ikSUmjhKfWvERzH4pmywZYulJy2EQfXjVK+K0Kzwd9TksE+wVSj/1bMzndU8fR5Sfo2
gsJGVxBhXRPWPSUvfAjiBoQoQfHJBO/mE26ity6dos4GG5HKZMZz6HhXFRJ11E98Isbo9Pc+1967
RU8OUJTReiEcB8q0X/T4YZYiv9YhBzJI2gVsWmHrn3aCP7XWPHmF2SoEwi8iVkpUoFkl+CKSthFF
C7kAUmcYSPduQojf9eYPKg3VbeKm5l02zA5XHJ0BzpS1oJ1MTdtPHU1S6dy0R6/k2msSv3r23JSh
F4POLh295JuSojrRZ2J8jrKsWC1NaXsqZR/cloYxEyuzmuvUcTDWAuSR8ANMeLUwtMIyXS7xSMra
8eX4qPFhYgAjGJ3rpnprkni+ZZNWRTym0Bb7JD3OKfg5MDYlUzjDmn3CKh+D9NNsJflNqnyfYYve
K87hjxgDAQWnLDzR/+k5oHerupqXBdNrqrAW6fOE2yHQCozFaUCrlJbi6MkI2u4tI3OODq8Wc6Jb
HEg2skQwrbp5dxR6/tR66lJpU36AWNKdalI0B1K3w0FCrz521IaxpO9A5OouoKwp5ysxDhzuxhUl
7UgeNy4Wc39gcQ9PhzuQHRQh5a+vtsHVEkuBW9lx670pqTIGiNR+iROZsMVt5hQTA1W8ri71hjYS
nJMUGqqXniN+CNmLo3cHRummSip6aXz6bovMWfN7673cVxlcLEvumynNDoPZTS+9N8+QkWFdwOco
bjvgDJfAEg6QZoy+dYEDf6AEeG/9X/bObMeRK93Or2Kc+yjsiB0jYBs4ZHBK5sCch5tAZlZWzPO8
38aXvvYj9Iv5i1KppcrTkizf2ThAo6FSisUkGdzxD2t9q9eCtVcH8a3Vmva3CPL3G8G9knc+dK+7
dMYsh8nv3ApLfeF1uedN5cE1aJcMXy3UI2SiQEBig1E1M/nqgNQ/96eiSS+wFiJgTkyYpHNI0pBT
5ZgEIBBB8sG3QepQXI8nUpyB4HEvZFMHkfDBgS56pTC0n9CaFreWUUNjoSnxo1Rp0VqYA3bKPnSR
vNpeoKbzOorFqS7K9J0inqJpTubgkhxP0okbu6jkCseShk45zq9SaMlrbpHRtu1MDJehp+VvnKiQ
oLBUhKuxN4vFT15M6WYkOmRPJp7rMKyJ7O0M4SZe21Nv7dF02t8AmSNsroKUZVrZVs4LXvn4tULm
h5W/w9dwJIw93BZsqTcWhurOp5JM/EoRnpQb+pEXLx5d0ah91kfhQitMy6tI8WmUgZ6d/rxg+TyR
NYmPhaSzLARtXRrWp+rIMa2C2RQwJ2V18GQfqgZsorkxix9T1z/cJnyui355IsQQOrZd0GaflglB
Hpt1p3gi5xhek5x+45i+4//5i/m5gqXUJuQGdZS0BSW5wMb1c+0lNIsI0ynX/SYNgGKBvrgC4EC7
ngTRXzwVpf1PVeXyVMw9ARnrnI50zD8/VdGKeFAQ0Pxypltf0uzG+pcIjz98x/7qKT59NAxrIAVW
PEXdqjpfL4nBEIP+agHx+T1DzMlbRQtFG0P8sPz0uRSJNVQg5ISvOTfV8I30a98lXODPP5jPH/7n
J/n0brUFJPgCyr6f1AHFiIIV5AdNM1xXlEmrJIJRM9e/POd/jvn/jZaXfpIP8o/H/Bev4dfX7KN4
/dT0/vK4X5te+cUyKSFsD8i2TrLE75pe8wt2Ln7o0vgi6jH5xH40vbr+RfJlJi8FLpbwdB70Q6Lo
fiGjhL+H74b5y0/+xmz/+zfot76Nnpd9rfudB07zu6wMfv6G9QplQE88wcZLqnWHs76Uh8IARZRq
fqEwfCP/d6ozG/xnF9X3VeLBsq3u8i46yg4u9yC2Q9If7BgnnXcZW9xbFOhPfZ8gUcgiuf3d+/sv
umfesk9HgnTRvTs0z9JmKoXr7+dfGLhpWzKAdX3Nju1XHUH5wxCMqe8mcnGvm7V1Ec5Jepwi3dvg
QZuRFQUIeIuoCw6l7aprC+f1hmj2gSmfN20mCQXGTDLvELkWXZ5BcN/GdfXmwhGN/UIsk0FPmBhR
7Nu2mzwnKAyNFSKU8ptZlO0LqR/jE+EMMMbiaEyujClKHzNrobGOFpPrfVT1T2hQQxxCqndYveGr
PRq6URzQJ6Mtrma4pfk4aQRA2AERYGRPJIhiMNzk5zA7Zkw1LnalHUy0+bnAe4vugxjJCKW4Nlx3
EzrmQtjRN7tB04N/L1SHsLP6asUrc7fIi/JhU+VYdrOcxEOwaGJr9mO3tdKp9a0hbz0kFdVwNDU3
XQf1wgoCe3BBROCajvTQxCa8IDKzRnkVk7F2lYGUOei9Pu/0Lg8OloQisxr1RN2ilfMi3ASaeKqL
CULbRLomlNgpSBH5EBoCyKHGEciIFfYpU5hzF8wTxre6OpZSUTH1QXjZgILft4MTn5CoJSfum9Md
LZ21bxrTRn1WJwHwsGC6zYWJZkfE7j25DsY5eoBgrSMH/br0FtimG2NGeCEKBrb1L4EJ5AvWa/J1
3YexVs0+ipR9MyVLygLfkhPWq+kB/51x2TR1uZf43B4Z/OY0dmahQEJqb5DD1d6CzHuMe6vE1YZ/
YQns7W7cLGkmVB+0/U2tRS8jHZjw24q+Csg9n1Em8gF3kaPUK5mo+QS9NVQQvN3OYVcSVOjK577P
GlRnqCwBQXm7vgqyu7gGsqJFct62czrzepzyJkPYfJGpzt0TK4GCTXPj1eB0FgpRwPYVXPhHpMck
LVbW6NtU1bewqJsT1nmPeUBQHxJAdvt8TMaD03dLJgb85MkU+QN0meDcmOPy+1ADCvvYi+te9M0F
EFXx0E1u+xrWs3mWiYAxAYgeoOtj0inb7502wGZWgfEjh9XQAdvRAbW7GsrtwDC5axDcxEQkXnmK
KJCIufaSUMdUqS/2JAO65JyWLBCBzXYwxIHtslMKoPL1KxRGw/tE4ihKtzqCg1eFuffshYW6xrTj
3gMOxOU446CdAfoECvp+ik5vVRDE9+qNsryYyftzrzy2KO2WFKEshoRfj1e4vsStAAFm+EOVaDVC
wTL5gLNjZb4TGcRTVh3MN9+dWeoQSVpcZ23NZTCVdCBE1ybnujL0r07VErgtE4utTmtNmMKaGtMq
U364R0ie2LnkRVCs0TOq+1wm8DZTpHOHzJntq6aCo6FrRJAwBpnPWpIbn9s5MG+ymbi8ydZw4MZc
jCsPf4IvUk2/8FKEwiDBYS2FoyZO5tz2DlE1TbibDdzM/pSjGGtwMrOpkz3r/TmF2GbEU8I3sRQT
bzK9W+4bYVN0mxpCPS9ntJBAad4My9N2bpiRsPqMGNDsR3YqhxZP5V08VuZzHsCv9gxZn0+h1DdR
gZqrao3syYiK+ob7WObHhdVudNaPeHft7tl2WnmHBy8kHmZRY2N56c8BehUntoLg2IuBpiCucW3l
FuxYSHNd/xwlbE1WMHjHF/bdYc6WWAV/oVnSf95tuyZxF0tBblCDoyi3vv/8d5PEwujRolQwFTof
2ZyP6+ss2Do7w6921l8JM/7quT7NfrmG4tgk9HAzrsXaWBc+bKp0szU3RAPwFYfs+NZvXVZwPpcH
VO9o9Vf9gb4Umr/d76kwTGnQg9AZkPiBGuVTues22dAyB083wxYrlLkWKeIbJpdr66UeWP2ugTZt
/vye/ckF8eM5HeBDuisEWSOf6tJS8ZGypk83GHSR3kRrilP30K2cXXRkY+/83bf5+2v83fN9eo0q
Y80OdzwFCbnyh9APro21umvXka8hRN2scIuRVeGbW3AW4Sr6z4o4/mUJpAtaWKQgv/v4/dfu9b98
FB3/xeVr/vHf/u3fIRqWxWv7+4r4t8f9KIltjwC/xXtDqUUviVTwn7Ydx+RHS6dEfbf0Wou+70dJ
DFIC0e/3PRBCGUwnC4riR1GsmV8MqdtIVNCe2gbbj7+VCUhj9tP3xJZYZYVtsmsXEsEWe6Gfy8wW
TF6SB3Hqi2Y0ruJ8QNlxxhA1zvLrQqucTMGDyCtcqRJlT74eOmuiNCnkpfKG8iWyvPhraqBtlpMs
n0JdH2JItZWCMwHO+ib3Ft9A77rVQ+miBC7nqky3uXK6LRbr5qSY+RwDNOggUeLM3TBdJjGkFKRD
s8avrvP+OyCCPFmhqOxAzQfOxcD5cnRFxPRr1tW0bVNJ0nbXOfktkQco311c4xsmbualQa0b72Bp
M/7AYHhe6Va6a6yp71kkwzsoq8a8dGVuvpIkS2CxpRnJLZWVfWckbMbL3qaTbErp7N1akhWAPCHe
2HiK39oiILsFjXV6Q6iMuxtM/Hz+bCuHrX+BHFPDUr7Ss9LbBd4QbfoGw8JajwPrnbsitVJQF3JT
98o+bzynvnaR+4MDUFp+SFqbabULUB2j45y9aplEs50R4noP2al4ZuDTH81a1Se9d6wJebW0l7C7
ubtPjGY4ZY2Yv5H9hvvDEYV2hltaP8L4ZlI1aXl8rBZAYpXrwWbqlieRiH301ZAXGU8IfpJlRe89
kgc2PuhNWLwWvYQTyoVkbfoRn9cmLXJS3OLEynZiMpiwWUHp7LSUlLaZVA9yf0T7jVcF5ZXYaf3O
jMxx5r3S4mc77YN3lSMe7zqlnxUYnndks7s3ZVL0MD5kAgnfNps5I74j7QXABc/7BvvfXfM3FxvG
7/110pT21iXb/CkDyoVXelTVUVgi2irb8N4GFN8XM4YjY7ETu9dSTuZdoIXGHor6fPDyJkaTlObV
CwRXvK4iQXaFnzZ+6lM5nbmqoHggAwcrvEsajbdBLjRfBlQd13ZNKCOz64bZOubqjFgaxvxBXxXA
CHJN455Wy13jgTja52SbbbgTNrfCbqKHgOHdOSDM0W9yu+aUrrLo4Ck72VYakcfnCSlN3+ALJs+u
DnQqdEgmgVSi03jgY8ggePRAngwLJVU3ZfUJIVlwzlAcT3xZuBcW27aDNnXRax02HcPpkEhqMCnq
AC+lPQV2ldOd5f1Nx7t7AQAl+roE80LLDMuXBmLGPcFohOP1AZemlr11WVJtba93YTuMCCyGcNxm
FupgA7QpsgavOA8TGxk5mFntMp5Kd1zThul+FCtrVyGFf6JATW7L3I0JU5mnfc57c0XO3nyXKnu+
QyJeE9hkU7iskILLDKt6JHSw8JGe+1ZFXs86tpvmCgsWazdRmJT9Y8gkf22lwZATNjGwznFcMVzX
HkiwlcxLgY2GEEn7lfRCE2SqmDNQznnwPKs5BhRC05qsTFQy8w7fAjEu9lhYHojqME/W6FuCTZIl
EeQzBDNs8ZMcZGcxX3XNHEAGxSC2n7VsOiFVHM6Q7VtXnHeZdy8BnnWrdMSvQJi5Aa9MAAA7G+OQ
ia5raoowDwXkuAXocjQC4rXAiJrnCpxquh69GDewhVLwuu1r011plRw1tgXV8Op6mUccht0NaN60
JHzRsnzQFxsgrS4MATZTKAog9LZt92yqjHVgDsmQAMwgFNYa/1LzMUQME5M2FmQ4dgnKRM4zGK00
mtm9PSpglVXfj3ddVbi38ejG7QaMgbx2cPXr5I+w/cgqXd539K3YwVP1tXTt7KNNK/AzBnlBVwMn
M/lB9KY6B9igHoIJTZglKnTyh9Jxs5usjuXzTMtmrtqu6d90MgTTtZKmR5Ng6S8ZpotdJKcKD1aV
DfcA2+z9ZE7Nvs41xy/wE/k9deJrm/atz8JKHgSJ2Keh6LMLXKI4x+s4KHyiAYFlwGPTQJ97qoXt
gzThYa5MseMKyZ49gg3hwppNSmvVTMwBFLi9RxY9HCPkm9WF35UuimXGm0umjO2NDyRptZuyF2yo
ZMqZEhB4Ga7LylRPjZVob7HG/sD09OTD0V14qmKYLjymC8+i0J2Nq5W2sYoyGBGY7ZL5m6WDzYE+
J8ODkJXzFBtWsDddIkancDT8CVz2uLYmU18Xos8ZODhFTfJVVhIxqhF0Uhbc9FbI7PBiQ+dlO6KS
/mK0lfHYs6zFUyKzK/J5591Q5AHrlwArgBPp7p7FjnfMY4zkcZ4YD0gi1S4ShMCt6lBp5/jRXL6D
Y/TuJVy2EbxhvDiiY3ebmvY+adBpDUalb+DviFe9qsyAzUwePg5wCHIsGbHYK2vscqyIVShQTNm0
f3Ud23dhYtX2qnMaZAPZmM9+2Vt8R1Vq+UMc17s+68TBSKb8rE6H5mhbdKArmnFS19pWOw6F0KC8
6+aRXJyWi3t2s1OMidHy27kBRN/P4I3Wwq2Gx6DgLGbM1ewbVFJ7Vi/uVUiPvvxLvHKIvxJ960YI
IqO5GA5jM8BFT1MDZ6M7z1wxnGnDvpTdGPpc0Pg7FN/K+1ZvilPG82KgWgYJc52nUPyIrr9urZww
CD3Jz6DqVZdFFoYfYPnUk4fdYTcPrY4akSaEsRZ7YQv5RcLSDChv40jGkLLc96xa2R95kKpK161f
hOycN6Mv2fNx+ZNH4uZI7RrN86qdS11xZ0U4YVhopaxPh+CUDrL2yeToL0QWVsDPLe9oNF4bA3sy
pkemg8s3VS9ukN8VZyTxxk9u03kHkw3+A3gvTh9lpdaKHbj+LqJeuwCFPbS7SU7Om0M20CtkFnUW
g2mgjzClumjFJE6aOZmHMA74Kk+TsL+B9zQuvDYQV8moNVciTbKDG3DRruK4VdhHEedu6rF1+XLy
1h5M0m1eCK/PUf6RTPVkJ+gCVllWMHBqtFKcmZTghJ7mfIGARDnvUzI2ByBL0ybhrDjhIvJ2YOcd
X0PQQoGhWf2FzNS49+KWUKwxR3IJI5/5RJhA28aJ6oUoCoyeAQRmJG9kJueGUJ9gji43W1I9Y6Cf
Y3eOWBIWtRV7Z4EkqqZvJPGgUZ28hbOKLtuZdN6mYRoLZBS0i0vrTgByV55mBp3IDVqZyw1Axhwm
C25dTgsLX13sFWrXwUWCL4Q7cs0gK9wV/MJn8TTrGP7yyoAmXRMY2zrOiImtdMw7h3IFEYjCxIYS
pH919TSdV/CSaKxNDbG1nveMntRYrYJoiHdwF9nGhxFGRjtwSBacIjPb6FAptx58i2TVMkk85LET
3Rqp2W6dAvXPqhVcD3iMM2Y5scM5jKhNEh5oYW5vvK7au4uDbjP2Vb5FA0K4q9fh3rHsRpIAA8SK
yYnj0CqgFMVs2Fr+1Mlxbw/Y+DmhDOekCjPdkzdNEm5pBArpqiMqeBSOQApfJFdz7uU3WTQ0F0IM
3ZWVmQnHZCKNy5T7yTeQlgaJad6orjpckBN3a/g/Q2jW9yiYraMbapGH9CaQGLftNFzXjWN/BHUy
8J3HsP7eQHeDCy4RvkMbyqN9WdrcdJzeuJlCb7qDYts8pUblbeNeam8emUFMCvkWgXLrhgc7toI7
0htLezVlufkoOic8BuYcPs8OLU7BWPhyhN5Ur7y2T94ExsmrJAGau25p9Xa97qiXwhhoniwWziQy
loYeM8MT8pRUciijXYvmaezXdhtR+B7qfprvPaOGf4P/O39HvEWwb2USPsBs2ToHODVeVeEAaqgX
tvbeFG1i+iquGyqjPiuxXhpLIqZrZngSm7Bh0BkQTPTU16yRfVyndbIz0VT3eA28Vm3wxHrDBpWs
TrpwXdfdBeEH5TsG2fqX5cZ/7tLYpeku+68/Gxys//G/mq/l26dV2o+H/bpKM4mqtXDBeDhfPq3S
7C/k1PI8y7ABw8xCkf4xN/C+mCbbNwiW+L4kQOvfdmnOF2lhnqFcgUhpesuj/sYybRFV/jZbY5fG
0EIu7A3BstowjU82mdHBvs2Bk25cpKOHeB+fKWcVfeu19e/emH+1BFtezH98JkRjUkjLsplR/Dyd
gLhpQOarAtqBtLvBjt8ku4BrnrO6UdNdgTGe2JWqJJmjyC4EJfRFxHxdJ03P9g5oX9W96KrxrphU
f0Gcun7Buii6xWowE1g5euK2S2ztgPva4e6QufkN0ARoixZh1mkQ4Y+2AhtWflRT/2QEuZoaLuxI
b7gX5Y32JIsofu/bytwFsBIjMnGpz1eJp0uiBJM8xGOdGm/0tIYv4fjNPL4yH+c4rD+EcojRjmaG
y1Tmo9pMU9uyBqvTGhKA19BsNfLDdMN+3lZOiL5eZoFGBd6Ike1KY5TxoaXqWXI4LW5+LVCQaw/7
kcaQwQxgsIkB+wVSE8zTTrtPzCC6j2ZDvniRN5/TQRnsMImhY4vZhckWQys0CiqtdR9AV6PLG79i
ZujXNJIcgYCYfeSRxZlbee1Jw0cBZWF2wFuaHlq2TeTMU7QXlBrrhuMXJijJLpD+v2OVpDsSfctw
nfQWJt7DhQFuOFhl1mBdexZkqD7V7BNCXvuk2ip9TnQlz8SChwInXNzFJP5iYhEsNVa2HoaUnTpk
7LWVNe0Rzs14DW4EPZ1H9Mke2096hsXAc5lDdQQreO2QPxbd2L8AFJtuEtDVGECRFkPusgFzFT25
CpmgIgFY1k2XxDM4d/00ybtQNvoWcGRdU4441QUaTtZ5iePlt0pV3rGypXnSFjhZ5NgT2EMkQeQ0
pYNiy1PX51KQfEMibZtc9X2n3xFeXJNy4ZDuQ2ncHYoxQc1kTanKV1zT8hgsJDe71DwM+m1ygHQW
nrehyXUSLyQ4wT/7iTtQyyZl39Us0HTIY/EwXkZWftCSAEGwanGaSqZm0+QaL9wOpz3G287YCovV
J+Mz+WIURba1UL+tCYw12JPEXnprImTjxcGWYbs86sDLZ5bSrLMyL7lAvUh8SWDmsNY6iXOs5I4h
z2InS+pj2MKUWzNECYytcisbDCOFanyA66q7Z0WUU+p0XlPMG6cYMrWt6yJ9VB2BcqsSsB6LG+o2
vn1t+BiZiXGuubV6ryM9FIQsE3yylpOHn4Uc6WyjApCheH8syOtGYOSXQWXHd8BbYmNLR2Kcprlu
H4wgm8kzbKKqAYCj4VqqcGk8ijYhbrDFyFJxfWvNgzFP5f2omuGtpd971dwsvUY9OVP9yAiVZ836
8dxJIXxSFBWENngdfNEz5L09RnowfVug3DAE/e/n3t+6P15VH8Vt13x8dBev1X9dHvpeVnPDwKD7
7z//sf3lz+FHuQypf/rD5vvA+rr/aOabj5Ym6tdDf/kv/09/+GPsfTdXjL1fv+aA22Oa9Pi9+/3s
2zMXTTzT4z9Wkfx7l/3jf/AbvX/yTvx44O/ufbg9JQ4I5KgL6+q3mbn1xbC5doS9LHYWacg/733I
SJjZY41AXYLzAN7cP0fmuvhiMNlGjYRV3sHd+bdiHHTnP9z9ULaxScPEoeNutr/DAX63SHNihM5Y
8OBNTShZV05tt/DpQEH3tJFDt2+biXFOr5F2YwScjJDTqtuMwfZ2HNvkvrDCZgnHgt3O1d1cUUFX
e8yDHLkiqely0/FlTKt4G1tsV3UPnjB5lYCcZlGzxvG+shB90ICzbGMPKG8WvNXx6PiM1SJgfqQk
zaolsYRwyehYeMqkJNeNs2AMiTGbFsRbyUxzXU+BvGqDBgMko6Vz02nk+TRU5qHpICgnTWFfVti3
GLp44kC2eHWWsFFu0MFWBZNZLeh2Y2JgsablJlaOXMrMbWSymuhVEHdsBmvYDK2gzOVQ3yzqtjVG
sAJ8UpMesxG4RlCZL/EUwecJJYv2lJyzsdK26E5t0CMYNY1Zdvi64FiOLHKZjyX6WdpPdxmUwxte
SX0qwlke43BmLChBFKF6nRnbigOzmqdCt0lzrNE7xzBcGFLKh66xXtrYC/atlOzkEfjCJdFfIqNC
Sp4L45izuPctq4bt6cyHOUmuvXqyr5TOHC7sDl0scKy10yYf0/ksick8Iyc192vdhiDZ4VIguZeE
3QJ9jtcN064X4xusH0YKLbM3MsxIupkRmeSaVWwClN3rWg4U26I56eC4drD+rXotnam70GmBSIqt
6ugGDW10iBIEPiFxDQwicmZtUfyVFlit9WKCuzjvSbMjLiJR35w5e+EAgw8W8VsrPTqKuS18CGQO
7hFGJW1YM14a4/pM67JnqEbZjgiBR6iu9g6dRXRKRIoreRy+MkJ65g6XrjPyDYqW5OrOw5Y4uOT8
ZM1wAIP2HBf1ZUsg1MoqMiI0+YhPy/5/NRjzC+MOYscGHZA1vEZ7U8M8QVOjB7uYscqVQRL8rdKL
+KsDw3vb1Z23Qf3CFl7WZvJ/0XL8v3ak/lgn/umZeuq7Pn+dfzpRf3vcr0eq/IJSj0XiryE3lNm/
+u6dL7QeBFwKjykp+tPf1pD6lwXewKYRzZ7NGs7+7UjVxBcLYSwrSDAojvHLKf3rveVHYc9t6Q+1
qaRq/lTos4YUVPkudxAX+D6w/E+r7J6V5zTSV/sTKomN1zL6RQevBlLna84m8yat3In2Xw+6dw5l
7KqlGafJ1jNE+lpaTvBSZxrTs842NnVSl4/pVNuXGsQqBvq2d2moZNxHWZQRFm6Z7rmuZZiksqKd
ji2o9fcszwekCgCtr9ldUct1NjxP38W7U6zdSXePrherR2i/A8PTKHlKyjrJVj2v6rLQpHk597r1
3OZEMypX5ds0HyZyRfRwO7Y5aeN5QlTIyhkbTDKjETEpUWYRQfFc+K8Dh8U2TlV8hv2H+XaRNOCx
8Uide3PcXRq6Wd9mrV2dQcEXDz29wCW6ZeDSReae2Xg9tx0zyaswrkNn5XlMtX27H5jrB0mt6dsu
IeFr21asPbEwqORUOGEGe6TQ03XfAkbjvtWz6OhG950MdXhAEyzHjMz2DhY8tD4Wcgyd2PpmY8iy
jjpslTQa9z5d5ZCUOpVdR01jk7aDfGltKrbMTHmFBrp87M/UoFnbIAmo8ZhRg6QlEUycoEmhyfM6
A2GYGbFJdcJ83Kp6yT0VTpjucmWaMZasqLmAlEDA7+iMTylL16+U+vmVcnvFr2iTo+Kn0m6+2iQg
PLgzsXmV0/ePiVtGe6M2wqd2ynrlL7ysW2DRxHBkfV8BYYwDjkREM4zMS6+AuFw7ihcpHSPwmXbi
HphEHh9iqFZ3uLy0CzNrjQ98DMbH7IFtMotMHTqvOBpyDs4mqwOkS2C87+YeY2eG6XIXtxGnbhpU
X1NQiCjJNG4N3Tywl4YVeOinttqDC4ZqODhm4pNrkj3OvSO3Obu9SzZ6zTfQzJrFeLXO9iUBsn6H
+2PtNjXfDntwcVSKZAs1OPabehjfMXwW90OdhrtBoWTsbG26mdGRHWaj6T9m0+qfbKmNV+zD+22X
xeoBtlPx3dOyIyh8vMZcB8CgKqMbU2QWLgigeuswjOVVgUG+W0O1zYHyY3rYJb0TPZs9wUkban9x
7APSolaV5i3u63YKD2PsivuOtvje6wi+YmsZdjelRy86MaPYT3U0fXXsMXgkwVB8K8tyblZ2EU1w
wFRrsWgrY2/d6KW67mTNrp9VJ3hjl+uK8mO61yNTI08giW26ucUTaMq4OesaiUzf9tpjoU9tx+qM
Ccsq1UPzFNsdI3sbbdW2zWzTWAGjq07sn/AiysWW2C4GxRY32k0e9uwTB72K2SaFffy1woV2jIsZ
wFlZm4Ryts0cXSbffZDjODJhq0DA70Y3KIZ3zTXat7kzuEBz1xmJ2AH6pQMNRVErHtNGudi09fjG
WQyYFdLTldawFegWe6ZQSfHAfs47zIt5M2ud6UrvZHVWmyULWKpKjos+WzewSh7iIQXXrwWpfkbB
2p5GLqiLcDDDDZ67+E6YBHQmSjPaVSImJALSxWKUk+yxDrOk3HZmzYoA6nX+TsTlDK18ElXte2nR
+0WbJw8JNPs9OURy7UkGpqgMFpay3htvlRmlZ52pG7fsPUrMPlIyTq/MpygICc5TblDetIbVLpP+
ibZ9cAhf5J/H7Mj9CL5FE+WMqmEa+DEf3iZhTH8goiw+YLcS8nwQU+utkkAZr5OI8r0qeBFDEUrI
mqb7lgsvuWwgVL4JtBL3oWVl550N7cy1EtCmdeleL4SMqwpp5U1hBKbPGZK8lFFqD6vaSCNyGrrB
3OmV2V4lyoz2SafFFI4D0xpbn55Hlc/sUUp3C8G9Oa9m/IVh5LUhx1vtwI0O9b1BEu+pZduNMHYQ
7Q1tpbgp8M+dGTZ6SUMUw30XshHsyqG869sZPOfcIIdw29k5kiIaSWAFPRj0KnWrt6E23HNcO/Ip
cktIFx33OzQK7CWS2chvqtFKtnyhwRfYrXsSXQnueerJKPE7Jefj5AiHc98BTIC2QXCqdaNXEa9p
q7vccGv0b8NQvDuxYZNhTwRCu+rNfji6bWo9O1G47AAqvZrWjZTeeAZiUzF5jlCCrDpAandJoZpH
1Kz5swO7xFwjpESJIGgN6ArMTkM7rLvZtUGcQbfS6jBxd2HXENLQGZa699SIjnSWYfdeWVLeoI6x
L2p7YEHoZFH0YHOQ3+sde6sRjyJYd64/tgl8xLuynuUpVJG6wPHorbuxHa4nS08QXA6Ru0Lqm7RQ
DirT18PKuek0U579/9+P/ygCcRX8cUP+8NpX//if/0rCxsN+k7Bx6tmSeTOLeLpxKrNfa0dwThKB
LC35QhP4rm77J8qAem75n0T0Rtih8dsoWtO/GMbyGObUFJD4Pv5WP061+bl0NHAa6fx13/9a1/ok
NrXDuTOHvnXWLLKGZy4MBMQuc09MrYs4DG0A9w7CY+S3vu914kDJrjh3p0I/1nE3PI3fxWaZ0NNL
o27cjTYsYjRQqIubN0wRFnhDtUkJfd4hpGhv9NIaHka+0rTqTuXHjOGZt6Xdzo74T9rMTH3kbj31
zHClV/U3pYaDdLBCsX3yQ8Ng+TybxjnKQP2gKzPh/+b4OBU05YU1oYetTHuNyhxPQVNNaI6TJQYN
04rMYZiBVMDFSHrgDucTuKK+k/vKaAKc3Eqs7YprX2tgk3LSQk2GVbzKCR0f/Vgf0BmntjiqsJVr
HC/JetLiLZ6GbbtMvDNxxOPS7UdbZ+aZEdCU6LZ2HSvRbCpD13zS++oNGKh0XeSlucXKSs1mdIwi
OX03EZwkv2xtsTbzOlxT/cqVblcZkocxPrk2t62WkNVV1tjFrtI0ZAml7vjVHC7p0bSleWMQ+G2P
8jIErLgdTRy+bZ72m85idKx3o3mBfyfaa01f7keSik+ho2nfstgWRLe18llwI2cPbITfAPZPG7BF
BcfVaGw0tJnn2WzU6IPipl8HucT3QjrmkY/X2xYRFX4+S/wRembslS4qa4VQxfywGKUu5FlkeYkb
xlgE2HMSY2WbvGVlfB8KET55CKt8vSnDiyKCFoCrRtTTg8hcM3iaQzeoryDCTsYrOoXuMEAeuvA6
SWZHY3R3qNZIUx+7/tDokDmpUyc/NYbvPwgfplSyGDfN3lnzDiPSQM9c6T7LzfyDGBpP41KZnJKy
FeGXntXGoW2APCyV5BPkz0UbOTjbwulZmeepc6eRt9ivjMogJxyPAGE6Q3q06oDfPMCAk8JGOo+J
RfoALK1us8nTTwBsmie7nrjpDKCPt1Bn9HOAvMGJMGe1SUvHum9x4sE/w465JUnsWyk0DDvkycRb
mTvwJHNymZiGOf+bvPNIclzJ0vWKUAYtpiRBERQhGHoCi4jMhBYODd9Nr+Vt7H3O6hJW1tVmPa7Z
HdzMpADdz/lluQmMUt8JJ+oPYDnDhbgij9ylyIkeM2oN79ELjb+suIFphzl3drYlsmpL8pbTrLwq
dR+VSunFSrtmSySEe66qrH8aZ4efu4Hr8G5MpPdoFrX7ZGgpMjQ9JVUVigIVmWlLwJU0eeInyq8V
uIoGzlrPkfwwyoqtpagZIxjwBqD2spiWpil0R0wIMcvOlZI3cA/p0m6dBzUrFjqSTZ5TF0c665Sf
Oma7r6lPou9haRMwYY/ohSQJKDECd+POimlz+pyl123noneerCFH8YPK9CWxKw9lLd6Pi8G1fso8
ai1XURHXEaHLEqNUWkevYoycbR7zTSLXi7LZs0kxs+cjn/Tymeh0J609FYhKBlaHJQWnR7qVlEtT
M90mquG9raofq5+tP9OEOp39zDdRRJT9pYMq2sPNaIiPKHxZ+yhJ72LhTGRf2fjJeeZMfrWuFknV
f0wGN4uxXSAUCDQl8yRaQUxltW6c6iOtBRrNxiyZjfUWPXoOvl930dVvMvNIKQ0hZr2q46p0sfU1
3yHgvXlN0kz7kJZJDY8nY6pohj8jaWM7YTZYLxpH7an6tjRym+xzar3oC43WpkbRHbWQLdY9Mt8q
ZovQRV66dZT/m/2LkOQu0dYCqGFjmXW08yhHv1gkuu95uBEvMAGyFExym9PDtKJzpqO7zmkOVY7n
LYWa2y78kzihoO7ZQ7qdi6yFDnix7F09rejLSvVParJGlBmJ9tQWOfolv0+/isEv94iqF06CwNmS
ysC6A473UVpusjf62aWpC0EIJ0i0ag1LEobnWD+OH8RsipRTLgQrr32iStcLtN5WK8wxLKs0QtvW
z3t4J49FyEoPWcGPreHF18nYrKvAKg7Cyvxt6rskqnpNHeKClMe2d7O1SxbhmeyQJmRtGTb6KImE
txbry1FlKgEr2paedXQanY1mOBklPhpfFXdjKEp2CFAQv8R29zqR3//TGnSKYIQi5WoUNmaogrI3
5l81idUh1wuGyiQZTpOg0Ax1jLvLy5wcCwp9E6cKcOjgXSr64bUxa20TExlBaH20cH0P7iswFD53
t6nbPbDmQtJ2S7r6qh/o1iJ7PNLOOtkNuyY3RLuLm4UqNZZD1LxEAuBSQ9/5MnbUs6zzbGrSddG1
5Z1rR+3rmJF8MtP3xceMxBPA1y37bdd18JDV0qdvyWTmh7gpPwZ/Mm3+qqS6BMjjL2ndIoGPut8i
L5NtW/FYkG8QoRyVLtFiZLQhOiwhIx3rbsm76jJ0MrgbS+itqCFmPB/adlWZMTI2t4k+ABZiXH0C
nCIjJ39qEXzPMJtny+4l1b19uknstNpKEii3aBHRZJZdf58NboJ5ku8RIa77Pdixv3bGiU1p8lTb
XuPRJBaZ3aPoHOsoFq/cmXPvhGi/C/B8nU3aG6sQMsB/7/uxfwRuRQorp1z6q4LEA8peqjjZqSow
Opac0j3pbtN9WJbotrGwkVXWsB5ofF3XIjjNyabgBQlLcxg1VztDEtKkIAr5ZEc6+lgLotQtIudS
TV3xhCmmPdJW6D3xFMVYnYjHwkZn05mDJsVniDA1KV8Ej0fo+U113wZLdHJ8tFakFJnGw2QkBfHf
i/aUR/HPwgeynb3BfYymSH8VTHDfY1NEPzgI5IsWuPkbE5h5X/M4PM0ys4+FV9BT35rGHnPn9JJR
zfaQJ3ALKgi/Rdq4VAe9a0UYzY7Y51yVoUUuBRLCzCHeHSDSwtGeotzzBe3VxN7A0JrioYbWfKlL
2z55EVEMABHZQhq/TbtRNgMSrWhjEKfZrrQtpUm0FQZDipe4TcIlz7V9Sq7z3Uxg3pr0ccAcegQo
A9JT7x4fQ007YqGKuGYeLuk4J0FHyDuuOO2NONT2IWoFVK2WlsOjg5KVHueKS2uh7mlxZ+2aFZZ1
9QnSZ2Ulfv2pK4zlubhJsHN33ldKlq11Ir8GdS7fUyXadm7y7ZuSGxYmumggJiZFnQX+x5hew2dH
ycFneNattJpy3SvBeJVozUtkLNVnq+TkKHmTX46ddmdMlsOTFVTJsw8i+Uz6wXKQSpROTwD69EhJ
1W0lWofc98+MOMy02hydBiVuB1RQiaFK8m7f1O92n43h3DpezwBvU1qihPKj3Zp/6AtGPc8YkMMA
98mhCpYWdb0S2msdknvfsZNX0pTaa6EE+eKmzSf5ydrldJBp9Aze1Ps3Jf9U6PqGBgUkw3GWhIGS
/Ju0KV88/nMIU6eqm3DA5PfHpAV7L0Y22C1BSvme+KTmU8WnfGZpkl7xhph78tvtZ0s5ENJWpFR8
KV+CyNSANJZ4U7GxoFrVuqX5RU+l/KknX5zzduQ8wxYwfzC5NzVGWjJDVuh7EeK2yikhJc6D4eae
4AjduQjXPmssndfUTnmDqk+F6HRlwViwiNH7gi0jmMnbyTg1h9U8F86xszz0yP3NzTGRNRK2xGaR
ikSYzFerjB+joeVn9EfR2SVBHmqzKEzuGspc9klMfGVg6dNeRHV/KPWcv7priKk0JCC65AWt9d7o
37KbBSVXbpTUxJeC+RLo2DIS42qkC33rmqFrJzfGzULFY/pqGFr5hnTNEZtej8svT5lTQDSIoIcO
i7Y5mTjtCsXecmadyS9p2lIzQb8ywwPI/09/s9iA/aH4W1xxwPyQIwDNxwiaNpqMakNzkL/TBjw7
PikVzM5mYn1rSgIe5r0PlaecPhUihjEsZliqVbNo7rOrTEGECaFezzvD/qqUaWiasA8JRzmJAhr/
dqWyF5UF2o8SBAJf85iCYRbT+P4fA0YAAvx7MGL9JYbf/f/7r38WFfw3iMGf+xuTRVqECRCBZc39
qzrgH2iE+xcMSHRgEVltw/Yr09zf0YgAhxPEP745rKA6CMHf7HQ6rVouXFYA7eRZkPQwU/9CXP1v
RJZ7074BU8YIken7gpTBz4d5D3kA8jxAE0V0/ZM6AKQt94yaor6R+MPhLUeZTlVMhtXVKrG/yDKN
7jNrah68BrH5FmN8XoadlVL/XbGon+XNiSJI/A8oZ1R4K+2SutwWo8v/ssxdprMo6tHHULnFPo10
Z9z2N8eLjNCYbtkGqfZMABDOgTl+O5nyyBQInaDRizHil0RBAoR5J0ksioeR1U7LhNuuZK+2msSz
S9o+a5tIQ6NwkhNIp/PcaV1gsT5jTQZ2DB5AJ7SrmzINxLdLR10/Mp3n17Gxkl9LbGPRsrrmOaj7
5JGUDfPdqQv/Mza42bTBdjmeGsPf9XmerUU8+3d6aWoPS6KKnNLF+lnUhVmqq1MzGm5RMeQZY1WW
7tvYbN7qRc+exjbSMfKqC1j3ivy1ckFLQBLIRvat9MG53dlYzNX9ra5ynVLk0Jqc6CjmXj/ZTYv/
oqfRbmXEqfkmhUjoKh7o1PLjEiwe7KL06mEnx6x+IjKzv++whL3zWBqnLFi0lUxNhmE1e5Rma7wS
D+A+mokxriehClPVsBKbojgSXWk8eJx6GI+k0A5pN4ktjZQLbSW69and5p9BqibJcUT5t6GzRCm8
1LhER2p7rNUIRWWY9TIQWfY8lbPEV8m8NanJa5r75gD6WT71ROXR4md1sOo54XR0OZ0stx6PZqAp
yV0X76zW5i7LBFpxDYPVJ1sHpaUp+SflUqDQS8fx2yZC7K1tBzes7SB+6v1O/Pjkm9HKHJXtY1zo
7kPb2AJ4zWcA1svgzTNp+65MLdg1VbrcI7vrv9vJEy9pOXno4KWBdypxHnuE1OuumoYjK3h8LvDt
Z0QeWNFhsDCYrcgD8/hiJakbCPhjxJdWecBTlQQr24mKq+lFycO0NPI8dTquJzb5Pt/WsvM2sZhj
cCcWzDtTM2BFaunPCA8MnYWU3D1U6MRkEuLmR+5ycL2J+Lt+8HbpnGsPCO/tXU9I1+fS+MFWLIu1
8XP2tbon/ANSMnvpvKL8yQsIO/wE2b1e9c4uRXId9rZWXszJk18wVdXBGkpt7zElroQWyL0+ivEN
OKF/r2LEZVXgjoeuI3cLEFA+BaIrjnKeKHzradwh4Qx/ALc964vT6pdqaJaQKR6vyIhGseGMu9fr
PH3iQDORZBrzfZBicWiMUluNlkPeonR4X7Nsz5o3GQ85B+XB0qT1e8DvceckJtRiHSX7rpy0rVFI
sD3iDa9ZQw+XUyyCOpMO17iXz19YUMx7t67HQ6w31VsRg2kOxBlkq6qYMJrQXYapJIrjQ1YJOGOB
0v46wjCFYpLi0Ffl/F73g7HLo7y9031BP1tamaHvxtlhaHLyiity0gs4+QeXt/FYDYb8xszDMNMw
Uq86PhxSQFov9zcyKiFBIz9ispjs9rsM6ljueIuI9sRIIgYB5PW+sIz+1MnZ5HAtynfMdTyp1Hpq
YWr07VfQeRBnWYr/iJEexSaEtmvpG7As4jySek6oveugrLR8aOi1cXXtqUGawojbz89ZNOYnMzbr
H07l+mIPov9G6lN+YL0bTq5jkCMdVZP8qOjhS5mXZ21kha+rsx8n7QsaXSLXojLCW9ZHjWKzyARy
cbtM9UOiD8PF6cpWbKizJqkUFFmld9q+AYo7EtKNkWcm548nzN8SUj6EPpVe8crUR/vJk64xhFHd
TQe50COlRJ1bokGAnyZ29bXWA26zsDmDOHDql1h5+66k/6fVxjcHSpPO2iKHbAdXgDZis+71I9kp
sGD4OPrVoFu5s9YK3jWd6kFESEw6PgRQSnA+HCivKD+XZz9tqmZLc5zzFEU5DOmYdxPxHKpg2DRT
YN88F8An2pKOAvPr3ETbHnwFd+EoNTLGu6B/opvNOjRloF0rPV68dYZBnuC9svvK9bEx96lXdpwx
pGSspOV1v/wRyQbsKQ6RtZ15gCRBjD9USwznwYQNoviKWKhszY1cxmGaTxacmV6n5BQO1pFrnT+N
p6vtDgZTK4VGvKuLJ20fCpae4JVRSfSn0uQU3bF8D8MW1Ln8NvvafvVawUc596jSV86oQqKGiMV0
nUDtYnsrqghAvrIkTX6Ip8rQnpA9rk2wwivNAfzmBZzod7uYCsBMc20HVYw6oZEBPptEb71HhwKt
A589JFq0MH1LWUU7StTB1WaHGmrJC/9DtI92tF3mDGJRUqoLfUohwrhN041t1NZ7o+nGesB69Np2
c0nEoURWyICb0PUk3H5XdW366ud9HEYTugk9iOxnUg7jw1CNaAJBdjdVM1hXzam5IBaf1uci4svk
+SfikL4w4Eq9AdlC0NDAhlzym8pBT8V8lyvpAw0PMxMQVek76GR7HyiRhJfJ9jOOreoE0Xposl8L
sfS1n9eHsq+mK+pc8zeaJUJm0f97J5Bg56OW3vgAlFo94ZSm/002qb7SacsCPsDnCwBFyAykoRwo
fsaMRd2mqdnDNVpGWdByaenv3iAwGyIPeKWcbtkTfmO+Zko9QrsuQhJs7kDAMDbxQ5/o4pts0ok/
g/qE88e9Z6WM76lbaDZSKVQsohDYT5RuJbtJWFg6kNjw/TtngFT5kCZOtJkzrKF87clI1Z7tbG1w
rrtcqWOsm1BmnkdXrPl1u6G8KWly37qg0eCp0qVNkmoBAxHfIS3Hhd3d5DmJUupkOZodM3eWZkVO
tTgHdle+dnVGSLMJSYL0PlOynyBTEiDdk2SRNEMs4pCo/uWPmIMI6r9ACB4zmt2VCZodysn0i0Rh
8ZortRFWS3ElGLa7EPc3nvreDnYVAZCknyqt0qBUS/VUcgowryWhzeXtrdybxGmwfUi08SZ98lKo
55aCOZzL8574snI7lzV+Bx32Y46z/KdXKqpx9BBUpSCS7zm9kltP6a08pbzqBlNUsFUiRyIjEuLF
DKXTym+Srbyehp9c6bjmztDec68vHquqHa2tiUFvr5l5dPGqGhmYEoQ1ShpWKZFYo+RiUym0T4ce
ra/qpiYTCQ2h4MKIzLgS4d9B1Sz7qbvp0DTpkfllGBUVkYGdJgyO5iLvzSojGcvWqu5kC13+6pRN
Oulr6yXRsE5b2dLgoo4xVCc3b7WzSP9a0Gn37Ny817ayYVcofIfNdHNnaykhapg9HXH2lX2bOxba
qbi5ujti2xlhYCdxAEekGa2MKIcOYI0YVUvEaFBFmif3doa/gtumcg5ZPXaPvI/s0SCdI1FZSS4J
rfZIeQb2NKCIm/3cgJVPsTlwtZvCLh598qOPLVbMceUp//oArLYg3TIBQ6XythMwjc09m5Tl/T9m
w2Xb+/cb7m74GtOv9vf/sOHy5/7Bt+Puwt/F8kjgnuejuvwb305HEgsqInfqvdiCVf7QPzZc0yZZ
MVAsPMU/8Pf/veHqf3GJg0PFyV8F20FXnf1/WXBvfxUc198WXGwxCOA8MpWIjFRJjjoa/H9ecEcQ
db8rCvqNSC94KkVX9psATpWwaK3Rm7MFmZSv8iQ3ISAsQphp4DnFGjj5KsUjdbLrIOACK4qIEbnA
UbPiIOkfmQqD905B1FpBQjhPY7GOLOmEs1fUu7o2llOr4O0xZ5LvyYJTng5eAPou6xfRdxyODgbd
YzOk5SvHnbYNyqba+gpPtxWyTozueM7pXtyneu6ERBPQptvmtGtSaPMxFUN0xwhnrRyMLTs/B71v
4no6zgrRdxW2XyuUP1F4Pz9cd2UrDgAnC3V1IKbhGHS/Iz/osEcP3cWg+uaiFJxPDbjaGwFg0apf
ovxQK6qB/ZTezAnNTL/FI53dGbhiaYlSFIXf1vbzlNg+l2clUrWow2YERba8gHvAceik8SOr1/Qp
pKQPFqRNDUsLKZ5EbqaVqGi5TDQqWNokTXg1Tv5mxvSW2uxsK6kx77oGRtEuqKq9vkgCJIS197Ul
OfAhe/tSUTdI57RNAAFEhm+JJFKJ5dpF9ptsnEiSMSGA6LwffuKs6F99RQ/F5pjsRiZxLhVFH8m4
mVSZJKQSQ3uy9aAf4TpM+b0Mo/HoKEKqU9RU3be0QMloDgtiObZAwcUOAg+K8UZrKYKLB5x0GtTk
+9EmtttUPFilGDGvoHF3dmDJPMWXNVLX1x4jyF3QTRAVtk7bFT6qbRVFEhOzokl6RPu6IuGIZkz2
w6Tr7yr25lCh893JuCdcWtb0iQMufI6ZWNBoGsm1xVUVOlPufyJ0FLsMS/y+c/30brIM2pTsxt/Z
MypOIg/lliD/cVUBZR70nFeFFIyeF37WvLexVJkOFNYaBIm4ipJsiynacbGRg6AISxVmhnYDRq3J
JA1bU1yE3tDz0Q40QhuK9vRoT10nigqdl8pYOwQL1HmbhWDb1caoy2aXqPYej4gKvmhascpZ+4A3
4k7PXWZnyFcWOIE5cvBCJP7xiXDP6OrxOwMJqosNimo+czExyWpccs2N3yUDAQ0gmpZNp/hfpG8T
zo3EA76Wfr2dxqXemgO9g3OM/EDaIykR7myu0cBxVXG1jNsORuLsUdF5Z2nuvG2YmJ+WpJo37GoN
1gOITeHFycYbomgXB474lnUjjwlcDfNuVe/9NJu3PFLeuRsd885ipjjEmBHY3QRlPFNnQiIGebwn
5r//5TZWEKKczPeDZmTbsho6jNNpclmEFj+kNJ8dltJpoEj8ie+xo+HULKcjMqglNKaieSAgMg4b
UTt7gIFkBYbn7mbTpaci6cuAMTMaSWYh1haHDSJWg+3yN/QB6ke97acQXVT8WZZ0XeNRL54RyxbX
1gzEXZzQMbzqOlmAjPAd+HRC78yMXu/UXJw36hOni2xsqp/4ax56Kt8UWlZ/EsrjbUo2N6R3fodW
JjG27Zg3n3Mn62tnl+aOMxtlI6zN8ONRRteT9JoNxzzQ23daOaK7COr5R7N61IR8rGGpD/ObRWTU
rm4Q05PYQl1LD56/bjikn7WKaEazwtKRzr4rCVJkUPRmqqNQWdNDx5DFKJhSWZXs577sjv3oxL8S
bP7qQc6rQ8SmdQaXaDYVIT13U+Mvm7ycs0OdZvKL4jvvmeojzsDG5Dg3JImpAFzaq0neyP24tHmB
XxbUXuSFdo6QZ/+W+GBQOUnSMvCj+O266gIVCt/kd/BgFbxn6r24SgMeJf5Lk3IHQFv2+S7HA7Gb
yap4INnHuYsE1bLs6Hwckxy7U4pv90NQ7LKSWJvfLUuvEFT2SCIDHRI7XuyLVTT6jsGaU3ZwWzKv
ZjwEa1oB7X1rTDriWadkvFq6lqnMiTOL48BL+l/+rNOvTYM4VWqkEl5yJbAaUFT+apAJX+wpSTAK
mCh/WlU51niOtZelZ1GtVWXFsaNb7E7LR/2CBB15Oq+F+7auqiuV8slu4pWu9QJ7MqYI44p5mVW9
kxOVD7YpY4bZoiAfcGSLbSufVw1NFj8FppPdeZMpIbYd4hhxe5uP8dy3FHaUbHSaVws0lTQXXIFW
SUZGulODY3QoPSo9fW0R/IUmbPB9nPhTH9bCoTqayI4E3ikiNx+VSxR2ehfgeXBsMGZo9uUBH2f6
aFmoizyCORGr2pP/Cg/v3k/0q6C015sdmowJZKoTz2UwzfE6StzmY6IU5NVKtNQhjEULrvh47R+d
9YsCCoJpgWc7PFvsVPA8o+0fAkO4x66M7P0C8rO3Tdu5RnaOHQ1nsX0NuDEPSVS0od7n8X0Ud+Mp
QeQxrMaZp4T3Xq9JvyLrhH94Zv+HGP1TjW6wg84p7oqiKH+hSIofCWfIP4oyWt5nDdZc8AM5MHEU
L21QmY/wiuJjobogbO1MXIahNi8Bt/CVap7sqI+YNbxepJuZJl8QKQpn8F3pEfFrzugR0DHYe8PP
028rkOTWVJlIdxq25kPP4/KL9jjny9E1Urf6AkeXh1roQGRGQ/21SewDKjO3QGqoZQcIZeaDofTv
tdaq9nOeGqeKboor+sz5AiJVPVdWK07KPk2nQDElj50+l7jZsumUJZrphl1d1h/zpBJSvSjd5agy
EIcUqN1Xi+bPT1h97ZVJHfQDmlznvvFI+s00ZX0TLCtvtjdNGy45UKEmrwH5rd7aVnUfrDyqF0nR
QdNHuDK636CGQ05cf7nvtN46J/G0fC0YD+3VBBmJ7b/GhdsAzd5PejG+Wnj6N3PSZN9pudjHSm87
duvFfeMXgJahmXK0b7Nxv9DLchd1Q3/0qry9Dxh3Q+IXyt/SiaIfwpWsrSHhaEHojSlEK5huxJRk
V/b8+I00o3o7dLa1zUjlXjuAUHIdOV28bGbiAsgJD8wn7BHk0BEHEqzZurBa0grz0ppN/VVgF/z2
EvLDNIjv44yU2XxZTLw8ftjUCACiG4LpKjCTsC9wzWqyJ+J1tY7hEuP1WxTk8ximMCNp2EmbrkCM
4ckn/4L8dtk3H2cjJjlalWr7SFw3noJYUwW2yhvsqgDYSkGxaPXm90bBsxmLMZcbkC1DtGoAV0Cu
vGG6pYJ3m2iyvgwugBUhCiYtkePyUBt1Gkpo041cyIrMFEpM7nGysRVyrDHirYU5WB8jhVEqphzN
g8KabYU69wp/lgyevzOFSbepbzxIhVMHQ5afB4VdF+oSmKU9Q0OAbONDtUI9GtMnQ4+D+0kh4PU4
pZfFnJZtpvBxp4+AyrM81olo5LIYcbqufYWpBwpd7xXOzng9Heob9i6i/h2zzfjWKmQeYWS0IhRX
25sKtzcUgj8norpkCtXXJZE2rkL6ufWqHaBa/LUoHoD+0mVH1WS6FwQhYZWBLyCZrPwExrfRAGvu
2RyJgnIUw+AprgF4BdrB/isFcaMjIJihJqBAoCkKxVjUUUWlfHXjMW6UBiADdNEQdNW9oTgPcKD5
2afOw0OuACfi1GjxyP2GKelACp/6G32CjyY6MAtCqugUCJ1KswnubOSnG3IF6oeimfw9nVnFpgK9
fskVS8MxMd+3czztnK7v3zUJm0PyFVcCj846UVwPcoPhyeV6BUbUu+G7UqyQM4BXxYVlvhFsXv2a
8qq50/uq+Q0yF3ximXGpW6Ltam8OMt4ZioCqIeKP7jy5Zyx+1td/CmagGOR/jxnsh7Tgo/h9M/Ir
hvmvlLj6Q3+jxO2/2IbhwvgQiG6aGOb/ARi4f3GJZ4HdtkHEdSjzvwMGyhFqk98AHBCwhuON/zti
YPzFcRz+X0ADXOtMI9b/CTD4F2sngAE9BmAGlunZumLf/4UR10goSguGzs2SSonsti32BpjrMcHM
uTZi90/bm9cEP8h6TMyPKbU/evjqi6jS9iGb6uQd0ix7n3LNPvO7wxw6+9NRODxWLerP/YIAibXP
JTYe33N3srrqj9+Z2o42nX6N9LV8bTiqNp6f6vcectNQwGI8FinpXKs59+twKPX4EknDfq3lUH33
/uRsq4E4NARwCes9iPxG85EWQami5FwDoKUXTSTjz1R03YYWQPnSOY64SAlAaIE+XsgoYNYyMs3f
9kEfbQajsezQy2DHiGCBdLAJBFszn00HPsBh18jEeu7FXO5B3omplEVDeWlA4EW05AiEaYj40EVq
hyWFW/lqofo2pBip25pVahyWxUsgiAvt1Hb0/3RxZHzp9C+GZGtpuGy0EUlhJghTaZioQfORoKo1
1nCIYGvI5ORW3dcmYt7K7695Ly+pNf8Mbf/EzVpckXRph9Gxkt8Cv8c+IOqFfq1xODZAi3yE2oxr
wNbWvhT22aq66hp5zX23WPKiuQWsdgwxw2CJVrMd4i355MGrTszwbqbGoV4tRTTVaw/m9XtqO+9d
ij6571xCFbdp1dQ0FpGJDsk1GG86/CbCnNJ9HLRJPwdOJc7D0HIJ9LXWbbvAiU7U4PGp9VG/1VKP
G8SqWr7h2l7XAYJPk/gGzG/wUI6wunvT7pYdHit/XTW0exTo6fdanfthD8axJ3yMaq3CSe+NNNW3
tFDQAUglx/vosi62yfBeEjQZyoxoRkuXa9ub7fulIbA3Hsd1zqr02AFqbGoYpnmVJvxbQ2QaoRnU
+hZrcb3R7Vqui7ptD/Q/Q70VbrQhNl7sqSUgjybCb3GuObEB8KnSbbKsy9aDsCnULALrngRjO/Tb
tnkcCUe73D6D1qja04zN9cDUO90tNe98FkGzIRmNPIPFd0+TwcyFgvCU5lQjTuP8nUfiFRDDAt8J
DiLmW/UMesUXo83YyCggbkqmn2CM3qTtjuvebus7fXLsVWLx/WA+7tYi0smm6eP6cdQ094fCNXy5
U0blspm8cbPhIsPEcjANU4bUFxxtv7f5bNuBsmOk5NOSgdgY/ZV552tkWOuS/ILgXf/WHRZ3Z1aN
D9SDZ/ovuPp8NwlI7JhUmKARz7XA56JHjjwaBgiZU+qouf10GxMInNndIzj3h0xgfQUf47pOh+tS
E07vkcyxJoW6IkB3dDekEHhrm7QECPro2C2jFUZEyNGLUJ4qGr0wfjp/2PKZ4SHkKdFTv2pUsyI4
8aDNGxqAH928z9YLJu/1wO985fLiw3gwpy3c4RUX4DHOO1ybBlmTNieR7S5o+vLoe/Td/UwGKioc
oCCQ4XRTSut97qvl2FQo8BEb3WW9eZek1Ued2MdMmMxFxbuv53g6vLZBaWoX6PfKaA1RyaTHIWOA
wnhDuQuQHRa5a+1KwQEgzPa16onumutMhuQzm3zHFpN6bgdfVMYerWBeSMTt6dJs2GLHMTnHogq9
PiFz2OQdo9ScK/PcFM1vpvC7Zcz2pOM063aaTtPkH8pYO7hOml8ie7BJL+FTKnvbpXuErhgiluP1
aEJOMyqUq4GWdkahuKAHhjzFqcCOXlQTGn9TF3eILG32Trd/Hr0Yz6GR70kEz8KMhMismNVpZjxo
wiKAEuh8Iy39mxZkYv4BOjd1MNPYQYD4OuYcAaWh6w6VbnmksOWXTaJ2WTufRdwxijkOB7M1w0hH
Vr3GFdvuMb7ZwHiWu6elBUdQK+mT5po5GPkwrGy27S1oy3NiGyZGHERWC2LQDZV1tHIaaHDHIArb
JK9xFPmAlqZ9RoaLfYJMFhIYsy/Ttj8Zp6gyLScgo9SrVl6XXHJyiAgq3ZKqeV9EnsTkP+M88kS9
SQombIxFdwN8F8OujCA1aeuJVdeFLOIXj0OQDANvSzzoA/EkZwKp9ZWrJFDT4H1lhNHDSBftE2P5
Q97F33g+HngqD+1iY5UxnnRvOWW695tssl8tNGyD8NyRSb2udadYm1Qatpmx0SLz7ATlKxTpc5I3
Dtqe5oJA+yTr4CiYRDaek7+ITjzOZXGxotkHKxHFhhCq47BE9+bUtMeRIssd2VnX3pVQhzQHBtEd
OYgNv3VMZKYLRNfqa73jS6brEJoKE7XhLQlBIbJfWWZhrhPe/WpAEWA65sUJCvJukNrTdXT1o4la
l3RQojfm3cwU7tqdI2/tJC2FlA1miy7CAm/4pDrDrK70ibinhujona4nL74F0ojp5WBBeD8MTn9u
AiZ2xy2Ira9QH2dlGdKmxsbHs0fspkOkT+TjtOn4EYocHIK5nuLAGUNfPFmPFeaC0Jp5gnrTJzW+
fZ4jdPeLJMiCbHcvjCkMpLsefUAF8ic6/Wkgv201+zSmlFnqhJ6rrBk8+8WO9a7idCdqYYh62v80
FcfAy2ON/ZMEDXnwZHRt8yl99HTSIbN8xkzED3bTzVHJptRUSP0TsgtmUkwn3aDak38K9LTdzKTq
IwsgPoYmL6pwsZoZY30O9EaslkiC4MB4t7alerPcYYuHm8jJhLziIIMESLIA4VzMSETO77RKoqHe
BUSj7uMKNJr7stlMaYbTSvacvoa8ovI0w9Rz/pgGLrexSgHqTFxEZZz6qNYzfT84hNZXzkDuav3/
2TuTJMmRLMlepS+AIMEkALY6j2amNrttQDY5BPMMAXCnWvUR6mL9NDIiM6Iqs4iidlXU20wPcnUd
IF/4Mz9+4wNl+Ri6yH6i+vInH3Ax9pmF1blqMYb9hwsEYkEii1IpNaidV2lqHrmXD/X4IfRsr9Mo
qm+dUQ/4irAYgaXj1Jldi5Cn56KVOYxGKPTLPJ/zw+Cb+Hi6vOaY5pGBEUd9AYao1zS9ROeBtKa9
nsKkDFDKEOb7MOEeOtUJlHnX24SUZS5Sn0FNFYjQZROHxxDpaFMjXyxpnAk3lsNFuXKI4CT0ZXFz
neZFM5YzK5me8ygp/KMhUq7WXd3uS6peDwlwusfoeiLmqsE1Vnd6L3O73Pbj/BPRUKxduOKrsKui
bU3CdJcEZX6WIsQq6jTvOCbNx5blEk3CY7x21HQq27hetrql0bhltds7xgVgLOeX3+P4TPBARE61
YlYKD0oZxhp2SHCAONsvh6ERGxPGAOh8Byc0MR1HJzT/jdmA+FNyo5ftxFyZkMvilrj2uFRDe8Kh
qYc4XE7cxy+TUU9vUZWy368YdN2Ig6Av9R6JXCNFlx8pe+gHmGRASnL9ZVOdTF8v9PxIIl4OGXqW
U4U+PQoEGkNSylvdl0W9ceYhXceTO5B3rfhlezbdwtJDmvXCKtnC4G1PhYbY2OqJHWJ5U4Uyu8na
QZ8cgkNPrGAxyQ7hd200dz0+EW4SEMODztvH8AMWQwUTPO4tnEQiQd+urlm/Cu1qMqxmCdJ3XM9p
Ep1xeKbXdyTbN1XmXhoytow5A9ylwb4Z1bCvZ/XNUX/d3wC+aVPzY+Q5fcvpAfC59hyg1OR5er4b
WEqHCcxe+17Z9TuZRrWci6B4UJXs1pPhFesqxMJvjCgXAePbw6yre8torXDBc8BaW/lAR+xU+z8s
GdIYhYC1YJFg4oIzxdKEWrOtM07Silj0GcgYF/ggR4aKOFh5rhIaDuLokF4n8oFZ+kC8kxKHAUGS
rP89WKlLELEXGceif8V/QJjKI57FYprBVU3hqonKI/HMekmMqr/LTN0gKzrpGtUwPOWVSH66g6oQ
r8BN0nfcP9Y4yHboj8WW+GF0Z3WpuzGuUHKTjBtTjvGqnQrXCrXBEDTS/NmoS7X0ZtqeDMOCtGI7
snsI2sxbFhKp2BplQ746IjaozdH/rjqXx+RQdAxrcwbVOM2O7N3JMZdm8pEG9rBpZD7vEmMazsPk
kZEsp3sxJu26ksK7cVgI+GkarVxFiJP1UHMaZHxJlXphMZn9SBhfn7Mm+FuT0/9qOuBvqgWGhX8t
dVz6uPj693/7Jyira+T/d7XD/YU+CObmf+CqfndHuL/4yBj0Lv0RYgVI16KINsD5T5erD87q7zqH
8wuWL8ABkAt4eT70wL+ic/zKOvyzMQLegXQ8HBPoMAG9jX82RvSO2XJ1MuYVZrD0ZF5v+bO27uYc
NIEGGo/HCo2ytpJDMarPgRUHBi9W9DLjfAbKNiwizodFNjUvo6k/qhC6u4ysbI+nKXgZrktSN4H9
Bn+ETmis8xhzyJ31xhcM2W1ommw3AHqsRFToxRWhhpgNer3TJabZMeNREGNcK5ns8mla58P8hUGM
HzlL3iVr8R92xYg6Y6bzxPBYA9hbKMsbQFyVT2bERnqWUPOw2NLUExRnOyDD78p2OEQeMcbMFj+4
h3e0T4CVJXZWLWno/Vk5AUbaMWI+r67oHD97NGqXCjofUZnuuac67VMsflmydFt0bca2ty4Ki701
V6eY28M6Smb3rHtApHXkfsKlwsymXWuj/Twn7uvVu0I2ECs9Sdc7xWMbDGrB3qahfNH6w6sZtdHO
tHJ7G40QTpKy45ChS3nXCSv9ihwT/EGIiQETnH7N2/SbnRfWOcP+FkLby6FyX40hL7bxxF0yd7wr
bNu6w4ZT7QX3r4WbsQAYCqu6Y+N5N9rgFLqyKA+eUXV3bsayIunH6PYaocI+71EAR1/nFg395M75
ucGr5yu8JKXjEWRtVlh7Ttrp0w2B6s8hVRlrTtdcWWZ70uGw8gUNiQHnREE67aoCcUSPcp81gtKl
InvD3sibXHYe5R7OBUt5suis5DRn8gAc6TmkG2EJIfhQWt0rW6OMJ1oKwNDt7WLBmmcvGdzWgN+d
M2H1N6ew3s0wAAgP6iEP28ck7x8DCgnBzrgf2mDKbc0R56ZN0ft1G5YVxwxjLdMxHZtMTxc1k0Sn
YOITN+MxgWy0iOtkw62IdiY67xa9qzUjh2uv2DftwBjd2OzJNzpLqLEAT974Y7dQ4CX60DkOMJGr
UQMjU+obRs3a6EFPYkV8bGegD0V3DC3jMnX1TcF2kC5A7t96PAydDJYGOw5UtPGIyT97Fb48ToPl
LXpVbTurvTZ8R1TIB8HOGOZXNJk3rEfFKprZQrqFe67M6JQqGPgG0RWzg2XZ8stg2d/zVbePtTJ2
Get30QQbJwrug4FZCPPd0S0ZA7zwkOnkfsS4uMxbDt1gCF6jxPmMyA2u7bpw1m3Y7ZKeD4qSSeA9
BW/3yK1rlvmLplV9z4bowhh2VwfAN2PKbpaO7fxoRveoYuvcUGTDstii07T193wj6aousBCXbbum
SoFYNGlw7i3DfWBUL7HnP06x+yMLeG95UdwNzYTMu2h2LVuFG2VmYjuxllknhf5pdeHAdwcto6lT
d0/xS3Hu6shYuYwK64qk88qL4vYiVNIDIjGmVTa3p3DE6YyBtnv1ygibV1cnWCarllvFdPvXhf9z
TM6mLX92fwbj/prj+gc1938m/vF6jPzrM/NvJN6u/D/L9yru3rN/singv//97LR/QdMX3GQwvZuo
/1j3fj88WSIQqrM5PD0KEDhC/74pcH7hvCVt5pNA5sbgX9GMv3kLbQ5X3xT8XxJ3IX/K/CsnKFZE
Tsg/WQtxQdmsMDixsRdSSPLnE5S1U27MFHqtAM4SSwvD/eB4w0Yyqa5cwLh4mVp8PZIBGyM5txPz
TKhrWJjaBtbWG2ufEjZ+UfPdhMUJX+H0A6r10W3StyDQx6GzL4FD2JzY+i5NceAT11w3XviSBFzg
oe/eioaUC6n9527qUO4C0GKCIEnDjSl3ZhegBLZmz9cDaqE8WjKu1g5ACUyDEDQ0PTGrZkzsU1Lm
FxVSOUn1zhHFBt5LkF8arfBbNGmNCQNiLxGM7EmQKt1PHI4YO2pzmdUJ5SADa4Qiz9tF2Nqn2cm/
INbMy5Ioylldeaz9oO8QXurVNItxVVY1e1MxrzKrOTjY91AhJNv5qL6TzthyXvjNbuy54dXX+SJ3
Ox4USl3MrnieWUYv3BjvgpGXd3wsgNzjfpc70QVV3F1wZ36U9HLgDAvKgxbBmjWmXMRFFq94r/Ot
xxp15VjdczFytqixOaRXKAjinVj1tL6weOCk94KEwm0dOBevI7WSEAncWC6vVMC9WeS2rYHxWw9z
x+O1xT9mKWPrhNNZpf1lwoFHS06I5Okw/FTi0apsIHalWDkRnTIjyQqLCWpqQA55fUBLCokhUh3k
6cBB44MxjWc46cegCqeFn9kvaT4nx76p32eLJ2ltNu0q08wpeez/6CKD21w8m+vJhH3vDRIFOxLG
OnCTT5IachWPzQ3e3QKYhbnuKfSFW178zIBKEGnPh23sTP0a9kyyFFPx0Jbps5VX1ZEJi690HL3q
LG+2XulRmTwFMUpMAakHvOY+UMK+dwtTLeMa2BD4Q0SNargJBvNzjphpMLUuzS4ayDYAigbkto4U
H1/iygveoQMWK/Zgvq8XpWd4t8JXei+cEOpezqrFmOO1i+d9gRf+qdfpcxXET9xQIRyBZ7evR1cD
omoF7yhaxAlridxNyfiV830M34I50sueXI69Q9/YcgWQ46gq6/PKYDRByG0EPp11o9FBy3BaVQo5
OFQURJFx4h8UNjc27O4luY6WTu/+zcZquHA92wIV5N5yyKqlisIPI+lfON4RU4bmc3bSTwqWiEKG
2Vkb3ovX5D+hlA5rDRlkC/EI8J5PU6Q5xsey0k9iMN4bZMC8pwDNi4duPQ80FCqx1YGJi6xk8Mku
OSfhMrf9bOkjkbll/8HzaJMTOs8KL1yyj7ubq2TX0XOuIjZsAFOHIeXUU4eZEMfUq1ONq6aqiocp
cY9JNvA9VkCuBeC73rK3Yd6/hYH1bZJkHevp0fP5ZloGN1AKEKDYFCdALbzJuv2G89iSN+m2ARlS
mgWmR6D2L11r0cFXgErscO44ZnLvWDaxqzxH++dJVXrDh63Q9JM4uBm79JzCuaiSDhtuV/B9bW3i
WlH6EVv+o+7an45DWjPMoE978cE1hpspKG9jrzxEs3+GznrpVRbgl4WhHfkMln4xnfxshAOuzNd5
9lhpBB4tFQW/P6O8T+v0KDr/rYnlBw1SF2MMulXkN/de4/2YvOGztrwLpUV3ddcf2KsS93B4BECC
BT5zE3blg8uOKhPzvAMTUh2cmBRCZrbMZIK6AMkzUrOQ6+iJrJvzNYcwTwHepRjVkVjTksGwbIr7
LuyP3OuwgI0W1kaykGgZIjTZkCXhzw4m90A53SI1qk1eGXwCG2PV1vWRoC0+oistLHftt2riIWXg
y4trDTFgxoJn+cHR8ymcDGKiR0GBpIv/hVydn/OEbuk7jUNryS9cLsekuiRmEO8ouCPAXcU5pppr
E5lRucsmUEfPKulOTDE/m25+GQpU/jRDrLanO2+ajZU1t++1jDFly/AhtLq9iQpMq5HUa1RlmFle
62M6l/cZFJlDgfHIoxyhy+YfmM2feAjSE4RSlcajXsDpCrmcmekhn7pu49RsEKfQa7aEHY9u7Hsr
UyTbbMCNVEZ6Z1eheZuzdqUaTMy3SnXupjTnJ4v+84XFN4nNLG9b23Crwyif3owJOea0HZdQRNNl
MGRi4XFbWiNKTsRl80voifjYJiajcc8rkQWaak+q0uDgWeBCSDdDU+Ie00pz3kyI+HYBzzH7mTXd
LYBewm+D65zsOeGq4n2R1Nwqy3iGOVnzJA7n00zwEbQSD43S2wGXOOI55LKMh98l7AXtdBO4LAd6
thNPEYLMWz3R+BLY6pZ3CyWemlgMxNkPPWDvx1TxluKsWvQa41kVu+xAyDWtKiPccJis//+c2k1/
cKQwFv7rOXWJBygu3mGHfP4zNwv/7T9mVAEL3PKEJe3ruAn74R8zKtOra/rXC6j3t2KI3+IvSD/2
lSgZSEuakK9BSv5xRr02BwkT8RcWY/CX3CwYpv/VjOp4MBik/x/iLyNg/IrYAwOggyRru017mcdi
eOzUCNDZ8qfnAR8HkOmc8hHKt8iKrFThctpkzLEvsRUJGu3c/n0eQ/2JO6fdycYjryFC4bqEG/hR
Kqd1AVTFESxfs6s3Qz35W2ol6ejiun6OOEXvExWNaycsGS3VtdDR1/WDCmd1NsFRt6sYA3kJ1ywG
sGpjE2hXo3STvX1dCxsl4Wg6i+dzR1PFBPStFidKLkFf186PGArhOZBUHPLmq21cGeMVbh5gK+ep
2gINXISWVd2XrBu2uDh81kqgJOzJw6JcOxLrvrIe8qHTG9s1w3dgR8ZDhwkNPGE8rcfE8ohzT9O2
SojShAHTAkVu5XaWkbuWYmiYLVLgZdceigr3+yGAfHMUVWXfmLMyD5FO1MpCtfqMZ91tq0rg5kdp
Jg7b9u5r37q9h5hRqss4uc5SExral2MnqezxgRdpTScv/ZUvZhxYx8ihK3UZ9yoCXlirRwyxxB6S
YdxbSDkScYwoPzsLs163qtJngE3DpoqHuLrA9aPQjSD9abaLjFk0KtZmQ8rYmCYGzVqY+Qdk4eQM
KConKDDO01cUg0xe+UAXT5HVZeuSq/etF4ocJ0hoZreuMzV7w2ucE1eO6JZ3jRUXfAR9iqYMdKmH
kZbBoa0J/xaFw2dncz8hI9t2091cJzcyZN0wCqjVTj+mrFJa5BSaJprHOhIN6ztFoBR7AVEep5mT
Zu2MvfldzRbNhVkoWHfxTwvY3MXpmRKdZu0ndWIuHJulKM6SHpfA5JhchorrlaUOk+BJluj5i8Qa
zDvIX+09VneKwGDHz/2CLHsVke8WIzsOF+EILTauV4YKc1wgxWgHHObz0OBCJwh2I0lAjzuypDsT
jXPpKfdsl9a19IlkLxOtcqzqh5GLrn6plHAPgszNncJ8n62xeuZYRsvhNetMFDOFP3FL0499g2ve
qGHZ1wHA796Tn43dV5fKaqqTERPMSHIwlssx8uSdz0hPRXY8GW9d3cWEiGPM27Ue9BG+kvaWZR0G
G0LM+a7DSPRSlGHz0CRFsuO8izsMnDOmzKy69pTHviWxKOS4C4gxh1C7e2ks3YpLrZ766CaY43QT
MHDeDkUIM8iPglNXo+O1UnbR0h1G8zWMYvOYGh0ozWIovtLIgtGVS4AWEU6qe3cSxUrPyuE1mnH5
HkZ+sNe1CRBxcIZto8cAaqQWB6KjxWPWjflNQiHyaWKb82apxG4XttGUiGoebjnVdm+OLOWb8sMg
WfWAj7DaFumSsvK+XGcm1I2hiyy8YWSjkrlrbmQ84XbNRfFmah9FkAqH4xgOxqOWMnmi/YVCKXTu
SFMEkDpbQHH0efcyTV6VOcoNZlNIYix93Z2Xp9Gj5sayHHp/OFWFFmSiawgoM3++4oML0g/N2P9K
AUD1KCOfi8+cYv7AtUGe3WHhDD4E6D5G8Zw+alzSct21oSQ5Nlp4PbgJDxesJ3TPwu0voZiF+YFd
YMw1zKxvp9SyNo1DI0APInRnX+cpJZL0zrI7mLGg32ClMlFtqqEsGCyL6M2vjX6Jgg47a4Sbyipa
tDcWGY5n7dndJS/Ih4Vt3sIAapioDFObpAFaoC70brxds/ukTXqP+kWVeT+ItEdoZAEjZtPbPYRA
P7/3M5NvVKI9RQh6Sp4mwDxrXDT9yTaNng43ZkSiWn3/1aeOw9aVpTzqLHbQrRSRuI0IX8lFW8XN
8ZonfrnCCuwdMUJW9KwZWfe6friWbtFt59Ly3qo+I//slDnCsZqI9+Y4sQETBvHRs0vuLMTL48/I
MGiIsa2m+Oi1Lh6jKZjOeRakb5S0opqECVV8PJe/cPRM7wWoePpnYsu+raAWbDpVB8dSVslNWTXG
a0W3Xr3A2VxsZCeA1dWVNbyGesqaRRj45cmrhH/r8D48JaomhZTbfGX5K9u3nDqcZ7gQtbNw8pLC
S3jDnB5dFj77RqgOwPipNyoh0Nh9rY+cFsWR6Hy/5fidan6t7i0vq/4eXSXfjasVBwv0upP1xYY7
/6qMqD5R+h5fmD+RB5S0GurE8ICsMzJad32WzvvMC+djl2fGXakEDiWXCAUumeaqfFABeOsoitSa
tC9v7QY2SV9ySg9l+YDTsMWRwn0UBblyxoU2XHmH1dDesXkZWeo6+jm+2ukoaMvOlVQc3Gquswfy
3u5/oxznf7WG+l9T0ONP9f71z8bSP1DQvV8o47wKo/heGFv+aLI22SOCHQN4J4mU/gpI/20shUiG
/ZoNo2CUdWxTMiz+Jp1av3jX/42yMo9fO+en95ek0+vf/2fplBclPeG4gSfZQorr2PoH7JjCZVV0
xBtXDkayVYIaxabKGrCjZnO9y2k9v81+TdlJziGAUGF+Lq4hvLor6a2nG/5sWCamABlk536Y4nPD
BXAf/Zrla1sj3WWjzZ90GslVqYidpcQ9DPCvvQNpczvP5kpjNbfXvUtsiYE3cu4aWETonbwHnPu2
GfcgWxxJKYxtZPNSxB3oRsuVe/pQMMAZRKAfq1HWGGdy74Dg1VAB0xknJ3WDV9/GwIZH2PDPfjrV
u1DV0YvwDXMVCafa1vTyHqqynTZ5Ek1bkh3pS0ON1WasU/POwZt9kNQDfxOKsPbEH7FkXP1BFl2a
d1AnxI5HLCH1NkfK6UM5X2SfSFxP3vguhR5/OlksDm4PKWGdKbN/KiMvMhauU8yPNsfFobas/hSq
jsYgPN7dS9tV8KtDxtN+tKYj47w6iMQGZx0bbbcLxpYGZ/KPAEaHcCyXcQwEiIe53npVbD9ih7MO
aVjY9zk+FWOZRUZ7jGvHRIE1LXxcSat/dINCwUo8DOxU/VgAn6J6KywatsO6DD+QmrKtU0ftR5Wp
ImX51UjMDzQMXhqSRSc3lcHJ1hzWdtY0u7QhrMscXpDfDpX49is8hKsiZ58cdTPnOGw59dYEgSKx
PTjIk+1ogl81uFbbpj29lIHSb7LL84urey7k2TVfT4l29m4X5fxRhiNpGzGaT3jQbCCUjghP8Vyg
vRpdPu8xn+tHn064pS57uXcZUZZRH4zxiuwjNiwG8eBMc2edLyHApccAoOdpAIb9hWqZtfj6svix
AtO+6owUL1XHuhl7FHZZBo4x21SRl94HXmS/zKzdtlSzZs9NxB7QqAr0pMIeHDzMPL0/7CY0noYu
tghgAdQgPTyR+wx63HfVEKRHGNYwNsHinkweA0hSIXHlEhb4WWsr/wmXN+PSlBBbDYU9nABtCKw3
CXKnpq4JOJ1X/NQhdpWFb6qWzjkS8CwEJI5W3x/yR0AxcDaiZgZ6bbPFGAa/2A4J8n1RVy1+04m/
FBBi/4Udp74Z5jy76wuKcfG3gHTpkyHrF3YTmRcuZ1grzXE8O17utstYSG+lcgligdXy09DgUOVL
g8YzO7PGsmi7csPjLP2G+4R2zOy6vTpIjUWD12czphCbGkb8lCTHJI4JNK0XeIQNKKvR6X92SDSr
NJ6bF+2yTUSaregOsfwB+29oFli8JjsFup+I9lYiab0TUh0HwFadt87iRoJHTqOnytdyI+naXPO8
6nZTMquvhuI6EvpudpBVj0FxGiEVGlGr3HUEUfcoqZM7cG1tjuQmILdl8fAWUy93nxQe1apJ3bCu
aA1qbgbRO9WlT4Vl7j2h4LPBMqp3mtACjbX4RBgipWvfD7UIb8giYlCWYoQ449GoehNXkLv5wF1j
l3Zd99l6NPYtrEGiXJVRzkYW3tdlyAW0h/Dq7yWWB7qVqAJsO8RRcP5l2wT2OphZxK0zupAktgqE
8QU1C51e9rVZ499uLO4WaFXfQeEW+6TlquI2w9CvZ5Pb2BpkVPnC+248AzfLm4VZRMMPk6WsuZmF
1fq7Tl+9XfXoiqdsFAUFNKknf9ZILvQjosx/k9ZgxeS1pfnidUDiNrAkhdoqEfTh0rM0rxw+Elm6
2EdvVb5VfE1tOTxVBQDalXRTtYcvy/8lSpxpi9gwii/DDot4JbWQFy0nK1z2ZIIObastSOY6COJl
xYbiHOIr/CznEos8TD6oYAIotwY9VvbeqjC4sQG2AcV+OyRD2mFIpcayCWrz2cfwRWOHir7ROoh1
s9+vQrZFyva3rsxHxuqaOKrlFVw2SUG26JI93100kuaGix45xTAf0zsDVfKNot1xpiWkSfZ8/jUa
Bu3JFS7guP+ZBT0L+NLkCcqJVbVf7Wj7j2ntzFhfdR699WNgwDgrKAOCqa/eopy8AkJvc4fHNN9y
VTFrcpu+Oic9rXyLurC1oGnArB/C8soNwsDvKSIm5iRJxvddh7opq728RlkWrmj1yZXwg5l/XetH
mRRRuPcRX+WqpeSU5ky3hDdbtY47LEO07m9OK/9bT1ennyhVPB6LaaqwhLPpPVY2PZa8WdnYLybh
24+qp764iR3rGwvjZB3EFCj2S4pzxZt8zHqtIYoncq2W5Jpfeg8Wt1o6FOQ0iUMNDoE+MH+Ctegl
rXuq2sE3ltFg928ev+m3a/3Tj8qtmjWksOo82QkMpLkqw2A5XtOnC/QjNhyhHYRibYKpTw4R9pV6
nRYigakRGbcySj21tPwefvvkYG6/5roQ7zvRqOpAP0Lp0tmUBU0crLqo8qHDm0nww8HQ+9jJazLf
9EvZLbwpyS6CxrddkurgKTB5Pa2Q8RbbLQcaRW72zovzb9xEzXPwKxCgc5A8ZGoK/l0+bgWw6Vso
DOk2C4r+3TR9QHxWPC+rajB26NXWpWBd/WYmBYGOzodHgD/KTmgxoKfccQz/iyvs+N+Y1v9nehns
/9L/t1Tl57//3//sYLj+V7+rw/IXIf5G9/3Vh/C7Muxh/bMZ41yWCB6GBObs30Zw/xcJYIAnqGfa
uBsCweD8d/cCKCWwD6i4jo1s7Fl/ZQTnFPjTCO47NuO3NB1+VAJCE+HJP4/gjRYum8vaopOudZCJ
DIOS+NJxP62cb9cCiCu7vqi03UueQDOxx7g+enEU3HEnT1m3xiPb97a0i1dicMDrvdJcocr6wdIi
9sUgkHfRU8kSDo8rcABW3K1RL2dOQezwKSZXGTYjzdVJ3LyFBRUnK7600d6HqeiS/mrUi5PG9ccU
GOXWMgb10xA20cTUZYxAIy7DYwprCKSul4ZrAYOnWujEGa4hDhtsZxq3zdrL6xI6XWWQEO4QYXje
jhY9EXlQEDdkiztWhOiy6UaBIvgqUohn8IDAkbi5G3x3TMMdlSJlu7rmKVbzaHlrWCA2CmavZzSo
rCTOkmoOhHLGas0jrnN2djkAP6SEMDu3Bs0I2O9bDHYDr7Lr9L02Za/OFuo5EEnS7O8MkOTFbaGP
DqDbO2EI99F1tM3C0g6SXTkZ7FDpALYuXuoIFv0iP82zZe0h34BLJ/N5tluL65PON9pOc05OzBF1
HfQveRcISp5A7m6dQNFkpODtc3eJK0a0Mlm39CriWrPJ81Gvs5W2z4OwksPGGtx2G07dYCyla817
v9PVM7P7nC3LIvVvCrPFsN30DdXwmZmzextyCtQan/l7JmpKbscDlFfb8YEvWvLTTECdYhTP1gEc
wO/M9IIPaxb5trKK8AHQAHMPGIOAky6LtiPf2JNzTR22QV4f0qhuHpiY84Ml2mQnOt08GoAYVo1D
nKiB9XKAWthus7mzVtLizwG+xQKRSmKMfGXjPTflbDNTdJEt3aa0fxquX36U4+yecto2ksUkzfoG
xdR/ojAyflRQOvaqZ1vZUgB7yoiuLgX3tQPRJPc7oFZmHeded5fzA15VrEPWPvfWxx5TGwnXLvph
qr44Y2awWRhwqfQr2sMJjLXsJ4zQQzIu69tEMz0s3dIOdtRJ6y09HsWHE9cYIkJwF3dm2Lbfaehi
1dRxuYdpadzjKqAg2pgqCqJMYl0o0tZNzrLiWGYRP9fQS4PbtmnkYWr89r7li7hytK53ON/GJcGc
GIM6+5WnrtaE5hig5HtX03HQRljxKorzEE5H4+ACOlsPCK3FYgTs9jmAM3j2qc0Mt2E8G6eKqOna
AJmJ6X/oKQRx1Ixk6aRHO0OEXgFQysUiGXT6Eok+p0hM+zXCIS7KnTWzMZ5tblL49+gIiKsm1i9E
a1kB61JmLDn6uaWtLNN4MnB7vGRxOQKMKX0RESFoIjhJ2k1/jqZoP2ZozD8aoI93fYecyBDRXP3z
0GRvMoMFsJtBlcKyYFVfcWBOr2FW474X2kQzhlmVIF03CZcbxwW7tISvrZE1qTkgrBrWFZZGyc+y
1NTwsumK6e9h15PrIX2nHgOGjN8HTxHy2c1oT2LPBWbwN2PR6oNL4+NH1FnT2Zo7ZijisrG1ojIx
vdSRb51Z7LTcmIR18AqyCh2r8fOE6n9NLaSfzjCYS7Ba06sfGe7enWuJ46qsnZO0C+8Bbsh875TT
fLYz+ndVKyngdRhVH4y4N/cCWi1fbNF80otCXEDXVzNzAJxiE/ZiJK+eR7u687tjMI/mj6YhatMS
JPiCvlaiw+chEW1tMBFH8hjyAwLs1fdnVnberh0hRgx9PP00fK+9B3DUDvhvCnUqiW1yz2Z+e+Af
opamcKsTDDJvGWC+vA0iGW+SQuivvogktbONjl5m6c+Xsg36DVP19MS8OCtYsEX1FLj2cGhyarsn
yqCPygwosJNV/dx1RkNjHY0qNm/eOKGmqjH2n/IQR6jr5KSnHR4DsYtUXgcvkZmp7ey0xSlwU/dN
NNe6dsDVm9rK3e+yjouTb/cme3/sFFlkqQe70jEY0Xk4uJYBtSzJgXvIOXcXXNKtbxnOzirDb3FL
vNplom9k6bJpCYpDCATjYaDD98bsjfLYBi0XypYurXg10zXznTcKu7o2QvERNECg/TrAtzUoXEcg
ce5kptxtAT10bed59BwB1jxRcK5o3LP5wLgzVFTdma28cTNKyYAeOXdY0JyV1rNK8dSlPIdjblB8
FxKdwTLj5Vn2XHNbkAolyAdax5wKzTDu+os14lQjul933DAVXVN4vXlAYBOezP0YN/aKiwa9WmOQ
/GyC2DtNdmFjBWqLe4r6ipM9lN7BLicS9vBEflrajo6DOdWX0CSNtFBx2vKXmoXDWM3QzWejuJb4
0bhPITHucTnogxnWLk0WgXjihAa5wC/NfLXTXiyzCnyZR7ntTff/uDuPJcmxK02/Cm3W4zRo0Waz
aGiX4R4eHmoDC5EB4YBDyzfq5+gXmw9FspmZVV3ZXM5syKrKyIC+95z//ILYJeQC/RCgdW18Uamx
mOfz9eGx6TBGzJxVtiw19tkpPbI2wrtJ1VbCTKHy6UuyC4Iz+VFr8UJvUAjvWqp/P74h6rO6lZoc
enJgQdnmzk0BcLYauWrewEQvBrvvS8+YDfFyZeNZq4PYalaMJMLpiaipiTq5goqXYbYOV9HKXkk0
fbYQDQrGXrH8lasRXdGUtXJuK615xd4tGjRnVrHNucczahIsgDnEfDMKCJqZiyheJQM2zZC8ir0Q
PxZwH9080ojsU3CVtvTrMH9GsLqdDunT6YatmZ+LSC6Nq5w+xRmi28pMhT2vbOOuDObHKQXdnZTq
w7HW5hTOZYk1FdVSW3sQFSP32qi1y+Ks3g83dfISNIPeygD/iKyoCSuytMTyeMVaamuY2PCAVQ0b
qV00CmMb3MJsvlp8yOFO1+DsN3KB6X7L1steFjPo1wXA15xNuOmy8VuPNlal2pzj87URhkcF87Qv
UiB0JMdhD1Fcy7r32DTDS53BUc34r858mzLsEHCiNDGhtq8idKthqk0n0sb+uVJjjCPTG0IP8zbR
O8tamLBMFN8IosndKzymdV5NeRCFUgY3MC29VYowwpBV87NbRUzRu7iGk9kwo8SwCqXYnBiwCczh
pb4arSfiok5pp1R32PO1n7F2JZ3hRlKRxbyx26xMOYrtSNCaRzkd1IvM6B/moZTOftGmrR9CDOET
GIZ1PcJOVbOhTjwCFKXb5nYTxG1tXPUTNLb3seDO9QB0+zhPG7+o2tvVWfifWDUl27rXE2dSYO4T
/dBsqx7gWm8G4Y3VXHq5GspwxM6BhS8ZkDeULKy23tTyLl4BQd1Q9h8YMRYwoMLuLVaphu28bNJ8
m+FAKdvZJFRrI6nrJwUXohPV/2qDiA1DLCNdiL0S3ySpVgS7E1hSPEICJUQvVvV9Lq60dU8Q015G
vv6h1yJKkVKdPsMsxtw+FcZlO2boZXVduwrwQQrURAJX6aNsD8SfsL3C/3yOEj27q1lTDNrRWMIS
OGVnt8AR661qXOlF6ihHLL+KF66fEBbf0l7EozpNIFsZY5wGM5qYfbtqxKe6IlGoo4TBDBLMYsQq
5ZhOmrkYbxtQXzCdhpDX3hSwklkaLrekWEVwRU3jjh1n3ukVqzNQFMPWuZSUo7FSSNwYRhozW68k
9VVl2LBpukF+wTUr+SQfS/jCqqJjMRDK9FzNYqv/rYH+GP8t+lYc/0Yo/8uty49Fcmub//O/fqTw
LI0aLhMK2yV2uJCFVMhC389K6tGcgcmRoebCzLT/hVA/5Myy9R3B6Q+OIi6/5p9s9t8f5iffGym9
3a4AX5m7CrTL7Alu5hDNTNDg4GkeVLgT+mr7F8f8kUHPMQ36XJj8XJ8hcIk/XZraDPAsRwPnFwcp
ud3Y2VlzPgBP3dUx9X9xsN/dRw6G+ggSNei2JhpLQ/zdzCnrOpII8hLyhSt6kotM6YJllCPey5vR
196zDaGx//IF0sFjdsNxDU2C9PXTBWZTQSx2i1x2/KAzCho/8VcX+Mt27pS+7vx2hf+S0vL/57mo
8qdzUftb81b/Ho5Z/tI/4Bjpr7RrEFnIOTIWM2hwl39AMspfUQsYKKlURTf+NjD9OyQjCn9FSKKJ
pioq2GTQZ/8XJKOD1tATsx8wNpX5qX8JkpEVXLG++wRVVUfgiZMVNH6Tt5SEuR/fUKOoiy4j48OB
M2C8LxE7u94gg5easVS+NHlFbFAs4GijhiWF+gTnzoa3tXrTMMu96yDHXVSC2fw2VFM8cbTrKFki
Xs47wUyo7BJo5S6mZ4YDjmlkViEYN9PHPqe8YKg9lnaK9RGmEBmCPqCPyEuucYO1L4b/pTUx/PS7
AUizQyh9j1Fx/G7ESFWE1aifKS6nndhprBrXZvVEGq/8rU+r+CPG4mU7wtjFiqfqHFNLmOkMZXN3
Y8RKz49i2ZkgRD7iOJju2nE1egNOoAftJuZ+zrWDcstK/CTHhVHYMsnFWzgK4WXIdVyWm/aav9RQ
kM8jXlvBNIQiorLbuIHVHKOdHyMiEoe+eLqabM8GmT5HQ1akJxyoS48vt9uaI75yljLW+EEM/FSQ
iUr/rMLKyCH1qytvZl8A8sqar366dsj7DAytrtJ08+VQMs7MwyDiRvKcHUO4FoGpY9mN3L4pH6EW
jYfYTFZ3i+02Kb2tLDwlBQatAs4deIxW0mqDfa60zeMVbHeiCGDDY1mjP9EiIb8AtsXdRpJuu7Ad
pRtQu5y7REOKNGrK9K6O6CgtkPh+p0DnrJ101QxniHgSTUU4HsnAQh3U4sTvY9SbQFUxr7cHXYyU
PmhoMEUyZAbj0g5p2KAPupWPNQnT3q2S5gfK+uxOrNo8KLKu9MH18k3Fjok9zpCtfG1I63flRlqU
EmflZsD7+zOdoIIh1xhvgdrCeazSMXnljo2jhWCz2xlGKJ1WXYTpQFETo4xUVLkG+J12ZxliP46i
jT4ee/m2DIMJuKlTga5WU2MBj+dUZKiaoVe+X2U1PKYpHZk/obOHYMnm+yWRXdDh7cxgIQp16XyT
kvzdlFpMI+pWKyyRscFWJbgBWWV7XRqIkuAAbS7wUyHb1w8VedFgtDhiM4CNr4+4pWBQIEjUgL0y
wNAcWtPD8gESOSBhssGDJFqvbssXSI4wdVIRRigJcHL7NtQ9CNe1Dk/1Qlqzm5upOBHJkhsMbGdy
s6/SYNJCYlXsaFF8g9k+5FjqELD8CTQc4uPQSjuMt/RLhl0F/cIEwabCZKfHEhuzoNgsAnLMmouK
58jRwGTySI8S+h3DVFT+5XQIi6rc6quu9lBzqbtVfkVDkOtgF9HYESeukw64pFzEaGBueIUwOanj
Z1aWEReCSW8uGn3jRzTlwk7qMJAcx9BcF7pBhuEk7cpueij6zIFbCSsjdmTO625VwcdHW321m6zs
t30vveC0aOCjouYtLvCqhlFStIp8FWGTK41qs8cKD0GbpHWGV+B3XeJe3GngnRHqGiYf8Rd20Ml6
ilb9qYD3ST9mkBjj8rqqzyJJ7CsPoEZQLN5zAsExJk7RpCs1KmQD4gs9JLjRQxEmdW6HY3db97na
oYfRk12tJDIyWngKRRbE5JBhKDHG16ee7vaArKFvvTRXhudbYQwvpAPhUyF3N12yYFinL9Pcd6kj
502Lj0Nhqq8zxPAtOZ2hG5GOoTp4HpvryDTFfaWLyNduC8wRE8sUrnU5zO2qTidnANNwo0lLt4Db
FMQ5hrn0GkblwAqXLnUuqG/SXKovCn4qetDn6fwxrxQmXjoRnAgUyitiEqBSvhI9LZUTHqP03Qx5
56e46VE/xQPYYxG2qeREdRg/rMpSfC0ph/ENq8LVc6KK/RkiTv3Scf+fqnoea/6kg1qt5ESzEF05
qjSO+M3jRBYeh6HvTvB0hb2Yl8gC+2nsXjqiBn2kswyLewXc2xT6kPaIHQhIGtY3CIKhdc8ZMdEn
YwzTwxwbxWtd4L2DH+qMAXHUNoIFLt19QdrLt2WjyS9hmofPIm7Dj/96ifT/5jBKpez47wUL/14T
41Um//kf2VtU/OXz21/Ob7e//Pvts/7P/2j+919IDeuTz2+3j+TtL9PyR+0bClz0t2gcfl8xLUf6
R8XEPIpPBc3jb14UsMX+q2IyxL8aKi6eGIf9JnxYdLb/qJjQNxgqVhUqpbYkGcsv/PsQS5T+KmoC
4VT8j6IIyr+kbvjNouKfLQvzs2UMxu8xlhqbiv6n6lqWe0zWyxEFPryWHbGqcm/TVRIn2+3Dl/Az
wfT9HS7Dyu1tIi5luyJWfI8xbGF6KgKk7Xe3/I9aqGVk9s/zoZ5kQCeh4aIWNIk7EX4SBMu6WnZ5
NCZeUntE6zmJS6ut2jAjsA7FjNy4m93CSfAbszvtJJi/OP5PYZ6s5AZgPImOpiZq1LI/j/RSWUsK
AMSVi5PFWnLBjvzUEa82MVSuaaOlXYtft3vxrTnHrxgM1L9oVJWfO6zfjo8IUkauDTKhLX/+XYel
0VFXaT2hAfR7Zi6Ej6OA2+CpvCQrEEZL7Ej2DKNXfUIwOOCJQ+y5q2EIiJOnid+Er7w3Z+1mGV6K
iZQjH7EoK78pT8PTVLo4DoMklfvEsNTjeJcNdvgqDycYU2fD/fMHKf9YiC83UiQzRkWAI2LSwjT2
xwtR2ywRh+gWeaywODwREuzMa8DGbEWKxa7sPVW3siex8oaXaKcjR7X1fe/KLpWS6Sjktw24z3nN
ahsejEP+JP0KEpB+f6c5QToZWROBBzT9p04BCgK9wswJwkB3FBpnuSVmCQMJG5OMJUpppzgTvvRW
9IBKZ8LmSLXEpe30QhJqsEO8tGHw5zftJ6nR32/ad+dEd/X90++VtgVsLyKvLE9gtx7QnNO9UC1n
X5yDYWEb5t7sX7XYCyzx/Tf326P67qg/vXMFOlKkvBy194wNOnlf9he44lfoweLh87vj4P0kSTqr
Dm3fT/BIzRB1HPAp84QT22HuNJrVfoaIbXBdPPdb3Z688EM1bGlC1GdNjuzeNjHGUBag7C9u9HIj
f77k705FX97e7z6zm4xF31RUWNPuQZ79nCA2q28tdnDH9ENL/qYDhd7/+UH/4I0Dv8DLCM4uay2h
TT8eFLKUnEztNeWNG1y0KdUBgPV1dVfc54/1GoMzN99DRLNHt05sGY8YL3eEd+Q0ifd3nOO/BcR+
B1XxGGjTRJ0NBE4ElOQfz2VqlQkvwN/OxfCx4dG3BmauoRNPVjk4S/SLT8iKi0y/K214AU3pFr9Y
aw1xWcx/fAo/nsRPN6SWw+QGSzP1Grd3ZqfaIO7/Eji8qz9IGzTbjKj6I/Lj+5Vp4WCUmXfELYhX
zEVxUV2JX2LllB/GbC2mswOtLHEvNtzCfPE8tFIT9fXLipCnjDzHXYad2XpU3eSgneS7mraPWlHe
0MRT3EpfAIR2pVnjTthIhE856S45hH57xPGnOtRYpgVYphD7uoEwnK3bXX3MjgSLi1a5nnfmlrhb
q8I0oXZRftMt2oQOoUEK+p1UHhqC8Sh8Eyt8bA5A0t1jcnMZU5S7+UMCwq2D+a53OAcTuq6V4py7
0gL4cDLM100x4A7LmPrYf8ST12dkfQRoHiDQDZZ20NwJStpWUq1y5d12o4On9o02z6nur1u9XRuq
N2WBwUgElsrovA5vgnwSY3BJkoH3GiaGABzmB7w6xMJF8izqn4Sk087lh9vxhqFUhEx4p/aHYdyX
FT6kLOaOZjhT5RnE0EIP7ejCt6nsaNUhCsLTBDvRo/mwx4CmKHqtIdn6eMwV+6y1Ui9ufG5m/BnH
2N0SW7WFD4qMLm1JcOK5OfRUeWrLd1D88jfcCHpo5iDAwj6m+2IielSP5k49U63MFMQ+fFDycvEE
Rm7e22gyW5dAzcl8Vh6lfgeFlbUFh8fr9agWztXOtgz1jAfYDPW6zb+MyI1Xbr5bvYU7Xvx8zQgF
M4bG0+/JYShoCgKMWGO+1tDHnL8a3dxNvRCp1NXi1ALSRfogtqsDCaWzc92snm6dq0I+s+v3hggo
972D3ReMQRuM9/Ope/42YwRqqe+VJWy0TbuuNjOobfV1fYtfcjfa6AyoUtv4nK3+ofOxH8Dm8bLk
d6nOTXAKX9at3MZM1l7lNo4Y/pRaCZv8SWH8bT0UmT+b/mDLD41LNuhNdcddcyG2GsHpY7fHijHB
hPNe+pTxBt4U9nv2KYaYkfGaMt8Jouta4utvMP6+hw4xm5eQV4LcC7yltPum+cgJFw8txvHUIVs5
qJivlCjN1tGpfepQZGnurXwKH9ALxMRfHleXGVGkozhGF6CAVVzUZzV390XilJtjFQW16sfXO+5z
jyVJiaLeqZDbWLDc9ScVW0IGURsA9PRmm08YlhAgTIwSy/RMt7tYeQa9sTG+1XddHMihjV4VZFgZ
nqpnXDGlc+eRSXxgCQ2UIIFjqjEKssPn+n64U6lq/W6LHNOBt3uXm+vWlfALIKjXbTo/9xG779vc
0e3rvg5KPIs9yN/kgNi5EYy2eNJ9whs20xZr+bu4sjGutPEgDm15bYJK53fJBy6dxMBWNspc6Xov
KqdyQ2BKIVFm4MrO+UPM3cjSvjgaz7r8MJbf5GKbC4c4Yqy8nTIP8WffXyLpUU3PXE8LAYVLbN3y
AL/yY5IPQrfGe6NU7si/vuhbAatxtHUGvgqW/hR7qjtIu3GjTtx6hzHMC7NAWDY7rN7Xo1sdETtO
2LYMW+xF2mtwVTCGdrIv6Sweajd/iOAQdfdEyqq2eLndJ5BD3HHlSu0mNhzupYGGZM0oMV25RKhp
eEJZwnryOoltC++c6Wx4mniM6rs8ccfHFRPlYSfkHqBqlgXlW6Z5ZkXVtybjg0Cw6CUTg2mn8tbO
GMM4LhBfdmiO5eKA5mRoLKGNB/KlPVyBPFN8J9BbYrFsSVZpG/fYrZ1y7/p8NQNCl0TSO5z6GzQy
V/H0U/fRu/wOt4XzhvFKgHQ6tULVlY2tuF9GFiQCXjHg9aWSrAxbzI8LdnHbdOBGjNoKn8F4Za7N
TRY0dyTBXj8G2bn1qD/conXRH6SDw2y0d1WbuOLVUmLjyuMV6/Eg2tVz/iBHHjiFhmvRvj5kb5oX
6/aMD/chPQxsCyfVp+Z4XuG+tx3OVyfB+Rjv4tCeCSWpt011rqCER4H+Qsm5n0oHmYY87htjHz5h
pGYtBm6qY0aNNahrXQGudFtl2whnOOrwiv3OA4cAu04PFXrBIPqIN+W39GS8A8l0D3q+qW9umy33
k5CVx8GJbMQy6+lmKbvaXo1+xDdXkt3lSUWgkqxyZyrWyAdEarbiILSVUqrktbFt1rj0+pPPrQqg
TtAikhd3gKJeOmwK8icD4vAgvGe+uZs/i3RTPJlH+QWOgHapB+vPa60/qKQRZxmqgNZKlUWGxD/W
N2kzS3k851jPybbGK3oW3yNO+8QMuXxDIdmdkdAGgNH637w6//vK6vdVLkcG0TaI8mQSsXTu35eW
RpolxPz9VlklB9xGXahAx8wy/cKDTvP0i+tcupQfS6gfjwbZ9fujpb0szXjtpF70ln7qgbGR8W/0
MWjd8Txz4X9Sxmu/L55/POZP95Z8vxKNJbZ+7MnjMd2NphUdMHfcER+LNfMSxbYPL7wE46ZBkvMh
fuBpgx0Pdc54hOL51Kn7ZmuCxleO/LwwjQJ5N7wauSM+axvZaS45G652qh7To+m9Cl/1OtwUm5R3
3EosbaMdKurF0IeP5o7BXcgS/5jcF9sJ75GvnKbCWcpH1ctP5QNhQU45v0PhIhBwP/LGe73bv7Ez
fGEJxH9sTt0hcQv7FnSe/EXncWFB9dst5i7DXnTYHaXGY80xY9J2rf7TeKteo9foW17YbEkVo9AD
5sfLXadgf0PNTbRzv+7vQO0oqijy2gTNr4/XD/+Qku2e3GuGPe4wq9+bB2yV4Bh6mjNCLBvx1Xel
l9AjfeDt+mlIztx4COfCs/mqnCVSn1cW2DYSV+kYk65Vr9n3We+SY/3YPYuvbIDQFtx507+JmzAA
rrjD5bHZrw662zmTswxMK292Zb9cdrvGGZwZkYV9u0dw3+vOtbhjI9BxcX5juXciTM0CPLrd+h7N
8YDf2n3+Ym7C54gzwW6ACGQuDZuhZ5ZJobdW8kZ/E0drHinRLR1aoOHA4IGOjBEP9594uycK69Vn
PNo9cyyKMNzVMKu3a5a7xDNfOtHtBzJU+EEQ8/jqj8p5VJ0SFxyrORuC9T8YLy8v6599QD8DYMtE
K4JtTVOKgmlwQQJ8xA+QUPTtAvlgo4FDK2IeMvWAU/7lz1cFehMYbQN7m+BNP36+jdznMb6PuWee
E3E/vUGFcdle3VZ+EBxW31+P05fr+fF6fzii+VPnm5Qky4TLEUevqWwc/D1hdom1xEM+SD1kMVjM
HUY+RTd8+nXf+ZNqdUE4SBqCjYElK+IJcKEfLziDMB/rXUMqPbzXAtcgP3ojiPAdG+c0fYXNYwnT
q9BfKI+gE7NlWumdfJ+svIoI7tEC6YJ8l5Pc+dgjF9wNSEHSBSAsgEpEe2bTLN2IN03ajtvoG24Y
d+TAfhHU4lXnqT+u1KN4dRGJYAxLnYZxXvaIhImOo/zFDvQH3T6O0LJECCP+eAJuND9e6Q0hJLSu
IQFVKQ43P7WXrj8x7e5AHrHb9W60p+D2sKhwb3sjdq4vKW+YYeN39CtY6fcLNqeiySpjdkjx6FF+
PJUcZiZmY3JCjxod4qPuVRS4iqWfJE9wrs7NDu1fvNe/R/80XmZckQW47Qrj+B+PSGgvHgBEGP8G
dRBzuoFYCqgUb34FKv3BC7XkVUEeUgioxizop80IV4lcm+Yw8W7PuDbcgA4qB1FmHe6J2EmZuhv5
1+KsntX7ZnZnsJ0cb2QLm/OosHtcIUpsFj0tcXUsbTRhq7Rkg1gkGdMZkVM4+EnniuK+kHDr3cWz
S72rpsHUPeRE8gCQqF47u0OPdNVKHBjR5q7+0MJjwugdxA7fSiwKoaMDn7z/+T2W/uCpigoAq6rJ
Mji+8tM9FqQ6HcqJEmcBMHFc9MAYItXD0+C+oMHY0+zCnd3h6ryKbQjmG8mj0Ltcz7gR/mohk5Y6
48dlxcQkDXQLvjsovvHTY8DLQEbmSKUbXmKsZdmdDgbkvuB2vN4T6dudilfuDd6Zqj19XjHHUb0r
LvU6wrX96urXlxWVAVTEP79Hv6HMf3ZaP63u8aRNeZNwWoofBd09fMGXzk89+uyFSWG3G9KlG5Bm
mmTUsF/TM6lab9HNrk9w2G4+64Oj3+kiqLVHGSwcekJr1+Zauq+dX30zf7Bg8J3AUePLkflapZ8W
jIHEg6wa9chjdD0Ch5l8o1WHkcpDLqCOeOXBQoykZKHFCN1Q/ormg1KdqvJFdLXajyoHAwz25oqE
rT+/jSJg8O+fL2cEWA7PhJPUf6ozpy5cVfADYg9bpC8zAqKLy30fuenayF3ylMLaMpe8aHQNNjmE
U7xHwbIq79J2DVs2EYPh5iaS37whIa3XkUYZV6+12cYeUevuSdJqFTvC2TR3lI1OekOIK4sNY9jC
OjzC8/kFlsD0mCZui65hdATDhsJg1uuOAsYx0FK56rtyAZhKCDh5yyNvBq0T98qXafp97qGf0DNv
EoI+xkTaxmi1/WwfEnAsrE0x1wmuh9tu2pQ787nnRO75K4OPH16o2XB5zdBvcF10S2whUWvgTgmU
4JsfwGoD9NAcCYqVPdQQ4RJrdYezJHxIcnfEAKpBfH0BylBI6XBwQvRX6EwPyAEGfavP5yIPKgx9
jG2un6+ao0JLQu3OxoS71DdgreJQmFy2oll16KeDT1oM2mX8wkIhmLNdDDej8EH5anpB6t7YR6xS
gLJ8rmK/hHJji4i7Zi/uN6YV+iZh66qlnKSNAvaUAerSBwHCmRbA21xY8RoD1W4jbGjZ0JW+NYkt
ZZtasobYXp3HwromNr9Tk3yAIxz5PrQFbPqUrfBUUkyXtupV1QHFMQgiUo42t5MbSaFWdQ+QmMyg
n4JLmfE4ufJODEJ+wAKI9JaEcWrU7gU7RU97ZH2uWXs3z1XQOtlDybfQrylVqgNAUUY0Cq4vjpDZ
xN661Z5YCLycbnj+dG5rBuRJS49Xd3Vf3imXfg3ZIsi88R0m7gu+K9WBaUPEQMzrZkuxy7XuETW9
v93FL5otdE72Ej7Kwc1h6Faa6wbVJ7LgBLo0PorNs7lAzhiI26aOz1SQNoC7PJP4g6trz/ULfp0m
+jN0EIjjXHW7jri8cZOdyZU5px6hRKonO7F6WSF5eO1OmQM/yr9RaAZ4S25FDnrG0iZ7kN4Ed+lb
NF+wcQN2cnfcElaxbdfhqd9hd6vjtrXFEdyu74Q33uV+3X7Okn0Nxp3uUfLXGsgf8HbLBcZH3rDi
YHqjg4R7QwGyesKl6GX6Fn8QPtN8K8+6t3pXUw/jhySyZo+cXuTJXmfawqNE9va4oHLSpUCQYw2v
RGctQTA2frTNJTrNFvMyGyCgAZQe3Pkhdyu/uEBvRzTnTd7k9Ac//0af49INMYqMrV340CNLKlGj
ExOyoD1q5oqHFYEAB5Cq80cFUBMsbk8EDBa2sOcZ0D8/8xAd/PGs1ftwKO+uQfMWben2OlfbM6rd
JI8E/EI/9/JHmUW62RYBOze8pY/5RfLnZ+FeUK3xDrek0M4uMr6/TiGC4DDDNVx9xzC39TJE7piu
WqZ126VrbZM+XzfGOn9GFrafTmxQ9DVO6XTurbcmH626M+9avujAOJSA3ZDdLY3Tid7m8+xxpwTH
OGkbME9/8MMvCuyj6o3nYQ+rPzkRUJYfROfqFj6KGm1Nr3egWzrT5Q7HcXNMDSBOK/H7Tfuk9Nsa
Ag3QF8k8s88t9m9eYTUBPK7Jmh6FffQqvfTbdXWKHW2NretMAtk6WZu+7Gof1Q7cA02ChS7+swCj
/jpefZX8qb3hiMF4ro/dI8tWIFoPzWWk6YsfaRBr5imjRZNqd4/SY7XRn64ArNTYmdeWlgj+rLrU
FbawRuLolF/Rnrg+x/RAc8dzBcQtLAtttel3dNHN4+0IuW1+0J8BM4Eorc7O9rdL8tQ9fRHhtcYq
mAqqCZDFWJpoT+8j8EEw3ePtl+2xt+02jCK+Re/1YH8lTndHqJc9gU6Oe5Gjt41t7DrPrK3rZZnT
Nzs6cQejm4d8n+y6/fWSuLFDl+5d7dgT1up965q+j8ze6Tzkk/7NFbbTdvUA/3JJ8Oq96Iz/a7i9
fTBWynju6yKIDrXDPJ2nrEZwnhDeWrf91wC+te22RN3sm0cV6zrGFM8Icyj8R4iZL7KHQ9ZjeNFO
DJ0YfAZltdb8hVswBtVJ4a4GfFniU3leHRCp8zM2pOohuVc2xYH6MzBx0EDnaieza6iWfF5Ec5Su
VvoQHYzYVk6oaXtPXBt07iN4oU3kVP8cLYlO9or84meTPak5TJt2p9gVT0X8mCa79jAE8brH7hRt
xdq5PpprbS/YEwOM8LrBjO+KDS15ViUfB//PzlGvrKxx6x2Xka2bL2GChcV+Fz8IvnFAAk/0mjtk
jr7ONokjrjMfr1f+ZvqgOvM5JrvThrB0BL9krnXmO5xA3xDN814jcmA1Gw71utCsyRZexY/GDe3k
LuJrU/ya15o6ezfejR62mIfhno2WF9qOTwa08OaxXbd3/Tp9aNcaL2dDnwXB1J79yK2gtF50ZHMs
s7nV27p/7J/krTLYyQbVnW2s1d24Nd3ueTyV7wP7VHqgGkx7T2AcoyCIdeDrUrhW366byB1Pybgh
RW5mLvCefnW4Ml6jIJMuivxkpBQnrFgI8baNBh3D68odEUK3bpt+DL/t5K6xmb5UL0PBYi0Ak8+H
QTZbnbz0CdlgTqKh/HbGrXAcelJJHYpUMSBrZVnZARKPUCGXfaN9L5DhuBVeK2vWUbxv3OgImI/T
ZAkbEyOWmpRFe/jIaStzG7tIGH7ux+DEgeCVhm2cQy/8xM/MU+q1xLyD/YWFlDnAo2ayyc72GB6A
wvzeLtbzJqMS6+z0ABDSxQ5W3ZPTHphKTm7PP9fO4qyL92/nt0ivSbArD8OuON4OyocKV4YTaJwe
YYpAjqxNG699jBOLrL0glPy9nnKks+MDwH++q4jLkZejtRiRXwPlub25+Kk065QRNXM5aWMQmYIf
Nm3zQSNgpSOCA/UmknMbLH2iiLkP78pDZCsEO1kFH3xOmYg8ZZuv48DwmnOWbTuCzS3z6lyzeyW0
8uP1KH8lYA12xHkM63QDh+9u+bfex6Mn8qoAvJtv/SC7WX9HBFzCGbX2tMXFe1N5xZFak7Stp8MV
uB2OiFu+RZy+pQGr7CvvCcm9jYeyFdmFJ7rJka/Zqw+9yxrMAooT6La220P7xui0st54Kh722KSN
phtIAg+MZu+QxFbWBj0e8yzk51dn+YPoeQFokAQdx0P+om5qw5ZfI8kyHmR/fEyDKrRuCSa0Fioi
7fl6TAN9g+WHP7sr0Zc+1A2KHeYonX0l97NeL2MY4XDV7iVScCrsOAL5zaBH40XbmZeEcsJlsjKr
nmRaPI44PKz8/rC8AvMh+hQZ3aDsayy0jUwTEcs+kix5L7sFxbIrf/FiqJvqKPNxqSMiOrS5HxKE
4T47ahDMbPnCOMJgy0OPKICbWjeXyvkt+eBW+SQiPlVuGqSMW6wqmLbla6j6MJHNY/KU7jXXfEk3
/YlUIPlSU9otU5UF/6YhJqrz4cV45t1lEmKi22Q+NTaWsuUWa57gkW4YH7LDUuTiU2Zhvbvvjulp
eNe2XejfqMQiawIyYOCqk823jhC1cv7hszF4ChE9DJvXVyI1rZFiySIxh6qvsQpnduOaoyg76alw
pN2Kqf9O2vVv0bGOPEBbgrFNw27ILYTPy2+GDQAzm02r96uj/hVnaxXrlAsBfQXY5Lsh2iaxC4zQ
T8yHskv1dMOLBufXS3tC7+vEjMtLelJzjSHcU3xZBZSrmR+faFuBRdaS37+kfr+P7gjrjIPaBs52
a7CJIwd26HycK+HDh9gVCMh1SbulPe7d8JALfsEsa96XTr2b/HBf6Ja6Dl+3pS05MJWhcr2RUKOz
5bJM6PvhKNyRTYfd+tdk+s0aICU+oNbBVekhvlvZsj/ssg2qzbvESa2Vny4P/O36MKxzh8gPJ/MB
w4KSGZF8Tv2I1+DKVXX2xtxMZx7igopOW+09d+r7Zvbozfajy/vNPX5qT6kbBznsQIJp7HITn/4v
ddfSnDYShP+KK3eqhAAjDpsqowcgIzAv2+RCjUEgGb0QEkb8mxz3kMPW/gT+2H4DyCAho2xEUuVL
qoKhp7tnpnv6jeCsanGCQxgBobk+4niNN4Fpb3gE4ZF8q2Autj70uuzLTBq8Cf4z4o/FsfkQNJGW
1jQLIoeYGPIe+3Nb8Rtet6JuRMxqlUZPFRll3c+2xN7bQvG+8Bj0fHTmWfbn5SnS33Ml4W2Smz2V
H5d03FMVUzCdAVLa2k6Nk1Y1a83reYxvrVZwo61vzhw0eS0IRp/Xh/bwtQPcctMy8RsMWy3I8Dlh
GG3XlVc1u72QECfk7lctXG743rXufMUXVzhNYklDKXs16C/66MGO4QsL3oU1UZBzPp60w803fGTV
FjphJLvywgUUDoTmYsLiWqP/FmpboIYhAipVBGZzNQ9XYt5G3gQPz/+6xuKAo6WcCNUuYXIwJwXN
VYWfP+CfRSOPmaJ4kY1Qj53j7SFbd2TqPhGBGPK30f++t0LBtwyZKG6gEbyWIzP4TrG5Jogf4uWM
c71WIZM9BcKNqWPlIfeEviAaoru3dWtg9m7rc6EiLGXzCbdHvIWbrpprjF48FdkrUwfX1ZYQYPDb
OO5OB5VvCodYMxKn0DoMPk6wG6mPhMW+jhZwt6Lvoe21grxYytEnyHomo8rF5UR/IfJLhNlTYoIJ
rjr4vhASRMYuHCjluNe7kGPg99kgy/a1adfRgKq2aSCxVTTlpUqrXcHgOgqSITPQahubvRLxSctV
oMLNNFfOudcQqCCpGBm2hTx1Ckc9s5xmanmUsSPhd5/2WMUkdk2Aq6ERINyLcnOllBLk2FUFxpxw
WLKIbLMC9W4xFKWTZLuRa5fLcw1FwyspNy7yMEfx7NIJzVVaDuwaYg54zOA13CjBouYeTXnd08W5
ggpUvNoKdXuAkeQSRvcQdmp2i6LRs2t5s+pBHwUCZmHDmha8+qg+6jsIc63FW8kWHGXEaw0Dh4vf
KKi8/Obxswn6HtfQiqLLKlMajWXq/tMSiUkPBk6EeV8eah2jZQveINX/fh6kpTw/MiDGcx+DqvUc
qtEltsPV6At1fY+uz4L5MOMdPj2fM5+8x8f1Ys46dEnTGRZt86TXhgcfSBGGRhEGeB55BnmRRhnS
3L+pK8bcv6XRKtA8DyuiMMJpIEtKyOH5/SbNlVmDocG/Tprjn86ninucwVRUGhZYeP7B3uip2hjo
s/8632gw2lH2iqQqDebeLR5x/oNTS8tVRFZ9wmoVlIcVMEYLUZSYs32FmXEz5FRqkj4NYBeI6JqZ
X8pQ0s/wtssjzDTNCbB7kcRVrtqyKRtWFYangqBt0LbhwOgvGmuSh7HZf1tVMc3R6K6nQXM2MSd+
w++5A72Ntpqviqag23ua8zYB9SKahKLxHDKemXiuazlfthmzhL2BXd1hgirGi8AXDtPXuUcDGYF9
djBrQ2YEJIyH4cb/VU/7u4pFDkgIqMIQLU/3go6vukFXRScEb7mbBIficBiYxmT3Z11FKP/nv/Ax
gBt1txodhFE6jj/bLdQPHHW/9P479P9fyQQ9qPZj28b7eXUnf9zNrwvxPPz8QNg56ok4hR/WddXF
sA0t2FEbHLBsEVP96wtPjAlZntapoFIWUuiIyF9fImieHLFLcLs6CoYp7BAUZQqLO4nrkRU20hV1
MwIYKpQO38gK+JEYhooCHwMFPH50OEmBjvjIvkLLdj26wr5OyJqobgiT8qeCciAIkvAjuum/xv0W
cfXtP5HpuRQ2tGx22AqZTYihRoubAJ3bzUfJugX89l93Yr9Edhfz/zgUbmdH/WxXARmV6lc47lXb
2P5YkdhuolKHg4bNypM7z9h+h2QZxzaURfnXNcCbZGNbUSGAIchIVaO5c1mRR/anb5IggvoB+hVw
fyS+gyq8EM3jCKI83hlZUefJwle97fcQ0gl0RIuzQq/5ZKUTVw0hnUC/gqCp+7oRuUR7nrNXEABA
XLe2P5Kg50Nifl10pUz+3inYX4d+GI16EyrdEN8j82kdZNatVVQviTtX0FB8+uysjBx6vDgBISNw
niyJlXjm2SvcqDs3rrUPh/4K96lqB2ScJAquoVIvdrvNyPI7/N5e+HrCgSxc4ajv6p3j75g92wtX
kO89f5wkIYtXEDSXWtpk5HmT3EBIorduAtNhGGSWLyf15zfEmpyWoIfAjwJtV3F+kaAkq+JrxPwQ
6e+jZlLqF94NrQdceMtLAJH+jdCCSQBxYOKRTupae6/h360WtXROhfJlBXKyWgiCLkN3DguEFu5H
VF3AeW+BXvjCOVEQi5eIigvUz0MYZPIlwqKy/NOQRbXBJbJiauTz0AVVcYmuMy3zeSiDlrpE2ZmC
+zSUHeTVvj4pQSCea6lPQBpS1CspO3Znbv929THZOXJ6/rtNvqdubEOXWVBIJ9v+gcAvIE19f5//
kMw/LvjhpoX6fU+MYxBL3VPyh1BMO1S8bdjmy/G1GTLdtzzqgUWXausnGP++yX+IKtpicOequSQJ
4j6e33tb0ijH44l+ZWyoxP36HwAAAP//</cx:binary>
              </cx:geoCache>
            </cx:geography>
          </cx:layoutPr>
          <cx:valueColors>
            <cx:minColor>
              <a:srgbClr val="FFFF00"/>
            </cx:minColor>
            <cx:midColor>
              <a:srgbClr val="FF9933"/>
            </cx:midColor>
            <cx:maxColor>
              <a:srgbClr val="FF0000"/>
            </cx:maxColor>
          </cx:valueColors>
          <cx:valueColorPositions count="3">
            <cx:minPosition>
              <cx:number val="10000"/>
            </cx:minPosition>
            <cx:midPosition>
              <cx:number val="15000"/>
            </cx:midPosition>
            <cx:maxPosition>
              <cx:number val="344782"/>
            </cx:maxPosition>
          </cx:valueColorPositions>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_xlchart.v6.1</cx:f>
        <cx:nf>_xlchart.v6.0</cx:nf>
      </cx:strDim>
      <cx:numDim type="colorVal">
        <cx:f>_xlchart.v6.3</cx:f>
        <cx:nf>_xlchart.v6.2</cx:nf>
      </cx:numDim>
    </cx:data>
  </cx:chartData>
  <cx:chart>
    <cx:title pos="t" align="ctr" overlay="0">
      <cx:tx>
        <cx:txData>
          <cx:v>Gas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a:t>
          </a:r>
        </a:p>
      </cx:txPr>
    </cx:title>
    <cx:plotArea>
      <cx:plotAreaRegion>
        <cx:series layoutId="regionMap" uniqueId="{A0D17D48-951A-4646-9730-F0485CA32A9C}">
          <cx:tx>
            <cx:txData>
              <cx:f>_xlchart.v6.2</cx:f>
              <cx:v> Gas production Mscf/d </cx:v>
            </cx:txData>
          </cx:tx>
          <cx:spPr>
            <a:solidFill>
              <a:schemeClr val="bg1">
                <a:lumMod val="95000"/>
              </a:schemeClr>
            </a:solidFill>
          </cx:spPr>
          <cx:dataLabels>
            <cx:txPr>
              <a:bodyPr spcFirstLastPara="1" vertOverflow="ellipsis" horzOverflow="overflow" wrap="square" lIns="0" tIns="0" rIns="0" bIns="0" anchor="ctr" anchorCtr="1"/>
              <a:lstStyle/>
              <a:p>
                <a:pPr algn="ctr" rtl="0">
                  <a:defRPr sz="500"/>
                </a:pPr>
                <a:endParaRPr lang="es-ES" sz="50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fJpZb9241qb/SiHXrSqRoqaDr/qCkvbg2Y4zVG4EJ3FIipNEUpSoX98rpw8+NBroBnzjLW2ZItfw
vs/yf/3Y//VDvb+5P3atjP/Xj/3vDzyE+V9//eV/8Hf95v/U4oez3v4Kf/6w+i/765f48f7XT/e2
CcP+wjkif/3gby687x/+53/B09i77d/C22CCCOl5fXfp5d2vKvj/79X/x8U/3v/9mNc0v//94Ydd
Tfj9OCas+fCfS9eff38o0Yc//vo/n/Cfaw9vGr7WWWX1d/H2f3/j/c2Hvz9kVfVnUyJUNojgvGkb
Qj78sb3/+1KD/qwLTKo8x6itcVVWH/4w1gX+9wdU/Fk0Zdu0CH5I3ZL2wx/err8vZeRPXKCqaVvc
thWGJ+P/3pknqxKz5r/34j+//2FW/WSFCf7vD7AI/OGP+X/f+O+3K+uyJej3X8NFgVHe1nD9x9sL
7D/cj/6Hl15MehSyz92GH4WOgtc3Ey+E0s98Nm7MEs1RtpuhyRdff/Rz3MgFj5krH5DM9kBrFh/R
vPw6jngt6vhrCjvLnveyZaLT8xi3PsRK/NLFgWi5r1k6JYvq9EJaxKquGMfcXCUzBktqBMbqdKB8
LmnmmUyDKUKIr4ZP7Oixypf9s2425V03TmjHb7GxVnWLbIPtyimvtm7eVdnSpZyVul0P0WZUGMTc
i+OR+et+YH5QbOJYfI82X+df0RsRz2UhJKEbl/V+CllMK63bOKthXLPavMR5OkhnzBRecgm70KnQ
LqqzXG/lKS+y2lOtau0HZnM50+2YIj6jds0V5UdV1Z1dVkuolC3K+8ktle2InPbsZtwYbztYWqWu
nJhaUx7ncR5GxezYrfvCLZWsXh3sZDS5q+meSaGHNB947n1Qgd1Mapumhym06fhsucwF+5F73X6r
jTMTnWLlWmoWnT2XS8kEtbttMppJ49/msVTwyWpNy2nB88ipy1TdfGN82ghdcNzGb24ehcnp7sme
Tqs34/SVJCTU/eJKzq6BEGl7E+0xd8QXQl8U4R73vCWZ68dmt8cXVxUTGlK1travTMiQom222MPQ
NvfHixotYucWh/x4Xbd8+UfkIRY5rZMt+WBI1MXAiXZ88MjipVt4KMLFNgdDFz0lMnmaKVj9g/KN
jrca5aO6JVWzyE6nY83Pa3FkcmgyxuONJMyT4WBayCvZj4ncxIov2zMhy97c4lQg1R+hLvj9So6U
IKhMK2jeZNWVeI2WC2uNIn0xl2tOj9ykX1to5N7rEMeyvPqRLPwGAmUq6eaF9XRpju14MaWv4CaZ
Ozd4VbXoadbruA5rpprqTu4kS9dCQ170vpSltZS7tKVIRVzz+i6kUJNumskuOnfMUd608yTsSTZV
4sPGnUtvdZ2P83c0u8X2KEax3B5ogW0/YrbWt97P4/jGMtva12w8pukUWuHYUHuLvqzZuK1fuUc4
MiogAOJzeeTN9CONRdsM3m/YdWlrW9EZlqPmuvljK2/L0q51n7LWipIeadkP6vNyC0NVqEM9y4Yr
fjXBjOVTduyZuBu9gHuWamync14tpsV9pnMx03nVk+ybxtTzTANGqerx6FY75Mfe5tdpXbWdA/Vr
U/mLGMe03YU1jvJFMp+KXqm8rG5WPy7biahsIj22+zJ9YTylWy9n2DtNovrM5oTRsI9m2rrC1Ku4
elQHBafbuHRbVXGPb4dupqI7VmWWoUU+q/sWN/uvpoEEvuOTNhAes9Kjo3DuzlyaNY2QQ7iVuj5z
BOE45EUsylO0sOZ/sExu7rSAyn2T13uTX5eaB/XPvk8z6qNetLhlJRrVDZEMosWaeV4GUZN8+b7m
xc5edXDN3MWdNH7pj02bTVG1o9W96GOe/Y/aNc1rPmE1d4ep2C1DOyogbOfyy6jiijo2E82u3lQ+
9WhR7UE35bY4rFWe1YO3pIFaO8/ZP5KT1tDcharbcBh3mut6OkdZLi8tlBoDoTdOoSsJs4GqkLtI
WRXxreaZ2gaoW070SHp5uxrGPZ3n2NwWGJu7MezY0DIv9KBqhX5yQtL3cne5oLGa4x0JfHf9lPnt
oyMMDymO+5Nvi2alfJstwzRs0+j7mYxV1h+rLMb7RXFf9xmZQxqQxHIcKsmCf1ORNKYrcb4fvSPE
j1Rg6+Wlzo9WXo5IfF1Rh/O0nSdWTWyixZogw904FglqRD3Hm2oTylzGsay+bRpjdqdL3ip2gbhz
y6+wiCx98hAEQXeh9Khz08EHHcKnBo8dw+0Ty/lLmNDt3lZLl5vtpoZMoofFr/vSvCw12bo6Qvmr
EQ50Ips47WVWd9LrilZ+zi85ycSF2Wq5GXUMQ74yRGdbfg2mfPJzczY+PE9QC6mwEDRZfsR+G48K
zqNQdDLhPiPoTmqxQBEttmvDzGNt0Wcn+ccSpYaipN43sT8vh4/9UWIGB+Hf2Z69sap6nAroTDpt
HU9FuEHelzQQ3NzlmyNfCmwKKg2KN07Ji4mc3zbFkZ/LpYC2ohp9YksG2eEX3hWZ/LjN7W0zkUhR
kJg6CPCh3AP7mpds7Ro4k5mZcC7lWN+oWbdnhC17DpCirJ/MLEu6bkY/bqji+QmNgZxzPv9kpTYd
z3ZOFWTHEGX1JjLJ7vju7VBD8sOTW9nzVUMfyw/S0GYOj4lzDo3aPKQ97dRJJl6sENWpUeWDUmN4
AznzNUuo6qapuNm0fM0EV8MGZ32GhOV0LPlbaxf0yPUezqPdPG0F0dTVtj3lpcPvYdrl4yG2X3Xa
+anN09Stqr7JNH/Bh27vqz0+R5xzKq0pznLd09nZeezCPL8pK8lL4hv/nOlV3wRezr3dZfk1hUze
msOW58wEcimMzTqBzPfknKf1vN4d2VL3HmnTHwUaOx8yRo3L5Xcf83ul1F2D9EM4oGyaxU6nOM5L
l9myGtrUvHHJFlqZOFF8uLZLhb6t2TEN0M37pRC2C62yl52kE17FE2zddkcgpuwWEl2X+V1DJtAN
zRdnmktw6rM78HfLl8u0kI1ir+5FedzUpC37Vvq7Y+FTJ7GbrqE0p0mZJ8nz68rqHyT4q8/jiRct
o+24n7Z9P3HMz5hz/TZl0l02zn7KekLU7Lo8b7vX5ym1X2O7ZxDT6FxvR9Wxwp73OJ2bmnV8zXEn
t2broQy8gP7+KFFxW87uzrMxUTs6SVPjb/eJdWqFGoonlg2hKosu8ChPYybzS5YVkMJxrg7KiK7O
yOTLaW5Z+0oOYT9aPvkvOcHxIytC/t4aPn4UyaxTtxeuusbJckbRmAJ0bYPkp3UOoJLqqj1pOzWJ
+gLx27bYyd2YQKJGt65va5z3T7Vo5Avcop6a0ITezCW/58EVlKt9PoHsbt7nOheXAkTWxaR2flj1
wb7GMKYHmWToRmSqXxVp5FMwa+irtCz2AbSoJPCyCI30cDF04Vj9V8vbjF+swk15v8c5TZSpMWko
Z4f13Talw52UG9v1akBHf9cZqNKOtDIsfVNlTA3EpfixTFxA5Y+hTldIwxj6uKpKnMsozHRTVOte
frNK1OFuCqiaoEoQ+49IWbW+NyoX9XmxyiDSL4kZNnetdVnVedSyhtYNYs9CeThpu4B8o1jKZqci
7cL3+bbmz2u+untTu/xzEi5AJ5jJTZ4Wk6hcXLPCS4Sj6tfaj5geMxKgrhQ4ov4AbenPtV9D7Jxb
YRsIU4sChYRDe9lB12DarCP6brPqy9QgMxC81xRV7TqBS1kftywNWRU4PYo1dBFcRQ8pu3/Su5O3
ajPzZfLBQ12U0IG3OTtppquurKAVW1m01220OS2nCd1AQXhVNeEv++6WJ8NScStYKqEQ59PVxfxq
1/yrQVXe7wsWnZi8opYUn4MrvxE1V4+4th+1bdA3jmd3Y3UO7Tk425flsl1Qlr23y149Hii+2aP+
vkW/D3qT6WYSgne8ys1jGXS41XPUZw8pe89x46GdctG1m9o+zSk1fTisOIHC0L+OVqUTFPGjm7Tg
J4hL9dtJrOh5PqbyEsjKh4m47AUcRT5sbVS9AP8E0lE3PWlnqaFBgagD25NnN56BpKR5gTW0CJ9d
q73I70HI+bNZTN0RRu7VMs10qet4h+vRddo1SFKSW/7amtzelus8ghSX6ozNrO6balyg72w/l9Bu
Q2r26SzMuF9bo5vOFuEzVAYOL9ac1O92Me7rgyblz3ppO1K0l3Isu5gUogsSL6wo3lEi/5gyflzR
BtVS2KkD2bfTMbb/hJEYKmahoM2v7aCWklCj8T+4KKHPZy2ixNmbqoY6s/F4dKYCX32M1SUT1cM+
Fw8uC59B+yWqPe/dzj5Ns7+MPkq6huo+q+Tbiv1XYkA2TDl6HAm+a+HDgOLV5M15Q3ajI0r2UrVM
3ZSo7JZZQWPBJKNeTeWpkdvDnuSrievPlHtEj22+B+V171Ie7msBIqAYZUErSX61NhO02aoNumR+
j3F1lXVbUC2PYoiFW2hooIqy4jxzv9BNlFc35q+BifNawToqsoLnbEM4u2wkNBL7g6NjOa1B2H6E
NtLVFXhEJqAGTpUoqJCloojBorMdFzSF/VuxV72rE3RKYEVdPrtPglWfgvcTtUmoLtj1dQz6vMo2
0iIP89nsdbwG3q7UQYm9zpt6DsfeOxlUJ6E7DMiNp3nCUDSy6aGNxkLPaPfOxakdvMlYN+v0eZrW
uzw4PCxtBqGUgcvb8ESFU68uLM955fOztSynaTN4KPPlR1sgT7emeD7Y3qE9fyVT+xTVdIO5fyRl
23Ez7f1mBHueXTGfps2EC5ZQfyacAbbwSwOERcmnhRjSee9kV0143ajSa32nJl/Bk4ToWF6lOysq
TVVpDpqvPO9GJe6ibuAjnh/dmuUPR1k/kuSvxW5gNY0jXZlmaNB5c9va8kTyRM4qCX11GYQ5Bos2
Kp36A9Wfy6W1nSmylTZV+2Lr7S4ydZ+kRhQ8xWUq2OeSpCHPMKfmkN8AG9z7Mn1R0X9KctkGfmS2
n3KsIPSbC9S8+dI4kQ/1OqoepNHWeXNkHdpApSYoL3SHvaALGRmU07CZ+zkBNJBqfI12V8OszSeU
zXeaFe0zQXa8phUeuSicTpYo16+stXd5ns1X0HHLeUEbgYZTr59BrRaMLm7SIAQbd3U+zr5DCyk1
MIe9OJVHlDNgHO11N7XzyLpjc+P3Jc3xymVA7FTOKQowo/P4Fla5r0PD5qO85EUJXbE0MuZDy5d9
p1EicWrFGF+yacS35PAIJEwG+BJo1atoIIlGkX5lcGjnlMd9YAVJj7oi42nNom+BNCUtoXaQ9cSI
CpfaRn8pq6B/KZSVNwFIxjXkC3iuCq1njlfIPyyOZGhglWjgS2DU6ArmtJsjHHN2bPzc5k0kdFVj
DmUmH3V50x7tVNxKLf09wdn6VaPK2fMkEZRsXAPbuLaoRWfRivYW4M3W3iuk2NWoTUJGtXJ0V6PH
0FVH4R9zj/PHA4/tE+dVEi/ztPv9qsJR3B2CcAUbbNzNrh0+L2zPHyYEiuacbYIZWhiiUC+BdAEp
SIhWYOhuQULsgxNh/8XH2gxgq9BFHhYBPCwO3DdlyKAc1Jhm2fRcZke6E0i/LgU+bmdcss9Kb1U/
kkk8Mpf7j8ixZ3vE2ySaT9h5d7UY5GqqHDkZMb7y6TjBeYOTroq3NG34tGSVoGRnke4N+qT19Dyy
5WENheiK1T+RFU10L5vrPuEHsuuTtMVg63w5V778qab5BoE3iC77pveS0bC7m4OrfJgq+8Xp6XFG
xg5NI1KHgJj1lfamw4tewe7tEqKsgr5XVSdW8EGBE+1xveYnEKf3q2hA41fTPy6KOwkisgPOaCmc
yaVK9r6S7U1Wl0Pm9obGJqaTU0AU9djaZ1LyAHAvyh6xPIcu2bKhseM2ZA34hokcGw2uLm4kRuKx
BWfwWBo8TaCNZktDMgKKHoHVkQrNwO1s6Jd2VXcbByqndZ4/ZDmZOizjfWzBp2VAi2FbdEklz86V
sncr4ZfmiB8LOQ2Mzc8Oj4auWSbpTtQFqJvsgshu8eg/FXMgHTqkHMaqbocqC1AECRHXuSo0iOfx
ulUzoXuVPbXh+OK3paVxH1+nAvovweFr5rLHSYZAZ6AsnSfzSE2Oz5MwG8i88LCaGjrbqH+bikdA
s99thHiux4ea6+dpxwPC5Zml9KI2UlJt5kh1DXV9ldkVrfh7luFbQMWMHlX2htrmGxL4uE5isr3L
wAtb+TSm+i5V6T6w/Hrw5su+pWFl6pNX+ALAtHfYXwk/zubYGMW5GabGXQ5vp+s4ItzV9XafCP+F
mb/Rx36vpuXZl+UzlJ3nOmOfWL38Kkt1Y4EBsAIEiNTpccHSnKcDnEmq3a8om9C1RfwMZ9u3roHW
3gx4XOFdovmSmul5SeNMicmuRK10PPhTDPbnbOOQ7QWknz+V23Lx1gKahbMti6KfrO7jjnnnSwaK
w73gbAEHGYZjL64YAD6Z7NOGyUclSkdJ6QM9ZPW0mewBSN19rePUIaJ/yCz/qir+KNNyWX0Ljbr8
BDXf9976pTv2ELp5a77Mq6OqCazDOuYAW+vqEYG9AzeSLB3HrKB+lPgcxvzKYkY6yaHBzqieP/sA
uB1Z7+jsQCwu8yfYwcdmijfrsXah2S+TzW/bCIpqGfebqVKnhsy3slkGQoCdHKgR/bFI3u0p1xQy
/4vO25IyM7NTy8hKreNXoIt0K+2bF9sZROUn1hTnY7LfVXIPgMTumFp/iBRKCEr1Kic3uIMMbp8f
J1c8LkpwaHx7D4Cwl9l0B/r021RNz2oaO3UAfdHhrd7KjOZlC4mH+W8B58/FdgiqwUepuDwGzr/U
s3i10gm6m4VduHXvNjJA3GAEQc6gftbi2hilO7G333c/fg+yPC2Mvxa+fYMXnW4rtj8ID4H5Wynl
4x0f1zsg592us7krFCkGzDM+lHh+Nbg9x93YN6LL9mbVwlH/W7PgDUFqTuZ5l37sWzHDt8udD/FY
n+oR8AfG9kls6WSyrO1yoU54nF9l5T8Tu5UDtstxquvqZz1X2Xn1mnSzK+2JZOwF6M8PkzX3W4Yy
8G31b8F53IoR3btm4XSL83MJtKhLy3oJaINNLdfnle8QHZa9hi1+hVTlFzG352bBr41Q1/VQlro9
2068PmJz2o3fbsq8nb6zgNM9PgLXtJFB4H7BjYQj0cX9Os7+BNuCb2CaAkgARkagh/Klg6GA/EFi
RF0Em/y1YVl5TTMC0V+MB7mrAC9/hHnN8UJsOu4Ltfqe+wpgAxmb9WMmVnQFjrXf6Sp3PwTQrNBt
y0xmUCdjPI1rvv8TlGaXBYz/bXvs6B/niHsDrPI9LgmwSv0bukQ+wmSkhC7ORQ6/6rEbk3hyCgvK
ffbaxMKcDXRjW5eqqwsxsG1d75ttqS9gRB/LOQdmvybcHTk6aKvLZVjE1qOsBjI81YIyDFk65lAG
qhZAeQtpArQjUrAEz0SSG1S4jzD3gzCtm3SqjCyeRFEEClw0h6nTonrYLg7nVO1UAlOneqklBSL7
ktm5oVYtfXs0X5KuHGy+/FZN9XcL+rhbuSy7Yo4LjBrHL8zxXjXWa/A++/dK1F8Tb7KvpbdnGCS5
ISfHRYf8ZUTou1uKn7zeu7Y6sr6ogRSQKL+kfc+7GcYl/bRgS+cRpDaCKce1/G1C9wz8uRNwfHss
rmo9XmueVcAKw9cgs7ua4Ucf0UNYcOqZ9tWFedV2hiHfV9DUqeNa0Ux4QStwWsjMt3UrLjaboNAv
x1dgF4+6dm8qzz+KcjkoWu33o0r5A3Lxggj5OO4HA5YA5H4v1JUX1bWAoNvTQijfQcPoMXeXEkDF
sJKAe1HOopcxpnNNYPnASp5IskuX9hnQGUyQvuXuN2IwNTktWJfvdhHmrilWRNd9W66KYf6xmDfx
cTdHvCkxJD1utv2xCaMC2jsT/F5BIPcwDJoeYWxUjtS7ypYwyWwNwGE+fYwLZg9ozeytbz34PZ/j
DAooWdQ7zOpyQ7dszL+3TkXaLC3M/yBau0Yt21OleAkIe8VDoTX7zDJR3IWG8ys6Coj5Su8zOkHz
rR5KoLLXrLbk6QgV6bft4DKju9TgtdWeQzpNmwLCDsvDxbH0XlQgoHizDwCygM5YEdZnvK87QPpj
CTPUiKKegR4C76AqT+i6CweYcwEHpfd2+uVaAU28MMXdUnjzonZj7opo65vCJnxp20z/wlvBbiNK
y/OI2qqkXEgPfxQZMt+n2GRwTLx5lQ3br/Iwy7Ut+HaDxqUcZGjzTwDOitBDBURfC7nmnZpd9Rs+
mYeAbXYeUdwuY2H9GRHnbi2CWZlnpg40tbrox3muTrpO01OWZijEUxlw6GCX1k+6sMXn6rfn8s0M
GxoLMAvmCAAQslI8xG0mV7KGddiaStwCvMpPG4JpFNVFnE/NAbJX5n66lhsKFeULnvpoG+jpopa+
q+ZRXceMZV2GG711OdvI7ZJ48UuXzGKaVCh0R0IrBxQYaPGjVK19QcqnnDJIILocIMWA9nxCMK9p
usg28Q3FnH+2ZZCDhsHD3MPwFIiQ3I6fDCau/bqo4tn8BrsaMdY3spi+cAUDzqWd8vtJ7x60bNOA
RiHlI57q7clVx3T0arZTNeRAvk5p3dkgfemg9DXlS3KPWQOchNEaewej+rZJEqbh9XaDg2cXtIeL
GdUh6WiA11H4z4Wp5zCLVC/lspT6NAY58SFj0byjsUA/R99uN4nV8p0U1Sj6aEb/bQQS8TkW0lY0
2IUcNB6iuZ9VwRFVyzF9Q0bu3wzPbTmAnAnlbZXazJ+Ibt2uqZ8gl2EBYBpo3CofgRZpEOJpdhsD
fecQ9Ik6FuOAFsCbACGPpKonVnOoBdXI3HY5LAeht+Qjqq8Jb5dS/MaFM5ERdpFjcVuOtv3UgFe3
fSKqgP+nMNBwhtWOPjsjltrqVK//ngebDZTUFoI8q3VNxTAXbVC9agEAUl8aogfhDIzrZbuBDHUJ
JnxUp9Kyji11wy4lTuoG7Q0Pp//FzrklSYprXXou/U610AUJs7Z+ANw9Lh73e7xgmRmZAsRNgAAx
mx5Aj+KfWC+vqnMqM+v8VX367Tdrq6eoSA93cCHtvda39sTn6TME2NFkTTjCpXFTPMXQcKl9BbmC
E6YUOijSvK/XYT9RzdRFrfriugxx/GWlnA9QgGV4Jn1QbfcAUU6rqejpkjWMba2BntGGH10bwKFU
QYudNoqcW/e6cVBRheZoZfFLsBssGk4yVL6honQ5M3wXchzQ2dg6Hu0qotrmssCRq2AzicZeRbNW
5VW3Qgf+JISpxdXSuXW9Go1o38bKLSs+Na3hjYQu9D7RVsxpDlSjsevUwWjJ46+09eJbHqGmSDao
hONlXK7NnSrmoElHiEVpNYCBSAPVbdBMQIu4hI2T6g+CTO2cjbk23Y4u0JDOXUymrzygsDjIRjzJ
6mJ7ypfYJ0L1sFFjvmHHmEz5pVm563f9FLsYCkLLQIM0cezvwwkFNemmxl06ytQXmBx+TQH/uDVz
eQ4Ah0SBIvuB5OZKx/P2bTIrmv6I9MRmQQ6q60CaQKpdsdZDnwUEPkcyla4ssm5p+iNfPF2P8wkZ
OaDyHqpTa1agGa3UyC5dN0ItwxoSfr94LoE8RHG+rUceuE4+yDmXQbasZXPTQ8/Qu0gDqUgbXevh
xpVMs52PGYAE6SDwHOYZ1MlxmIJYXDrT9LdyzTeWNjS8nHDMLuiw3GoeKtR8wxV1ekZBswUU2E6U
YxnCeFsClPWtAo+0kt7idlZbn4CFAjiy8Bg7cRihUNiFc8ua/SyDcIVXb5t411Zj8KXoCWHHHnAO
lI9whpzU5bb6WDdZ5MkUdSxVosKF2k7dzUEHgASkTjQDsTEFS7GCIUOaMoat1JA8ztPeL+sD0KBR
o+3y1ZPaVqruvF7qz5XYxu18kUVhHxuAD+F+igK082TUfZFUKNry5zqia3MVFmM5JTP+ygrDrHA4
o9ecjSiD5rZ5k8GpBOJBoStU4aOCQE3HyL+IQZAyJWopJJTqaohSWRfFM2pdphIbFFbfRS3dPhbr
8i1raA78ZgrK7dVUEZxTn7eKJ+M0uM+h3RqTlk0BzXBaJB9uel3P32B/VibpCvzFXR9v45qEoWTP
G20alF/S4jDtoWaYFFxWsH4lcJHsXoOukQcSz7pISaEiiQesmBvU4VWlL2pa+W+8Ae1wzoaaq13X
13Oc1H7d2ktJunZI66UHS9WKitf7OZ6KKCmbij7PfOH+YLkUfiepyD8VEHnduwCkMV70QUWHTFfC
Yh+XwxKnE8odCMZBExzRlpdtEmHNsCSe5XjfzgO59l3emKzUQSuy0Q+dS7yrwdlgM0dLDVylPlsB
Q+2xG0ZpSea5T42hFZxwj74QtV7DxDGyqx2ysiD1eFEzHXNsiwO2T5gbcCmmWoaw++Hpt5mrONx4
UWx83eezte4FHqb6lMNohK4a1vQLbeLgJTein7PY1xyNPhYHHIE+5s2+m9dB3EHxYCYlwpvi3Oaj
5MdqCYYbXvVtlZbluFF42Hyg6RQsqzjHTjuxyylGA5EtQMzGbGq1sDjjui3P6jByPsXDOxXHjuUM
SNkqzFWt8YvLZgibMjXWG/jTSq14LPpxuUFNt5Z7NjKAXmUb1MPl1G9QycK+2zrUncwUxxHyyJbk
Kpq+NN52zb61uR7TsfZMpB5Gij14Znl5KFCjTLiabfkyYf3EENeIUAdaGgBThdZrfwhzk3+OuQ62
AxioRh0Cx4d4H80Etu9WFRbU1rC2qMNc0ZXpUjYRlMJiHq5sXDKzs5UQM07AZbuZ5EzXtB5rWSUD
9wNAkx4gCjrojpQXA22mdQdqBjsHqyY+nm/dxBzkryEed1HupE8bvFbsOFTBMZVLN82H0YIVQ8dd
wxAsOohzKadNX/I1seAFnkznT7pR4LlPZTeG/qKuqAiKRPFa42FqIr9dh5Lb6sDjRbjTlkIb7DI4
saPkO9j1X/CjJzj0D3hUoaSRMQkjJgVVaGIoWNkf4NEWG2TbFBRNVT7gaZjGEFsTG/bcBX2CO2nO
vD389XsCfv3xPSUREvhriP1dgoM9Aa3fAash4yWkecMyLhtyLxVUR2YtkFTTjXvI0vm+1dxnBjci
XcSwub+5ZvHn948YFTA/GaeSsJ+uGSpesXmB959su+3DspjPJPXgJUixfv3rS/1Xb8WJjIWS4IDl
z2zutqDw7IueZSEd6mtK0JAHAOYyo426/+u3Ck8f+4evEtubAo8MMDIC3iDYj7dVl3i6Z0iuKDM8
SFsHRVFbFJgiy21AjpUbIXyZASWQx+bbQ4JPHIlI+tcfA9Dzz59CcQUpmuCwgIjw06dAtd447Bos
01NDPxsUpnO6mqBOelu3dyPase1v3vFPS1jiWqNYKgoKOpTRT8sJzXFe4pnEZXZRkXTV/BXwDckA
Ab8WA7mzGoDgX1/jn79VJjgXTLII+qGip3vw3QIemrXgdl5EBlumzVCSbgmrAQkROU9/86z86XYq
LpWIophFgjPG1Y9vxWbwboubwDGHlX0tVlVdbI6HidJQEro6Ds7++tKAs//49eHNeCQp56DdGY9/
ujTLir4SukVLoCyrdoEtAcCt0BbV33xr/+KNZMhOSzZW2Hx+vofx6nDcrB1AgYHMD2Bii+uVz3L3
15cT/vltlIK6RwWAQS4jflo8331VzgOOXzWvdm0j2L7tKnowITc4EsYqHSAdpXpQW4IP8exbne9A
crSJ4W2RSlWcOoIVBrXM9d+soNPX9sOziqb2+4/109famhwXO4tq59sC8IcBiLC5RuOxDEwqNjFd
Ga2r2zqP6d8sqD/dEOy3+FrxyLAwDNmvN+y7G9KX4AkYMzVEFtYeu9zHt74k8m/e5ecnhCts7Ioi
GoFVi8r5p+sj0CtqmGwhvHsQEoMq15sOdV6iqrzI/vor/vmC8PwpxkOcKTTCJ2c/rdiBgW5H915B
dg7hlG2RGQDtr71c/mYt/XxNWKnIV+DkkBRol4jIj0tpJKBfRuuKfbh6OlyJbq7uebQSwD1gTubf
Luu//5aBuf1tMfyW9PjS9X4oNQrSX1Mq//zxf179I1vzP04v++P/n4I0f/x0039tH6bh69fp6lP/
87/84YX4+7+//ymD88MPfwrkfB+Y+b/95Q95nE8fTdlmJRqF8sv0fboGaRXkaHB3/yKU88l9+SGR
88/X/B7LkeIXiZIezREWmsIKwGH4eyxHyl8AdKOmiSIq4C59F8tBKoeqU+6GhCFlhEd/xHLIL9jI
hSRYq7AMBA2x0/7jFvzwZSHA9PvP38dy+K8byx9PuBCKMC5wfOIjYG2G8qcnoIC9nE8nebmc2/m1
tNJ9RRikORchMkyE9uUttaw9F4q3T1YF/F2ebKVQkOrQNcW4g+4pjrpY2szE5baTPVzpDBc9fKs5
TE+Yu3zvc1q/DGExXyPMUJ9pzbdUR12Udr1jDyv6jH1RzO3l0Hb63AyePwZwD146ATGti2X1ZC3Y
U9pX85sPOfr7cYQxHjDFHs3agDkLO/a69G2ZARCq/Y4ztzyGiqOOrzks/6iZw7d25dgycaj4ZMGB
ckAFHCXV0rsCTOqiz8OWyTsDbEIjFrSNLKGgCz7LfHZ30Lp74FZbADWvhuuJWgwPEsS9ql2TiXi2
V9HmaeKgPE8JqQHE7icA5vuih1OTiCBed8q38DlreHDvFQSQDjpMCEjQNHMMYiUw/t0UC/6oBQNy
zYeZfg3ajjzgUadXOTbpfd2P0xXobXJbi2D5wr1VbxAciuM0rLFNYx4NJ1l6W9Hx5NC6FtMjxMEm
ZctErqa7t7HSn+cJnuWZmnNyS9AqQgkqI/Xayk6Bjh+GtUpxh2Gc6DE0uxWBHbsfVB3Lw+zmqMs4
d8ylumrQESmNIm5f8shA/o47ksmm6l91HZHnqOPFxwQ09SyPhTt3QTOkg2maEWya9V8WB7n7MCxD
0yelbgD8RDF6z4qAJgLGBosgXBx2R+JFfufHvIM0X4j8xoebg3rSipOF3ASjfW593/M0zhf/qZu9
ecAGp14BHW1necjj11VP/achrkKVaF/mezK38VWrldmXloXXnTbLJVIPdh8vnIArqKPrhoENg6Re
HdFwwKDnZqFf+rwC1hIhPZTkPQj9BPGGqUsCNdf0WlsFjzwCdnXToj996kYJgl1389VSmeCwKDre
AmJQlwTBo0MnmuCSo0W7jKa83BGV5+ALRJFBAqquO8eq/Ziz8kRucmB7st9V1kOSw7rYmXrbUlvL
/MJ2ZN5J0DigU/vgVQ1R5hEuee9MEe+E8mMKa4OBMBkhsDdQ/Vzv4/NW8OmKqqFLcw5omHloTpyS
8tBs4bqbTtp/gd0Inh+6aQbKe9dtzgJ6N9EFG1R8K60pPzNFAaL7ToE52cJDO6DXR78ISS8amv1K
B2iVtTRHuZbzHkUnGrVZWZvYpivPelbSQwtC6I15HVwToiHl4ouHkNnURXOkVVfBATK5O3S0LiFR
gxA24Ke8hJbQCNXClu/qIG1rR9+9plGTWlnTS70OK6j8KnwhCxm/nvDgW6W5/ipoy7+UYbjs+sUW
2Cvy9Y1Jh7+Q40ascRngNjd+j6xJswf5GJ0BO+5SX6+g07a6OVtgMqWKzLBMrAGtuM6E7JDD1Klh
uIut9eudRBIxdWQxS7J6xHo8zNpkaGT9TIUz58qX8gypt/YJdFxzxSDMXtOuC3YmrssvmgbVrWR1
9Yi177NFCkDCHSFn+QKKTDDbp2Vr492C7eZKBdtsE1NadQMcDbV9ZwmoyIkT8iEqsCL7X5VpL6Qv
4fHO71WeF+cV5DMQEgSUI0gNcOeBsOfUBuWUQiEAOdnNYImFguiVjzwENRmMCEn+KmCT3PJ9V+nm
WpClvHILVojsGDlvg1hde23s3i6K7NZV10fnC4g1geQ3cwh1gkYeFRwvxNsyhXHWU2QhYO7GUBRI
AJqu0d49QxaC5IC0IWyQ0EbsMM4SLqdvJvwzBEK3OplaIm7ZVIevTcHsx0CC4RphGlFnohMsTCa+
QcOGokuPK1JOAMYLOb3ivLNvpBgFsmDOnNDuVgbISPiTQidEDCFhojR4zivbQPkqw3sdvlGxlDcR
39i5E1AVoJ5u30pimg9Le/LoLDibSjhXZH5BUmfJq+IgGla/4qmjU1YVHRhaRjUU9dXDcQj09OaG
CT9PCJY8LQJYASDRtbid4mH+JKsyR5crTYxPF4vtBlGcaQ/npXvB25mboWibBwJZ6J6CgkhZDBxC
yC7/1K20eYTMBXB2JcMup2vwBHFyjc+Fg02SQE2TZ1u/RPtoHrqbMtfTU1H3tU+ruR0fg36cL3BU
Bw3ucz63mV59PiWcIfSKKKehR7vR9QP49AZJ1M+Pcup9eYhzHTWZhrr2LR8seBFPjEzAsk9vuW2m
g8pJfgcGQA8JCKNg73I1VdhFqvJBhtXJXkLxm0z1WF71sHYD4JtkA+q6cgi6UQSqNgy291KPQ3WI
AoowEkrc+NMAPwL7Thd8Hg0rzkyeQx5A8mrnpV0TAROLnmid4qlrZ4IyJbc6myDEu6QPaX/J5xJ8
TOun4m3Z4vmAjq4BulacQmaeIluJOrwKHm2o+lskKeyVV926h+u93K3bxg9NlbfHsS63Z2cjtxcs
WG5+LRv/fxX930ISkiim6Ib+8zL66uv0QxX9x2v+UUaHvxApIVApCCghJyft5B9lNP8lZgzFMkdT
JWIIhP9Mt+M3kJmg3SEpyhmNQjTV42/p9vCXiIToL/FSCm0N8t6/VUXLU0/1QxUdKuS8kHyFVHiq
6X9Sk9apnBeJwG4G5JaTjE0SGMpcGURC1ChdnUa1Gj7Zzi7BbvA0uo3DgnwrOkRygSgjmTjnqu+n
PSzV6TIamb5du3J9acRUfSC6l3+i87o9+oa600YFZ57wfkFl5uNrB2TFZ7yUDVj/yfo0mmV1AdNm
eqAhbZF/HbozG85l1hH0moheoSAM7Mj2qK7yLz3gra8Kcf8dy91w06xsutyKiVwEbbTe9P1ikMNB
NIpoLV9GJ+W+LFV7M9mo/BwhkQsBfJ1eQ2awaXadTGfJwQSVDDx4ojXqsrHk7ApFpr/JO4FUMY9L
gJIcMFzZDIDIqm1Op6Wuz2ctqjOUFePXhWu905RXTzjL4IrXQ/G+Ys/duSIHIICy88q1TXRfVSCP
We3HtyZfok9h3cER7nr4Zhua4/M1DqJn40u27RpadMcp7PllRcv6oYJPX8HljnqgllYfDGL05+U0
RBcBtvsLzQUOz34h7Vfk2UYAwEC7dxivgP2oRtjhPiSDvCpKucWJo8F6WzqU8TAHnLnyWoe3TrbI
y2j0fBluFruIZ9Nc+kW5D+WQPkJRU+eXiEE1hxqaAGINK0IXsafXrHT2OqJgSwLX27d23uidRCT2
qcwnBcCDINvfAAPrQ2/eMBJB3zV13XyYZa4vtrjID8DT1DdemxnB7i1GOe9MBb6obcsXGUQxQfQu
nI+Q/xHXyw05X13Mzstw4w9zgPWb6om0l0hLxOdczQ7u/jw/4EbgmGgnspyhwQ3vt0mAEUAqXnzx
YxA/gN8rYeKOtO9wQLmZpPCT7CNZtmVvK9kfuDUgOCnyQIIv6rnVbjEZZc32IFVX3SHQ7m8hK8Jc
NK1UdQJOId9BuaWA5YcAZu/SBw4ohELk20aDeGkg2e2k79tLtGvNmQ1iUFktytkE0W77gm8fzgoi
ab1LtFoHZGw4vbPwg1Gm080i4Vqai0AbfW9bJU6FjoQc7UOErTkS5M1FUyzhfkWu7CkeY3WjurbF
okHTA2S+OyFAQtzwkaBWbKv60jeSwWiUgp0pwasGBDRdM7YUxVnYFtN1Qyf1oVY0cUYTebl5zRA0
4VpeLjmWINcVY8kg4PMlksA9xRVrR4aiv9hMPeyXOZiPvUdCIqB1eJljWYcXXQi2f6v5xvdqJVWZ
Ut6L2yVQbBfFRfgRtkoC3+rwfO+3BQ8LPTllqdeVqtKJK9FcAEsacZsQiHotAMEVKVg14KrUzm+8
RuIOLlE75rBzwqkFl1+vNhk3D7Z7UxNyyU2Hz6vhkX0MUwTcFFiTe0Hha9c9dgNJk3ot1/cGFDfo
qanmzy1h45GMeaGSGld87kW5fEKl2Xzlnegf8XXrMyTrS9AKY370SP7AeilteFeA7wyxnvv2cx7Y
5VID6ztGQrJ9GOjorR1EOyVsDnsPZgVOWEIFHL503tZ8l8+cp2Vdi2M8oUBBwhTaxhSgFQd8lfVA
tVArObNAyPSAC6PldaZh8bBiakKG5EN3tcLNvJx5Jd7XSrK083x+R+wIvSxahIi+Vr7tATBZjpkZ
xosTf9Qu4TstgXYvKUqxPnhE9MjO6MIt6hkll/VsQJFWXYNmQW2rOnQ+mWSy3nYK6KTN9Ai9ZBoD
pFqdKQDa1bDA7zAlor0c+9WWGdbIeD+rKLy1IIhR0+dV/NS2K8B1u5bodgNQGSv2la54GpewDAG2
18MOBXN1tdixi/EcTNiHulZVt/nAg69s2FAilTP8v6wwFo9Pr8lwizYKYxyGUBxgxVIE+vvcwZXW
L6hb1Z0sy6bDZeU4darR5mgaCcAhPHOenAhtthzFaBQy73zSN7kcwKvCujxX/VDfhOBqt8yHcrzk
uTSZcENz7x1jh3pb5A4Z1GiXbzAg+WYQga7QkeuCgrUQ4CMuAhTaCbIH66FEt3oOwE6dm6gCrxRU
Y7d38MXxQo2oJFKRNoOME13Awwwy6EXLkc4cgOGAtPZaTOYmHuv5EAn0duOUY88IexbssXnKC62B
sxZtOZ4BOzMHW/b2rAvrPrxvayllEve+M8kwNcBLW07jY7v4NjiYeh01wrNjhbglEjXg/CH1icQS
4tB59Ho8gh7o+52KMS4CCWpW32gUzG/t4sYt6UdFV9DNY/2gWFffTigB8HwtBM/o0jLr94EpwhfB
aLEAPbGyPViPyGuCL6I9dNIo6Faj+Yxb2MZZXZYOe6yHHSwaTBlJYuu3DNgIlm1ej911HisQL3M8
CvT/tavuhnLFzu0M+lw8j1t7JowlZ20TIyvR5/g+x3ydX5aN1cjZV1ac0MS+mQ/5REKTIe6NYydA
IjMhukaZAdM8BVG0nEdbFLpdSGZ+PzuMsEgiPcojNLshxHAE61/gKoRNajChAvTUELMOFLPULkNg
3V2beuluKxCKEd6/B1ITN3mvd3DtT6xgP+Eg8S6/baHmxalZJ8xXscHSqxRzBdxxiur4FS2D+axL
XHNYFNu3kwmIrX5CFJb75TBiTsX9xnsbpDIAOpbobi0u9WYQ4/33y/3/anL4b0U5Q+X7nxfyCER+
+vIf/+t7Ff2Pl/1Ry8co1amCjM1hhZ4K9j9q+Qgl/MkbFhg6RWJ0Db9PqpK/EMEVi6MwBBvBowg6
9e+1PP8lOsnYsOdQ/1D4q+LfquVPCv+PtTzaDBFRgp5BCvyHXuN7Kw5BnwBNYeWyIqTzK9Ky8RGk
B3kWCEjH2cRRIGImCdSSeQORlNsuv8bJAuC5/vVs3TQWeYJZSoylQztjx2nz6K6Mp0esSJjMIjCo
PR0Uo3PnWsghkWzsYZVMTUkXquaLFOF4nGqG6EDTzcUBYU9CUtsCussEHXR8LMuyfsMQnt4eplKx
8NCHQwRqs/H5i90i8TrjmWRZMHmGSHqMbjqd51btTCSa17JbigshJTJpY7Pqcj/JKhdJHhBa7Eqo
zA0Mau+vQ593O4i+wWe9od9OOw5J9QyHob4ecOMOXeTUsYgb4H+208We9VsBxRI0KLLnIIqQ1BZt
jVvA4uO4eOTB7bgvFj2kolkxDAK+ot11kIzvTWjmm62PaTqX3WDTKYdOx8QaIW6LMKBPYPX2n0g0
461Aqob7MYxsl06rzC89hYa9QIAYEdxZ56PiQBSrctTnqhP20yhg1cb9MH9dELR/7OnKr8Jyy29B
yNoj74xYd1BsSNIFmwFaDR1g306Tv2oW5DMNAppnqPokDkMXXDQAqHZbsU4Y5SKj+aKVHg1APdgc
xCEC13XSbIF79KYvFowp8ssrQmf0eo4b5w5m6ukeHtGIoQpzPVVnLqRFhVFEvfgG3h2BjbAKNRKS
ENWwEYphvBoClzcZOkdUywgwoRoGtogJPVsVH1VVTCcAX4QvOWDxtK+1vnZb1x1MNNDztgza9zVa
l92G2iDDoAiegbJyj90qw9scSt1wFgUYKZBaZ22WT5bMiQ/BRCDyW4FppcKjt7JBPjwXXYGQtKAc
M8GYbz7pmZojafnyhik+00NJNnORg7j8TNoJEPfIpnKEYGn0zWxH8zEB1EeyRU+vcLHVU1c36q5Q
pd5x5CmglK4KxQZpwLQlUy7y24jCXdhtrg/izG+W36x0a1N0Fd3TTGoLjr5FQrXY2mnfQB89ryEk
X6K5wJO0jFH40a74TdBKeVdrgpAIwv9DEk+OvHV+0BeeaHvEIYog68a2+Q74ks34ElUQqLFpTUCc
2/olCAt30ax5V2TOOG3w/dbVFeRTehWgoMxypDTPECyb71pApqhE4Loifdu7yidzM8gcgYBm+Ea6
cvumtbVVUuebP+0T+XUpWn8gZWmOBSbA7F2UB88z8sHXqLvcVUQ2vSXBJPCdNgG8LhWj9mvGVUAh
k779Jt1cP7WkiO7lZhBc8lDG0yKeQVH2ZPKQcguPnBII3+msdnO7m9swfMFZCeVQeQUVdigQRE8I
xSyhrQv0JUbuVJfSL0gqhJFvv8R61s/4phEM24K6fgKIUMC1iyfYb8Z2/syOaA56jM65oC142IN0
mAsHo+TXyDG21lRAz4QVOLQfNQdJmGDkhu6T2gTFIR8oxpBRKV4pZEXEAMWCJxiGkOnQTDTdTvcY
zRXzgqA1sa55JGDOy2QZZHVJINQ/bwbnxkFUTiKoULur2nh9XmOcHj69hCupsX3vJOZqPcOAXC5q
TuYqM2sZfBYN2lVIyU2xc+MA8iYOtg+FfihhQysw4afT9mqFIkyzEe/x0ICDirIZOz4GEsSSn7eF
WLH7IAEfJStaaIswgbAPtW3NvfCeoX1zbREnlQFjn4AJLl+UK/oXhNwxXgMNXIlkeNg9lq4IHqey
MFWGpHy3JS0GrqHiBsBfJ3CLa6zF0hbYKTDKcEujSW97T/mK7KTFkCYdku26kiE5yALq/g5KqAMz
HaBU3eZaoR0IiSLJPDTmVi7zKR5L7S2gR4ukL1YA1lTQ9niaQENCEu+rZ0ZNhG+0JuN1O26IszQB
Md/WskfiI45q2H523iN1ZC5z3mDTqIkzt4u0XYLhY1ECTLG4YKjaMddwm3aUDsVtjDlq2YS++aKp
ty5bNGldhjhPfde7SLfZOOYRjswBFZww5XIt6wCDCxejMZJHs3VcEoDZ5LZEtA3jThbXP3LsLw9z
XAUfo7AVsHtr5P0kkMZJnfvVvkRaZF4X/YiBHeIs35q+34czj8Atm+q1mucZHt9q+MHVo4ZuTipU
/Hhk0Q+sLP+6kKE+wlVi33QUl5hbBBX+2hdT+O4mTa+xDW1XmKWIYXFwtxEoxjCZ69hIbK+8YdF7
0EfTO7bX4ECDoduj0Y5Pw/Wa8D1H1uxoprW5LrDAHyu9kAs2ckzlmfl8WFqVI/Wp4vMZQ23eyw0y
N/JHNNKZIU5gvsjcfhiMMMM/KkNo2Wv4OkRYE+kI5wfTKZk6RpKj7hewJ2EvBRe0as1DvEbsbQyH
GCZE3Yw8BXVLo3QCKP4tL3OHWR0lDMgBc+MeRiqhD+GfnQF2jfddHa3YTZZ5uTQCWhQiMsU9AWB/
phoO86+H2Q3+P6y6K4f4/pg54JlAYUHd35YbR9DGjlDky4UXNmGq5lfB5OwBA7R6+f+An/zXrKRP
COt/Xkkf3Key/Y///a9kcbzu74e+SoAiPARCwhnIPAiNqGJ/L6X5LyDMGORqxUNGFKay/rOUDn8J
I4CmMcgTTgVmtP5bsjggkh9L6Qg1NMgq1Aao3IGxyp9k8XmCao9pfAQAOlJi/xi0iUE/9tIEOYZ7
1B7jXWD+IIPAFoSvbRyX12UVte8eKYA1hWIZ8CTElCWKKs8Fd8Gk9b6aGHufhdF1hpGU23S/bnPY
JfXiNmS1+gCyUVApdtaPg78+JefbLOwkocBDOHI+1Uhw4o/1s5y2NpuQmph3kOfF4bfxnfMgthdE
o/Nr6pf8Cb6Yef9tmKcznkrMigoUNmhQ3vXeYVzF6xop+YI5ddNjgIGBzzHF9IkET7m7rAbLvmzN
/2HvzJLjxrbuPBWH36FA3zz+iUS2TPaNyBcEJVLomwMctHPyKDwxf0ipqiTWvVVRDocjrsPPVVQy
mUhgn73W+hZEK6OPyXNj2a5OlpF7ZBpdfuOwdzikhm566+pxyeLBBfBHPEUtnr5DQYGZXU9NrqxS
F4qjU2jZRl0IoVOaklpNEI73WSryQ1JJbyEkFAkbA6f8wrc+IbeiOQseVVx67VwcAd4wfP5bfGib
YydkJ29q74Yj6msrVbPLn2miusJDaq03PdYDr9Tmw9hl+m2ococzyqG9zO08v2TLkTwS+CA3mXMG
egarGd3oRjm/WxFEXv87ejSae8L6UGLN+EgYhfM7gMQwRTywpp3kuZNt1ZCjzToCZxv7EfZkeJFh
T7hfNDm25NKZSejqWn6beXP3ouZYl/mgs03adnIfDcx4UuH5tJlHjRFaDwHhVR1Mg1LJqj2zevw2
Th0ElLJyAvwb9qZhk/xA4tzmF5JOMJAFYmNHPvY1IvFyNRnMHwpputKHlQNFq3JrYi6kQmeykcnc
PBGQD9eOVnXfpjYFe6EMcf40JpN6FOpIDs0DB7IhtWkvKXUVihz3ZGBKrEU0zcveR3eyNyPLrDuS
J/16lARLfNUO3ZtOt7IAG427ncNqfI5h4imrKVTnwADSt5ngDElcAi1/3DEEdFkWTI3p7MCJSCCL
mGJSnku5/E+x7LqXdlbMbcI3dwsfyfo2R83MsYxTluf2xb3pxhZoHllJJvnJbI5DT8yJfFJbftOh
Ie/UVmU540Ko2DaNnPdu48X4dWrevNKVS7inaevNTGZwa8GFbVaVYYgLuyWeQBA0O0ZAIkAM6I26
VUs7w9JuhMsPhcqDSJrkS2XgJOboqFQpcVTXPvaFzB/dfoy3IwGRp9wo8tveHvONsxgqVnGk1myb
MifxRepGazvOk3vRFHkLeBBqjQ8xXAMqJevFObQIQrUYQs6xRHXGqrP3XoiDyI4t/UVh1Nmk4GRa
koqQCrx51vlOqqP2YCoSvqdSE8BWI2sPfRKlS3eVJ8xeYe57btlvLFkUNxWEzBddM6anhlzBRR2n
DpgICZhqxcUd+90g45dYzkwejVf1azEwtK/TwSDuG+aQUPJm1P1mSJudzt7/3sxs78Kw2QjAfUhu
MHkBs+OigeNTgW77UoC42Xa1EX7RdKEGs2nVW3h9+slJ0VaCUTCpy7Qdnkf00CU9YWqH2tXaIygm
rpgsdvXbCXfKqarx2a7ibk4/hypb9dVIQvQydmPlje9NFEz8EvtFqTHWVsu41+PK2s1kED+jsmTP
Tg8emTkx6n19cpfbTusi4cTpG2CXSIHUonUPZtdzW4rkQmlUh5EBU46vVpfaJxna882Y5nO6CpvR
uLSkN+6MXDEvBgy1z5NXlke+kPqTC1voBGZKe5ee0+6T0M0uWjfU9nDHYwY7FdaW29naGnNdeAqd
Ba1lhI7vanX/WPek7XxRVemV2yXzlhV3dxdGoX2oRltsOKha9+3UDwYi4mjvNTzI30KgN59TLZ21
oB/ZpJK7B/5MxtjixOgpnDCLxc3Fg0g1APWM4SNz7UkIwzfSlhFO0YdtnqWuLnZI2wAle6VLWRPn
7sF2B4eEftmV12EZmrdV5Xn3REEz31Q7nmHxjLNOJxm2Zd4enzxDIGcYsrj1zDb8yu0lPKSe2iC+
2vIo0BkfmZsrEcS27L5iYyPw5+S53BphG38G4xw+d7M+BRmRszWke0xhwDCBDGvVC54XlNNGDtcK
H99asfrhUpCUfjLqRN1yYw131dSBasgt/DyKkssV/5XrK1Olr5H2OHQQpe7zYpzuZ0/ELzP/VjCC
m1JXDcabOmIF4wIhftWGyROrOYd2veqnAlrc2CT7zARPWVR2AZ27ZDXQhc5F2WUJQbwBZqBwqwNU
O9KVIp/u09Q1d7NQomu7nKor6Nwctlo33ejSyIAVeWQlZRF/y0u72fatjokIvtPWZPeor/TGBp6t
DfrB1ab4Oi66fjN4qAXRGNpYAKP5qLiW+GITTd02ThSvh86bb2Oo/r4wZHk7Qgvf2J3hHQxUqVNb
uNE2VatogkJBSoUTvhlEsepssGr2B+LY3W2a6dVGJ0AUYDxFqpJVrwqeICn4WqW2BlBhlWEzmNis
2bRI0QAsD/Y2isr2NrK4oa7sxKw5BANj2hS2Mr7IJPRgkRSKBDvoYFybrIIFBKSghDS0mqY24d6G
+LfWsT3X3XQ74yhel0Pv7JQin1aaEUfQ2bQYlFrrPbYpFPioz/pVDPR7Nc2zByt8hOmQI88rfaRs
nZl3SbJwSk9m29pBTOqQB7anbE3ViA7jKMROaxuIUURK9y54ZfYCLf4ypUTwg7A2oj1bpU9k1wsK
xXauuYEt8CtnWItmTgAFKQiMecK753GOPTQnY0azwY3biMhn9qixTGoVOVtMjUaZqWt10IatwBm5
kcC/1w76/0YH6sayxWq2hB01XzSt2GDNYEsTzIYhh+qYZk61r3nXJ/hW7cZQIGPrIjf3du+Fl1Go
RiwC9fLK7PE+gCpPdxE0wp02S2f3nWzPnjDeGt2sksyHNJ9aTKq9Bn5ixFK+xzIZr+2wKEZf4bAV
oWHM3rCOPCiPvyDwhTDtN9GE8rHgFL3mmDy7aFwLEd+q4fEG0TyireiGYj+Ds6uexowN4To3y6gE
/zdbF2Yx5Q+5bStvfa20Bup9wp5FiSptPyl1djOAlUl2eFFCN8jzqXzvpq7iebTYJXAy1/VDNDvY
58bYbm7JoyvXTKRcjglfym9mHLn72YicW6S9/sugZvrTLMN22wsYJmAHw4qvft5v0KtZfbStUT5w
kekPjqNUu8FItDtP9SDZfafyp9AcXpvMxIPQs228aXHQKviM6XHISZQWfix7cVuaYwp8pkasGirv
zEVQ2aUk9uxpzF+DZaxYV6P9LDx/8g2SQOs8ly+lk84PWBPTaY1J1Dhi7F9yYwvk/3wM+/9Orf/+
Q6khl/Lvj6V3r6V8Ld/em38h8fCDv0k8+ifOnCZuKNNZ+kb0XyQe8i9o85pqmh7yDzrOj3Op+0lb
fBjYaDx0IYNo9e/nUlIUKgdTD0XbQblwyBT+g9ADFvlfz6WoG0t0zLJdDqWkMpbf72eJp8OBj1hR
zDhenXzPaiquYb3YEZYhNopVz6Vj1Krb7VAm3JuhybLjfF5DqstG0j0vJ1nwQvVQQB7kvQ0qXxj1
VPsxR4Zhky/7TWXZdMJK5CGG17GGl2GpMKuIp28GkkwcaE2hqYEh3PyknfeoMuzTw1Rame91shh2
EWSt17ZI02SHHJ496OedLITO6NFCyP2aKmr3BibSPU3LHtdlLgvEebmrW5JqA6oE8OA2mVs88pgr
A6ggQEfO6+GcsAYGrfPa2Kw6l8OD2bmnatkru8uGeV52zToBYdLjHNJfYydtWfcyHIyxQj9AX0lm
F+E0KNkLHs4W810jBmsHu53N9rLjJpsNcRXcCutvUr32O0kT+z13DYFwHmLAX3VpNSKVJB1m+nDQ
0faHgYSJ4pkEzvvuelYUxlU7dN45lkJSDJfd/OTWACas88reXbb36rLHjyL866tJaHR+OKFMnwm7
ZzxqnUy9qmK3v3PSTm7GRSFgkSC/ys6qTuUiIGg5/8FLbVQFAm0QMBepwR1BdEiWp6fprERYZ1XC
YsN11XojgJF+VF9F2/NsBh7IrTcfqygAUO6ClB/dB5pg5GfypDx8LE28aKZ0b1w+ytZXQwWVRFkE
E6SdjKd+rPbgMJTi0ivi8tU8Ky1y7McXm/PKDcF/C3OE431pRQIesMI2jVe63HHmF4hZxQTJHha8
54Jwmga1u8mNtDsQF45Onozy6znH27GytdJ5q3Io3LiavZXBW913ALO44YabZMw77th5cuTRMe+q
pnWpL4qzIyqdAgsuqdHPq/k0c/j5zNkr3WVd020xB4ZXRjoKfqFUflNLL9saaa0A7GrrkwgxaUWq
wjG6r8STJYD84J/KenM9wRrYTVMN1p65VO7MxlDWJXM1Q2BhwGVpiSmDpTU4tKVaVWZrgLEQkACg
c9Bv7Uq/Meu0Mzlk28MbXpT4JWJHdEiLOfuCgBbG2KFaUJnzYhyqR1j1ODBS/UTfgviKBzjj+MVm
YGF7d8xAWE9wYQ91BvJN2E5S+bkzMyUlts7fqungR7NOtwlaxJZ5ocahNvhl59kvgjuWXIVdNaV7
+IretVGJ+kWzwuHE/iK80aeq/0yWPipWZH0z3Q9VCoFWDnQivjx8x1c9RUtbkXXmE/v4noYSzrOf
OwMRZxVh3IFT7OnZvAIHI46j0+MWTJvQMVd2VeboRHExX45ofwt7VYmv66qI7hNNzVGsmjR3l0yO
+i0xqgx6ulDmdwNr3oWwxlKDBGw2mAvb/F7iX3usHSDeAYA454qBLn2YmYAfKqvB8NJwPEZcqrPH
0olHccizvH9q4VdUaz0qrdeyl+VTavfFM9ZAmKoJp3/SO3ZMuQYO8wH6lmYo+xyMTnOwekvAqKtZ
9Vxi0U76NTQv1PbZKyf8flEY8+VWk+FJejOSZ+YO+h1QdAQBPiMr8p1uBtQJ86lxVxIj11GjkwkE
v6NuUjWeXN/qzEL1M8DS34rU8hSoVKn7ZHOf3JiMkmDo8RwxVpWNJoBDlC3mto6kAEasRYtpz7pM
vEg0sWsqDxD08KljQzeORlV2D/ybqOxpRQqjNeOu8dPJlV+icp6vCX8vwN8h8RY4KiKRkTudvRGx
qsMSRkJCFSQ0sbbZSN4kZNztNf6f+Goc8+RbMlTfzLQcKIOhXyJUchVEEFIVMx6qFQsQ5UusDEO6
HtJu3BGuSj7rHf/kPx9v/kP36YQk//3g8l/Nx6jm93FH56d+26Z7n8gAExBTbff7zvwPY4r+aQFQ
YDKxWI8DaP19aHE+McgsRnLL1HXDRiH+fWixP5En5kBn664JacDFFP4PhhbdYfz5xZeCSx3+BaA3
m30+LvKPy/RlYT8NYGA1k66WwJxjJEms0hWjBf0vrXLJgY3CoH1RqiOMSLOj8Mccag78RsXDrHJm
yIu9iuZu1iN3/ryynuvaK07liFukMuJpNyRCv8WDG/ucZXXfgHG2wuA1AnGkxCJHHDp6tWG81Zle
fFOUoT2ElQtaTrY0grhsrlqWSX6qV8NSr9SEHGHm1FjsEuqb5PTG5tYSb3Nb5pdJH5r7GUc5i3ty
Sw/c5sRrKaBBs7WJTrAGCHaaYfelVZLBH3lOrHnH05YdPD7fSQzYzDOnzHedIeIdUZGWhaaOB1Oi
sWm9XV/FsRddJDQY+TNRVEqhpuy9ZJq4Gnsbk+iUl+HlGEXJ2gHmt8OJHF2wIGoPSHfqxssEK8UM
SbjgYSnn68mU5WVVWc46S7XbpvBuGkv27R5fRnjTWhguzu9jo9tQ1bjb9xk4fm4LV9NYIt2PybDP
WuHteu6zbyicHMTVXLuZdVb/K4N87etsTcYb2ZgBMK3Eh5kSoz2gNqSvk1NFFutKIS6YxYpjOnhz
uU2A6jwLHDePBbZYmEyiiZxoNVZmwcA12FG6js5Wk+UmZ6xCOTT4TZzK3naLL8UAf/dZjBpSKKz0
7t6bBBaWsbU83ApKmTpYvvMWnvWMd7WIQi2QSa4c3KxyYNTgjNGruN9bTWZsKo2IADRePd33ajop
WKc6ErOE672nRB2Lo9Q780YWGYfPQaO8jcYKfXzXUlZJJAKGQm5odbKMgIQC+J86Fsoh1pvmWoEK
07KlbIRFCodLcuHXo2ecp7oJqT0Gz/4SV2OxZ7wgNBBO9kFEZrgWfGcvAZLBm5vJpoKqNJ+k1sMw
ytQiUHlkbT1PGBtV6DlZszjpA1cO8c2cl9aFNhf9KR1IZcITNIOcW/zJGz3rfWxI6q44bE47clzG
dYize5sZjbHj8DzSQFHqmwj21Lax6CeaEboDSfrYN7FnbpNR5UBrTJPYOAkbDgBAM5QTRk1IDg3l
QpoHJ4jPA2hTbBPcTPlWZbohbzL2OmtdoxxiMk3n0GMA37iOmb5a+tRb+JfT4dKrBpY+sVtj2rSL
5FkKs76LAQGAltZbsS0yoksNWZMdx5D5olWL9tZloCNx64Rbd+zSTaZbmIlZ0rabia3+V3vIHKw0
pb7NvZL2ITVZgnqxqdI/aGXyMaXO7NKox27LeN/RQ0h1j6FN0YYYcnVgxS5om2koj+JiyvY9n/6F
QHMPGqXFYtTHhrdu3ZbFVofpZttXGbIIPCnrgkmUV0v1aI1hszxENZ7yggXDLUAl7boSVEhZsgHM
bLCI0UGAfnG6rLljf16tq9yRNwZn0ruksIZX/obmIRQJtzQWmAlh7NDetGNfXNEK1D21tWf5Xtmm
N9lid7Xm2iTN3HvafVnzGM+Hsbso9JoPtIyVL0oM14kt20hkrIhcbdeKSe5bItufjdTBVMOsryfb
eVKqLEgGRxm/8yr+0fbhP+3xvJzmefr91dMZ/O7//B/96y9bhd9/7LelgrGgFMhA8sDlSXyGIvzm
G7U/aSjWLBRMHrYQfTjv/1gqaOonF7oHj01Whcvj+6fHMzI3dicWCpbFXs77R/2mGqL5r09ndHTM
rAu8xcV4bTJX/LxS+ANIExsUSkVxrfmWJaoDx1a5HmnO9DUrsrdekXT0CKBuKHAhf3BrrLyhZgNc
msZdZu6Dn/6U199TaP/tp+rVBSzyczbNsTVmFssi/w3Axl6aYX/+zYz/s2gey1pez1UX1IlG5yyf
xq+vNxedhYMyzANrUIgIzAEe/++uj1+YIz+/JVY1/+JNMXPxAioAINXDFPHzm6oJxpB+L00exnO2
z7rK3rthrb5GWslaOuuGTlU2Drt/d2dOinyvz2eYqpvFTmEYeCCSlD1Qouhc9Zyt24B8sf7sLoch
l3AYj/blhJQWfXvhLccmWKM4/K1RdWh08AYjSM9nLG+aont1OXhhi+UMluqkLdatKRLDz2RsshWd
C3EfTzXB63hg6YPfysxuytLNkrXJdPWVKtn02hKh8jkq4q7ymWjcbBU3YXxfs8bQUWqSTKy441jw
iNmyr71RowzETWueqLhfMY7iq+S5IsJpgcd5clhxOpcat+sJqbcnOkb1kGNExXK66l8SfLncvlRF
PmvF2H1rK7CJ5NfizeQmwKHByhTXBrIoNS5lgkt4KqIru46Me6z38rl2SnFIMQYEsurydUfX160g
sPLZwx97TbRJI4yM5KsnYHbha5jP0tCM+5Ek3z4b8mLPSWnsVyU8kluNQeTSIRONR1fRslVhxsMc
mHgRizXfKIqASH12b6RZmGimirPkGpEkf511HZtyXDVILz3jRDCQaXmu3YIKC3JD7UnvPcp/MZzS
p5Na5p3amfDbJ0Q2mab5s0X90cFix/La1uB+LXznV7AVpj02U3opdOnAOO1YA4xGS6tKlwzlqRNj
SHSZviisY7XgLw5SUIEsGhX6G9mq9KJKuyYmlUD3COKOUd54U1s/siznvGvIqoAtLyPSSLlQume8
w+5WHVymGY0gor7mbKveheQtrhShAXkd3UgMa1XxiuZa1crkDTXfoDKAU/W7vbSvhZjt+hWau+o3
CVwvpuE6PxQlZ1RnqWEyvSVZqXeayQYk6m8pmxQH5usREnDqnsAJgvU1Zf2VbtL5wZy9+utgeepD
XIv4Vld7Ki5MZ5SntNElIkLtdBcKJnQ4s2Z3NqWn7EpS69Z2W4jng0Q78ykow+UdwXy+dsaxglaN
Yo2IWNZ0ABd0bg2KLIMIK8TeXjq3Jqtv388tWy51cwRkZC0cNDR6tSRdPoiDGoB5fbC2504tCsls
0jCJfUqjkZJCA8tQhcslaFx4kedSLLZ8rcSHSPMVrtVmXU1j7luTGT30SttA0v6tuMqbVQrG9N9K
q7J5sPyMu0DgZmn+RfcK4ddu5hyBQbjHbimbGoXVXIepTd3j0jGVIjbfnZulWMOiV5zrowYkJvo5
ACX4WS85CAC0oJmsijUYqpp5mpeKJ3YVFFQ3YUmSDntLaYbhbhpVYzMMDkyopcQpmopu9KWR0g/U
4tw91zYpc2geR6ZlZ+tRrXfSh7G4nd0e872M87vMyuJ7igbbWyogsFUuJUsyckkBRp1zmQm87fh3
f5Qn4cBg2OIcyC7XtCkWcvEcZpep3YZsWqYMcqqqFuKrLsUcrqxI9sSH8JueOi8vTkiX1npEeTyA
zWm9bcdnTZ1Sx+1DdgXNSmh+ID6JKeRan3/DWbJki/os3Srp0AU9BuHCp5I6+mqWSfkZG0KyN9jL
knjuqZyUiXmTEPq+VuxJHkOhGxeJzL2DHdOtQ20YK7QwsmDSh42zpqt4fE5Gbvud3Xl8jwC6+ANc
z8cSLutLGEfdIWzr4X1uai1wZ1vdt3at83Wt08tCrcxd21rq1ohzQpzk0/i+OG0h8pVJQPqLAZH7
Dt89qqjFEfmyQ10PrGm2SWsUkwlpog+br5MZQuEfK5CQhuR+vqCC4z7FRINJhT5PbWjBGrglefDB
SdTLKOvsk9Cl9rWRYUxznj4dLdVKgiQ0yueKCXPtAr/+ik0hPA4tPq8dJ6qO8840ZZ9jQ8MmFnl5
/W7TI3JFDjwlv9gQo5q1LENElrkM2qKoi3XSze23cJA0wUYmXb9W5Yx+5BldEDYLt7KKomNE6+t1
nqTqjaY0Q7zGG9CcmjhzrkY03wssLxRGJexQ20jvdRwL47w32jQ+pC2rzxUJWoq5PRJmqzwRPDGa
qOeRA8KXOrRxLi7LphA3uVKn266cI8BxXh+W63FK6msItGREQm280KPG3RVTR2xswlDrl0DNT6Wp
Kbeai6W8Jo1z33sUToHaDZ8GUD6Y6Cn0WtUJ8WC/TwvvijhddVOXAJE10nO3WOu9ezHQiDw2ZQSE
GuTGXs8dXD1DaxaVT1gmPmLA5TFhDKGyqeiQ52+c5/YjeiLitUzN9t2rPQph42ofNzq/bQvDOfbt
SC8uWwOWNqAJ7S2pELTY2BZKwKeu3Jk8xmHDqGCXidnUHZR1kEEUQSa2AJpVVOE1f1uAI1wO9zhi
pptahcg9lCK+JDyrHpFq2q+60z2EKZfZhis9O9pJB494QGS/JeRWcETu+veclvBAo+SP7XzbUr7a
ZPdNVuXf2jZGfgF7Zj54ZBDsbTmUwwUQ+PQ+bsf5YFKQqm5qjafKPqwN74oNdfla8TjTVlNaY+0i
nXoZ1X25abROPjjx418Ppvqysfo4mf48xH1gjwE2ViaAikWAb3uN3a29fHHJjQZ0jB7Zu48+jJq1
n60dWuyPh2ST+n/9C/x5aHfovmRH57qMXn+eIh0qzElotUXQrGknXoNvONxHp97X/Odq4z3/3di6
yIp/vF/yZKwVSb05PEVVhzPHB9kxqSIZKQOQTO5yIBDEynIvBXD7v35Xv+4Jf7yKTSiB4w6AuI/Y
WPA+uMPGjjrhrHqjbXfdKPUmr5z7QiYHrry/mcV/ncSXl4PEiWqrsjhlb/rx4CNhByy+2TwQzudx
+hyCwcUTt/a03V+/rQ8f1o8XAvVhepyyNE9f3vdPRMiYvkA1VmQRtIGWb5IdKw2foNLXovDVdeMr
67+7PD5cn7+9Il5pVq6caNQPr5j27dDxZc6DlL2TEuDr4TUo/5DrUNuqARVia8fnwTsG1TreOH4X
nsyNuqOK+a/f+q9nyz//Hh++J8LGQJt6/B6AEQBuULO64jnxN8dE7V9+kOBUYUeCK7Q/MkwaNlG5
HfFtlGtto62TINsREL52gmqvBRinsG/v//p9ab/eAH68MdvlSjXxm4Nk+fUjRWiWleYURWBu5b6o
/XTjrtu1svUewy+sZf/mStVYA3z4/rE1VnUW+CzrOfF/eDmKQsAMAlYLGKyjXbkJ19jYqhVL1TWn
ieDv0LEfbAbf397Pr7d8rj9dsbbdEXc0eb02wAx3D/5/W/n75Jiv8bn5SF6BfYy5dgArkOn/m9vA
snD49Wbz65v9cLNxoRDO5gQh1+5qkibyFUbsUm9q3LU44Va0V560pqVIryyMv3npf3G94u/g0MT5
HFHEXT6Hn943yj5lkNDcglkI4eujx+xh5P/8SwHlw2XVYgAGwn3664v8b4J5//RWvAVD67DaAStD
7ni5gn96K3+Nof1Ha73/NyGqP1Q27lj/XpvzX9vX8rV5/7OnaFHT/lDnXJZXrmm7UEot52eSqgEd
ytB52pEdZ8+n8VX4sf6zP3HX1giTq5RaLjEULsXfY+M0jLMChCvFj6HT/yN5Dqnvl+8bCXTuK1wm
XC34lKCzfvi+JZ1rt/VsNevRrPF46mccSdoum+7FT/1MealJyTzkElzKC3bSLL9EZ7AJyA/tJqEO
wVi7C/kkUaR6nKkQ2Qx6Lu4Ti22+QvFbtMpSsCksSQpI0LKlnVGdzMdCAxK/IuE4vqQpJOsVcr4C
/Ze2lGfFoMJDbzx5JPXdvLlw7Yi8RR0gDtUWTmDQuyk4YONBptsrlSH+0z7MfEUz+2ePNcQhOpNh
YrjAz1nTo7zbpZXrByFs5tvQ0LvY1/RSPmQF54UAH6xF7edQiA3xZkkoNDUDThfWtVrHlgOcQ+pE
NPt0vioMgDiHmeH56EmRn0iD5JfFRPAsmboeZzdO001p4/BYydhIBcAcmjfhszZbq26aGTpp02CX
0nQSasxVXfqMA4iSTrWuQmBMpoZdla2fQe3oaG9oi4CYBGr2xTTy/oVIEalpoVHcsFYQs9K1M1LC
sadDduIAmtbaVRbpsLdJxVcP1sxCkMSG1ZWB4Lz5uec0Vh0VozTeJeDZO7uozfuh8RzImITRxQpp
WD+qlohoFMwa3XqlpSW+5e2IN/OsFMhFNMhGW+7hkWo7QhxoCnhu0BdoAKM1ojPVjUKx6kW1CBEU
LGj39lmdyOJODTQaRk8xnboBF5N+rY2hzqmvco5NkSRbyZHRx9dOL+NclAX4R5QQdufWXb2oI8Wi
k8DtFHfGop2Yph1tyY8YB+IK+deRyNZ1uagtGIlHKNIoMAspYG0uqoxY9BmiOCOBz6w7OCKNHllQ
VIg4i55DewoXf7OoPPMcCgrtWM+ORBM5AC16kNuxE69Np/TNRJc7q63xh+qNyzJRelcWDLW7ZNGX
sixbpKbRtal5SAj+k+8d8IigSuHWQ63NhvGtzat0YyzylTqT+JeLpKVF5gSrD5lLH+Zu0y/Sl8ZW
BhVsEcTCEMpKlCwqmTVQOZMu0pl9VtFaKdJXjtbDdoxjZW8sctuMRzxQIODexBX1H95Zl3PFLFZ2
bvcBtVXuoSnpbMYrCwixT4zp5C7anrmofFOfIvhZi/bXLiogXlrqOajJ2yRlqwE3Q6GleADxsKYb
BNu8cd1gvd1NZ5XRXQTHYpEeS6c3g2yRI2NMiSd1kSib1B6PHXwDfyxzdcQVlA1B5qrTttcFRyaT
sVgJ6ckhWhJuIdw4azkOSwt63ZycIc23VSLsw0S6PUgW/ZSO6fylXDTVEDrwUdE7/bY8S64onbWF
Wkk82Jfkha5lGisH7SzVNh23raBqS1q0VVAPcTAQOPtGZIqVpojtuNt2Z9k3rm3zJhoALXOzHl6T
s0AsTLa8AGOs6VGmYjL9csEwSBb+KxalPZGiUWQ3xpjg4dNBNwCXWiAOMKobC7CDsyAe+Pby0XdV
R8Iqci6iMkTxHBcsBCjoEFoWGGL014wKUKpk1nWst+9g1TLi+mRGWAiq+MzbBTkRYc3cYWKjn94u
3Qnmq1PcRHixbvFoUnoq28x50+C2+3VtqQcuqup66Li/15Wd0aZFZolCizMGo+LiZ+galQrLT+5e
CEcZggpowQ31sqq5i89Ijf5M11AJLBHK1i2cyypmtFF0lMHWehZZQVV1+IziBdmR0SD+eVgwHpz/
G3jKdUgI12kYW9bNAv2Yz/iPMwnEKaNcbIHL6pd64S3KJzAjUM/LPm5QQ/cCLCZvMOIO+jTIJmug
CFfxtj1DR+iWbi9KzS2+Sp2a35UhBYXaPDPYl5R6vICwS7fzNfhZK3VOZppXIhvkCeRfhwhfmoAR
Thk9KZdS6nDEH7VAsfj2Acgqmqz1fBx9Q/lsnSFa5cLT0qRu+N3C2PLcGp5a14xHiRIY2JOtgUSt
3ge7jNhl2f2pOiO76HsDh6GFdaCPSbqzKqXdsreB8gWewU9x1QfaGQJ2Hkz+0aD2n6a/fh/BDOaV
fz+C/Vcpk0p0yeufZ7DlB/+QYIHswJ/HwU0nwweavabj0MY/xYNVw/P9+wzmfoKNCeLeYFh3fqiz
P2Yw69MyWOvLQcEgf0ZbwT+xSH3YECwQIJQadVFz+QX4TT4M6/+3SjQ8/Vc8KAdBG2O7gcUZnxPQ
COPDIkFaRadVdaev66YowouWb3Dki2mSNVQvdBdu21gdG7BXpzEeQQtpvXvqctM6uqU7gDZs5y8z
PVrHHhcCxtDZRm9Yqu78bB6hMOAHsx7LUEDM8TrqHaOxF5jTC63+Fg1puxu5rQdKTVu1qib2S1em
9UbvjP5WmxT1hV3LeCGobLy11N4NqPGNNm4Tkv7Lxug6UUhQwqNQk8+NismF0UatH/SeQY7q6jNT
wo6bayOyqoueSqZjNWcQovtQg0TRnakUkC/ptkGTbJepTYkCFUTMLie+oW6qqXRB6et9iMmRwfAb
2nGp+m2CNuH3tM7vgRUUEPJDZw6QI7GhlGcfqJpNKJ12rueXDQNoS2gO02gZESpcKWqIl7TTWLMD
M+rTfi1tiICo6xVED5D/doNXGI7+PgqRbNEMuvQkoZ7t0u/W1bONld684rlavK30ykQ3Wh+TRIFX
3nwlyZd9ob6oRGSesa/WPuCz+UsbR8jQUZPtK4KBjwTkyk3b13jdJBvzAVMK8b9lySrsuqe4XGj6
LjZ6Y9ory1b2f3F3JruRK9fWfpX/BWiQwX6aZLZKpfrKKk0IqSSxb4JdkHz6+7Hs43tOwdeAB//E
gAfHKEiZymRE7Nh7rW8RR6zO7qjL704+ZIc0EmQVMAtdWYBrK7dbu7pTpWXPY5N2F6aq3TmWoDKZ
G+efhO90J6Vr1aMDBd8lHjrNb7RfzeOl8y4RHaSPYu0sY1ROLtSyC44b+s7KrbLnee1FzyNgpB7D
xBQqvcTr6qoIpFNUW7hLzaS+43ahf7VTsZoSYrHQ76LzjQG4Dcy0o/DxojgLfL+fi0Cs/XISpZCF
4Wmnkz5irnqMR9TBuRmTep4tMPamX613/NHJzfSrIY9gdrXcrn36+VfLnmio+DSufXxn7KP7smrJ
rVeQN7wxdhiLyxx0HbjmKj02LeNUyOR4VI/SjXsdd7bbzbvSbs1PkZAV5uo4OXYDmZ63qNnHZZvO
DKo7A9X+RirVfMbKM69Zz1O+hs2L0KMIfB8QqZHraRo/hswH6DfoFdHtZoXkwExWLx4A9e8+17+f
ptaPt5rhj7ClpXMA5IQeLsobH2VeBSw7RauFQ7K5iTB62BuFx/8rE7P1JJW0u00dR9V9j0mS2Wkz
3C59o559t1pefLrYRwMbK3lKudndTpqfI08zmxcNc/QYxN06WwGj3j1aqe7kZOLmafdDi1a2aUxO
+A2zLUKa55SplZ/b6dG223YzoL8DY2KPb5hD5tCxF7knsxUvi1hyG2A5IVZsUGMKf4lhE7KFUdPR
GZDnm+YjjZ04brZahNt/k/mtve0n4QPwtg0sWareAwOMA3A4aO2dqq5e8qnl1xWiie+XajKAkxv2
o18VH+Oy2hCjBa4WJZp+KfQWuFaKABrhWgEUBq/ezeRYE1nAXXHyB7ls+T7nYPAHshr6FJO3hrrb
LdlJkEkwwINVxj14TGYwnyoPJDY4tjQSSXVkckkAUit5Y45DBe25GGhRLt6Zc3olMfE+IoVv5foU
TCJUh5+5TYxYD7LEWX6mVibOOdTLpzETjs5N2kof2cxi1Amxk12xgRfUmTGBJAHoJwozeOX4L824
IfpjNIBPtK7zaqed1l8EkcnHqsDTubG7jgGo4kwLWoL8jrmeRziOPONZGIOb3S+D3YwnoMHGxaRn
5++8gS/Rweh9aGLZXdQSW2GfOmo3em5kHDQkCBVSOmTBBKVK/5QnY7N1zNnYcA02b7S4IC0wtt3X
dtIfELACpczBTmWxqXNrEfl35kXiK1GQMTxoqWHr0lfQtOwBV90MD7l8BpaFUxY05/NiJwZ5VF52
4+Qi4pKTp0dtABMP8cojxYGR7ey01o6hP+KZZadwzCN2Mt/mTIldK5GmNils3KE3ySsZunuLB3Mz
2d5xysTFIumFjJot/A65dzr7o8jwddjJG2XqawnBftNP7WlJCp04ivraltkdjLh665GWDqqjHUIj
twzksJwvHAQMzapZ32fVOIL6TdI9Qn1okbHm3WVe9AqbgHXJjr4heFWEs6aOQ6LunKzIwwinSqAG
wrA86fAnpAtq3jmK5galjWJhZWtq/FI5uyWxxQfPfI9tZSjOEHATIEcma5br/Y2WECSY16WNKV7b
O8XKZ+JCu4xPZp5tWVMPrWBJDRoyZwTdh0TyBEOSuxFR92I2PXHyS87sAcH61tFAciL5YvfjgIPy
GvEUQYGdHO3e75drpyQ26yl6zkw6I5bocaVpdxijuLS4kxd0VhNtmFLus5TM7LToLwMuKofmwk5N
053hD+/12B4rknzcpHzIJrFFHb+P5/mR7YbdrGrQBrsYsDnpj8aAP0kTMLWreLM42hvcbDotYjmu
EBbmUOOprcFSzO55dubbPtaPS+JdJzXTIypeukIcjLQIW9EdMb/vK+J4GTtU22yNocReQ7iuIQLX
VbezxTEQd6dymW6LTKK/th8YJz64WvxCy+XLtotTXdEgM4lmyVd/msirfbYQNjK77ZeY4iFw+v6b
tagQI8ltO3tbEQ38LWOFwSx7kDOp1lal4UoeNtGS3DOp+GhYDtqaPZPCLVPy0NUkCvnE+tiQirO6
DMdJ4F2y47OPn1Zg/hqjfrtM5lHEznqi3CthPRXwTjeWjUplyR2qAO2SRms4B0QUw4JwounfCye5
y2d5GDo21MR+gf7XhZiVZbBMfQ+Zybs2AypxDwqUKEcdOJvr3DG8mTe0zWpWPlmxBCKIfR+hkh01
Cw21/YtQ3nyDzUGATd3hA6YgtCSh25m887LxNCxD0NN/oLK88UcUDzKCBw0Uw7Oamxxiu2UtDhID
Dym+5AycZg5yVu21ZBS5iasmhlFlDYAEkqOWsXHbNfh3te999WIUKLhN+Q7G4tLr7Tkuhp/p3BOw
I4rnHPZwu1jbdmru0K7cyQKe9EzO1GjaIBSycyN02FbpcC4mFB6OLENUY9qGVCvY0iIB3Cw4XxXN
zdJJMazJO4hZ1caWaY91v/2sR+7v3lTDmx/pAZTsUH1TorFy3qcueu9zeyfj5Bkpyxt/HjtZPF3S
ThxKa6B9Gt8ai3pO0NxsBoyClJeOClp3cOFxMswnIPiooYVhNO9X2iEuYDCsBLH7rLTMBwRJC89A
A6qrXqtUZzG+L8ZgPRFFq980NfLorGTaXSNu3UjQSJt4tNg8q8L88CCSBFOWJVzj4YG5UepvEaQ/
57B1wnyAEzeaaLQDdDf9NU5jVmpHoryJwoyKd/yuiPZ+QInwI/ZoUxTGZJ3g2ADa8+wGoZwOpJjM
9iyU2fgtirxWDzQrUnd203iPfFjxdystoseE4JVhM9qoZ3pMrfukr/AyeGuQj2o1lF9sBIJ57XLW
ddXrAV4URl2W0jlPkPnUtNfwFczsPKc0IRKe5B0e58h1P8kPKHH5qftJ795Hy8ULFnnyadDVjMfA
z74oVrJAGcuqsjCTW+pFC9Oot7aP0r0wO+hJOTWNng36JsWvf/X7zPnGpjwFiWVcah/1CGXh1e3l
GJCaDg61W77RlOdBsdtxM4oaTV/leycjsu4khcdG6fq3CpEgw1ZysEx42ruE8/kAinShf2G+Mj1F
hIlHOcizpLhx4CuHsKMhimskNGruwAnCl77LMbreQ48xN9JOryDonoElsOjB7OMUwfMZu6N4Yz5Q
rd3EId3W3tIc66Un7nzOvCOd0viu8YqSV1wSQNKjWrSnLs+9C5qGKTAVW1Ceeh7Rbap7LBMepxIJ
wl7veFCrIva71ZFCJ6VexKVp0mHYcHtszp6yaY6VVfYIR6Y8TLVwHmyqeBLHbHUfS+GqTWzr4omq
tN0SBV2GuXS4TMz18qvwlXcJ17GDb3bkQkxs/5tSxHIjirrd02Gv9g6J0K+9wgzhipmw00SjVi/o
DYQzJ+U9cIh225tQ/ploTIyae1X+bDALk6kwmDd9nFZ7P7O7+7RtmjMYP51HaZiXc8tN591oLBN0
c7cUgUdG1M5L4/QIPZhHSZ/BMahMGy/50ovQ4DnbC2nKm547RpA1s/w5Qum4caFc37vxtOYVKvai
KtV3Ctn52eriYdvEUf6dvUsPqLn712jy+6sNuU9tVNGWW0YNKfTbZTp4Kp529tT2Z70YZ7g8bpcf
7crNf1pmlsLNkB5h2IAj9l2vVL2Z26GNg9LomieF2/riuTMds5yD6jpnGoMaI068IHf14oHcuicR
EfJe2h3ZvyiITq1Yhj0K3GxbGkuzIzMoj4JuKJt9QdUc7xuKjWujl5wybaY+aLj4ezlkw0WAqgKl
KsSx5bu+IX2PEBITsEaNDxIrMm7f7NBlYqFCUrX9Ec+tuqkGx78j/bN5K9Uq3hsZoCS3FVgXusJL
vyPsth7AsibZe1GW7ltRpt7FqFFLklDWI2oBuzltTM2F6InN/bWEsEYQktWEbpUwFKmipTsisNR2
uEj6Ww+u/e00523OQVDC8oTYNF1sKRpOWuiNC56PQ2sl+U6CDF7hI3Yakjqq349qqs6giSGkO14E
BbYFew5YwsTGHdaMMX62CIkPSZlZBO0ZEfjKqowBfS+KMDTwS1fmU+MNx617qLxEf2CTNT503vMF
HU9MHmHXrEe12YZmTmAaZKN0bxlz/1qlriiA0FuIu+c0sa6DEP31T224+7/P6/+sdF+lHX+d4nvM
th1g2EwxwfX9Ziv4/xnASvQrxzayNYeSzlyHqn+efGdcOskB4NicDMrP9j2bb//zXup/89DbRpHw
f3dcz2//D8Zjlrb/ouW6/uQfLVeQjNyYsbvg3SDlaI0C/cP1Yv6NrwaJBX1Fa52Mo134w/UCgMNe
R+JEj+qr/YNh9D9arob+N4QZK5rDQhsGZOM/sr2sQ+3/fTxXr4dwPeyyAEZ1KLbGb41NSr6iwhka
b+v2McqHQO+46ZAZ8qdP5l8sAuP3/iktZZ037RKu5BOX+jtHsnAJElh8Xkb18dbgVhDVZG5KFWRx
wRlu7qN43kWjf+mr879/6d9FUb+/8m8SntqPF7TbU8wqOHd9SAOPOgyXwb9/ld9X+e+v8pt2wOAb
I9GOV1HWZjOHuN5DP9R2//5F/vpd8XgYhs/z4hLeg2WG5PO/LmiG5VU5gWNEjeTa1Y4LwDb5/Pcv
gdriLw/E+iKCDCy6+jxaQrgr5PTPu0bu2d5sF1EU6nbs7lFB7uQoBxUQP6INBKx39JwzJqtY7odW
3/aRn73CYChv8tKSP+O5wy2lM9F5bjUyQmYevDNpn+KLaSCavyRKbiH4UrNl1bwcFrvLto4C9sRx
0cV3DvRqSBdptNy6xMr8aGSrfQfi3Z6HSKQnQeOGIwvyC5Exphu0hTJuu0zrPpwBrtimUMmq58Zi
eKcK2e+l5+T3lYjtfS88LvzmQOQgWSuROdM84a4lo6Ig4Wjq6xPmioK008h2XlUpRHwubXJCybOZ
VSu/1uOi29IjniY7MPqoAF1gd8T5lcW00/0oor9kqXTXREq3d/2A/HuOFZOv3okPXcFTXSZCP7VL
bW0l9VDQYWPeLKCRGc+BTxmPmSE1eQDSQS+6kegCOLHiyX6WmhitAyegfpo73aq3VsSxFTjwzY+q
zinL9MUnVEX0yFEmxsQ3rmyp3AezWTmEtW29iKX0b5WknQIdfL7mdgdJTNNMiGFE6vpfU2mC8bB6
8xAnZt4Fi8b8HDT9OC4kaDj2lh5F9OQWpbnD/DaSP2jCTx2QkQCe0gyEo9gjnuZkjF+LvqhvZWMw
/vVHuS+mQp5HkJ23Rq6pC1Gp5V6JugmHBrRn7YMAY2RbBlDm5oBr4rD1AKpu0I92SCBy8D7ahy0Z
HHqGtEKtgwaJFEY9a7E5P49KqHMNd2U3Mw09I4ypn+Akz1fXiuWTptv5jcqIjNlUapHZ2itf7ept
8ZHrcX+jWfXSPAv624e8AVXZZ6OL69sp/RMPHV+/Jeajp9ftW1tV1gGpgQotLxKPOYnFP+lERseh
ctILhlLrXSU97Sf6hXeI6YxHQbYZ6YMAigK76pr7yRzbUKLDbi4TmD1YM4OBGL8vrD6YCjt+my29
cPY1nDf7tpydyTjpJRFq4N4TG8zIiBLe0vXH1jb7p6Y1iXWVv0zQ9UR/i5A266ehxxN3Uz/vJeN4
worCbsz8d4DUKd/t2Lvz0SUNqw/HoeCCrdy8E/TJZhOKUepr+KhGGhPnrDfAU6Ktr39oxWJ2oZxm
8y7iIpXf9j2kxa2O4zjf1SYQtk2ZwrdHgyNo/MqFHnxFcOaIYMEtnnwjxaIE0JdUgs4P9cKCkeP6
ySnGew2rqIsug2XB/6TfaV4bCU+GeKTkYnfp9K2mD3PPHczbUcn7JzxQ8k74s+LeDH40aGpz6DeG
4MskiTOlMUaV2KzkSWQLgSZ89C5maoeV45pdMMb9/OD2mfHZeJ34dME4fYBTJaAKb/1WKQsyaA0Z
+DR6aXpaUTwIZfXS3yVymCB+6KJf7aCrETwBoGKN+sIeItZrsJY+G85Stzu4bfY5T+r5iJiyO7Va
lh4Tmfj0H/o5wcRjy8CzI53PVoziKfMX99PQdApwBk3VZxnLj18b+X/1nJtqhCPv/664grfi4637
84D77z/xR6VFjgxMMIreX4NoRML/W2nZJEmKdXiLQE78XXv4j0oLMhmp7qBBBCcqz4PHzPmfAkMP
+LVOIA1e5f+Y/8FP/eVoXafbDqoxKiCUhkgg9bVI+pMUNUXIIyzA/GGRA1fv4TUTnj18TJ3/2hpd
ddclTrFFP+fuCuaBQd45xY0A5LDFWKWfFhytu8gvqsCZ4wRE/AieQqT83yF74SQYXxqQYrceCZKH
otdIZTdcNiH9re4z88IvBCEJyBrLDPCnynugShMboekyYL9uGObqpCxwfb9gOPnWpDQzlWgikGM4
tGyfXJO8Kx5SL3+wKw3181L8nBs5BFqfls90F+Sx1IgPjB1U0VPBf0TIyrrynM52d8S0eJDN/EMC
WQyNgiZu3dRPZu0ddV1WdN1oaDq2/MKUhUrPK1/ylhQCE05x73HiZ1P+atHW20yx/zKp/s1WLg6x
BPpma2JXMtBG0SA7NAMNYNOsyO9r7J2tT22IooSuwgTit3cxHfhR9eX05V07p9+8NAEwGDc77LXs
UkUk9mncH8gkOc1KPQ3x+FayK1u+dmO2hE843c7Tiz0Sn347LDi9ULCEXo63VzHNpZ1IfqepqtUn
nO5hI2RBiY+JBiiTvsE/TH13tkA2BrJT+ywGiVJ5mGKjynOCDo4DiYHGHS/srhnzWJ1sXsLNIwIf
OUkxkyn6PBNtfsIdfINE80lRG3i7yCquWdO0YVy7aHoMQiaavMdNUQ7HPG3nE6nYzxHxlLWsEgKp
5csYLW2oCmAHnNjfoVMQT5fbRyLrr7qKzk6aP4E+/oiMdDhonnPfGNbnxFyiHbuXUURP0P0iwsZI
Umqta970TChz/XYqknYjZ/igRFhYF03vqidRRc2tTkrloWsVmjXzlLnMj0GIXcYMTMPQ89cmfuTz
DSpj63oZ0iI9verx0m7hx70x/wO7jCnroRuTZ93QoJEyqCJOzLnKjP6dCxSvnW0R2uOgv5HdsWyZ
48YBci73R5WSX96QnUG7NKpuaOwJcl864NCxjnp/nAxMYz4Jn91cnzsUUCEKmASnto0KzJXzMfMb
62C3UE2JgjRPrYcnlbabQ6jh+i3IZAlTKxFbaZQQqCP6WVrrAoqW6AUZckZbwgPjoHAKtS18RvNJ
Vr1i1iY6KX2KYW5iLDOZtUJ3pqxJmOOYGX7DVczB5AQXbV0/Mj53NmnD2NYe+nerir602P0U8Dc3
kdNdBzKVd8q1PRrtwgFOiis9o6EXzKtgBKwyzZycvMu8WJn6MVF3mLfpsBg54wBGAU7lP6ZOlZ/p
DjXhCPNkg6Pro3IUvDN9pucHlY5Zhyy+NUuFnC13nsH1DmGFLJPF1Rccr6kWmnTbyKpEz+LkBcDB
jjfcaEkdcMQuu8UwNFivWh32eoHZeYwJbxa8/KBm+siJMrfM6e+YPoKak8OLTVUXjDMXiVFXBwvY
PBLc5OBneBVJBbm14/xUDoqBZk/gJ1Pqd3dub2K1HKMEXDQ2bMaVz4nl8WRX87dRZ0LptDwyScKA
bzT7ADTQCY7PQ5f6j9FIkKLqgZpbeWnAnSNSyjRTRjxE7uwaVyK87f0A7Yxxk3fT2+Dax1gv+tAs
e5LsemNmilU/4rxkTm1k6sEnNI+NKelvE8h3m3z0azJ3JzNIUPv6anoYhkG9pF1B/Q2mLpQ6PfK5
acYtRgva5q1C2eEk+IpnlHiF6beb0mBT6xvSPrFW32qpyHaaK8/kfm8RgG/Bi29p2xrbVreZbhja
h891YIP++RqZq4q6ML8KV94YYrya8YTjarlCobQ3BH/eo41sQ7F2ttuim0PTQwoJGQCxekdLbka+
obVJOJXtD5/5wmSLJ2uwoJc75l0/gp1PPe2Q9uO3wa6OedW9tHLC0NUyGSqV8xUz+dqA9tu34xIm
i1Fuq4zstYmc8U2uK7SRbTXf6/qEaYjqMyD88CnDyrHhA0gDl2NCzx3y7IuOTzdj1C4r+wX1wW5I
Syq02Ax9TWhhbUgdCHx99YqZzNgut7fsVQz3euhIsjDoOkj73mW2O7WNvmfr/SKuZm+Bv0z85n12
yge9NM64pu9RcpYh5PvPIc+/SBiOsRhNKZFIyxULIkJdCyQhkZqo5FFQqa5SB6jET6Vb2DtOquZo
ewaBVanVHBNOrbBcxFOvA9ZUGStlMNJX3cjuNWbwu7jgb4loiTCxdzaRqzB9a83VaIXY0djmabeB
Egsn68OSjGmtnK8m+t0g1UiNZWgLXK7xtP2IbnPHR/jMrvuQaEVH7kHyvHDyXhkiNTtvnSTMeboF
tcE5noBYR2R9344N+Yx0a/dLOmoEo5mPKcPLHYjBeu+3w47kjOIgivxQwPMLam9aAl0bMedDO9rl
SOYC8IhZaCDeD0cr/bQdk9uesx/pHfB6SU5siM5umZli69uLs4vKpQkZDEgWH+xGGukZg4rR3DFr
/07TF8t223yfZMcwKFM/Wi1ZJ8WausVuy1B0Xt5lF93DKNxJspuawjlzxDIUiYdvXl+dNMXxk/r+
k6PlR89OWC12/tNd1nQ8d/lRR4UfFHZlcqTWIkhmqgVVgxhwczfe2CT9Br0ykqA24y+2VOvAD10r
F9N2bWhq7xrZMzclJhnZ9DlXEyyEqXnD+I7L2FMfkLzJvFzWwzwlyFOrPx2p+j2qDIz4BP7tJ68+
A1e717zks63aaa/H9ZOstfd8RHFP0imFTCwYBkGTOIiovyYMFjb0FgkZQE4W6Djkw9oXNW3z+M7U
SdAjsCPfwj3oNmOz5tNq7UX1C+Q2VTbvzmQdDMLYoF218WaYYY2O67pasnjTaVm15eZ1jcdWkXYc
++CQeEC8Vn0o3RgObq+ezIacFZQv6bZRbERGxeCRBs5rYQ/WVh8wQ6uBRkHn4KgE5saGAReBleo0
O0YxB0wpGeNNjmQxWN1eLxjI++V8M8VNtu0qtM+gOrbzzAp0u2+Nmg+xrI5inL8noLcyf9QgvlEo
5yXGGbNu7j1VkREhgeBBy4i3EZoafPnJxaL7oC3lKVM4cqvcfCyg8R8a29ZO/kReIhOj0PCa1cAw
/iQfCj6IxflJDGC9H5Brblus8hs9ZtUO6XxvNuo8LilMBs3zTtGwdggMdissLDSPmJIG9RKBsWzl
d1FqSJ7IU+fpiS6VzA9mSwfQQVEwR8RaRV5MzNXc752ZE0vrfqRs2gikT5FDiRTxTTUNLHRM899M
KHekXpzRgH9xSr7AD/2ir9Pcumn8Uaw7Mf7zxygSDfV/TYKKkb9MVTJswdEa4DJMLbAnH15fazDM
JWSFRBwaKMqEg2A4fhwky/JlGCi6QKD/TIh0WhvSGziAUEIGeUqJ4bYtcg+zrPc3rh19dZBAd4P0
5TZiFdOCaqZbEsl3JqoZQsS+u3X7inCKo9wsvg21dijdCFMKmeAIYOdseYyt7nsy+WejmR+7RCig
6MNBJeRZoY95a1Pw5gmGlDKvUI1PZEo32rgbLTG+kgHibu3RYtyISSEwNf+Fs/s5aotdZSTnrE7v
M226tQmDyGbv5wIMjkuVE1ZG+zSWI9vF8sNwvZsUa0WA8MwNqmlCWhsJQhEmNj8SBQVPceiI6YsL
UbbBYk1S3AhDf55odsK/3Y/zlG2xZunhpPgQ5zWYbc3U5e5SkENmtvrejsaaafnkX2LMUkFflCdR
YHtpwNnvaquuSapOLbQwmX6Z8/LFbpxPUsu/6t7UQ4loFUkWA3YMvdoNqJAvfco0ZPTIM/77uwHM
JWw63P93O+Ax7d7atSXw547AP37qj5aA/TeTsQvSdXK0DO73f2oJOH8TDGYsnTRAA6XVOpf5Z0sA
sDjuV3rszG0g3vNP/2wJUHo462/zaRlwBvwncneOv3/REWDysv7Pt5C9/9YR4HrB0CRzdWi69g8j
Hd2LVaziQJP7sA3y4Rgt1j0piEUw+06yU4pe0hxHdxYci00nDTMo8cMZfkxSs+4Wu05HS+Llg7sv
+847dkkO7aJpQd00UPLGuboOa9ehGUqx8RZoJZWkx4uyJ70CPSwDp/YHHl4eTlyDX0bqfy7rU7s+
vlGlD+ybSGExe/3sRmJei8F+kuuTbq7P/MDDj5+LM5CcGZjU3xosNwdnXSGw/XQmrom+cZxYJzuE
lTSva8oudD1U6zrT1hWXrGtPsQiJLHJCgj7ZXFmg5rpS8Zq0OLFIck2B8JDMgSaRdZ39WuEquqlY
8oqlrzvR98G2xjBnY7A8+0e6bhZxfGYcsZvd6GkR7susSNS1fu0vTuQwtGHPIXZs3EXrPkRG1Gud
FyUk4fxhbJL3ad2ziqg79L92sU5/7Dromghhv2uDDJ1UnftlXKf/x5IEqv1o9682O6TFTqmzY3br
1onYxTlEvSm3uTSq3ai5X+m61foNVKps3X3Zhet1O5aZ+96q+XFIB7VZZ1cULQpFHOzkcd3OJyBN
obFu8YCmbFIvTbb9AtdjTjAQSSQu6Jg+fSHmJA0JaWsCUWeP5XqEII/6Ga2HSsPp0nHKCBTvkMXz
s0tfv+IYkut5FGucTBpHFKY3ruzyXCoJ7yo/dbLbY2TtgVdbMpjZfq31vKMbfXA4AOmfetTt8Rv7
uqRxyi2OYEI4TuvJWaxnqLaeposHCYgorGRnrUctR24nrRY+dw5AjMJqS8Oj3hOMxLVvPa01jm1o
lXjsdS6diVZ/x3CmnfL1lC857tP13E+9+sId5TLJ7DIgmNhka40gfTLv86VlblC198VaSUTpIBg5
2trZiOtd25gPhidPWJdOzF6e5nTiAkB9gqUN0TeywEXizlxrF+QV3V6t9Uy6VjY6tBt4C5A51qpn
Wusfou4kDXZqIs8jfIx+L8QJCqYEou2mXmsosVZTWNv0MHfzrVPKA+fZxp+k2oNu+yjWGsxcqzFt
oC7T6+Q7reRqOw8lv32t3oQkVlhwOWOvo+lekJFH947HhbFJQ2vcowRcTEoznDykzhDAQVsFKl1k
p3duXvnIuvJVz5SXEO8qa5OtxSYr8xMlNNOeIS9ouSH+bKlL+XyeurVQjf3kkwzXe2T6Z2MtZTsN
baGwFp2bj3ft14K3tewgWktgmVqvFcHFgdLKN3Ti9QbB+WfSUdNrNHHiwaKU9lG1alTXI36kQ0O9
bVOIMdSiBI9MOkOxq3u/bMQbcy3Vm5Q3TYapTyDL8oN8YgeZeP6zrTviljl9M2r+xfKrwOcWUEj1
DYIQ74T7Qbo0mFXsXcu9oS/Fe7VeJDQI9STodBOV8uy4RxYKfQEaoHtN5/16TdLflOOIOCsxjpMk
M6omdW9nOylsITfnYUqHHyXFxVFL+iVk0PbdnXtth4m1Pw2TxwRrUm8z2lYwcoW4ma3pSfQy3w8z
ek9uY/NmIoQvnMc6OzB8yp6xOzZPfurPP5TStlEnGmjMOq02JbfCN40d47pyn9JrCLKyzrZ1ps9P
HeL2HR9XTsyc/WxE2KgBdK3cMPfFleMX9008kmQCxt34nFurCGYy38ESUfdYxVtCl0obzScXufUG
fv7PuXdf7an4cqnZxiK9tRJPA7fK/T2Zyl/167DvR88PF72uzg3+530uGwuonGwfGtlTDqb6SGbi
kt7LJXXubIJ1NlYvW57peQiJBde+8fkNlypP47CJvZSqlKBh5Egfnj4S2F7nTD9j990nhxdoizke
DZ/21VQ6hIQLlo3uo9H2s1yifF4qBOHaN7PR/UvZttR1OkFzuK2PBi3YjWJIGOImfZq9qAvwwk3b
Ie/SgMFvGeDYV2fSAtZuCZFXfcdqJjsNz2VEwakYQwZZoept1NQHq2hpJmNKLXvf2aal1x59gUZb
J9Ip5E417wdDpCF+Enq/g35tuDYjXaN9QYrwVmjtTdPb92DB75q2CJdW5ZvOsI7kZeCnp7xOdfVM
1AYiwni+ZY/iyiBotzaEKXhe9aqkWTNHJEcDOo9mxTeWqg99g7VI5fIGxdPWpYeLObS+1fyUO9ZQ
GSFu82qnE7EBQdot9pFX/xjt6YMt7DVLxXumjMcJLVfAu2mCaeH5z0WTHauseJjo0uwRNbZhVsgr
0REFAk4azU7+I/G5w8d9fhjS0diyi+xiGFT8EdWpQtHmDe2TrVs3tdWAsRP8uSlXVz9kh9rPYFNp
KDK+Jx2l0Yd0Q873pRu9F08UNzFzSB76nVEtT5GmwkZXW7vuaBpOe+XLxxFFOrsWr2Un6SmnDLKa
5YaTD0QXAEDXwyectHsyU+8tz78d9Pigem/H1fTUte3eqZxTpzgUekIdaMBLuoatPM0NrUBzrF7m
gn8X2bmrCzxxkfOA9N8NnQEPHnSuV6TIrPkViIcJYIOZnO+ZJBgMDfpGeSo0SPfLK80Ih5xLfD/I
n1ZB0CewWeCjoCNryw1HhWEIDOatiJk6Dov14Ud0HUwPOVs6TPGdBeEpcLSmv+/qqsacbOZ/14/8
V88EzRWc/u9uAc810IK/XAH+8SN/XAEsoozouFmQgvkX30S684f+Cuqw7sLihyHsrsZTtEP/vAKg
l+PegPeastyBu/vPK4D42woJXsN32Xep2r3/5Apg/hr6/VmAheX1f9g7kyXJrWvL/oqs5qChbwY1
ccD76CM8mpzAIiMj0V9c4KL/q/cN9WO1QIlSMlUii9NnbyLKSCbD3cMB3LPP3mvDHOF/eaK5lvuz
Sw+1Mg0a0xy59y3zSWaJZ2wdo1wLNlR6GcD+weou3PRZa2ztzeR6qzeqTQgaURbrRZU35yQ7RHsw
ykDjpFhMxk0uavt2ycbmPAwaE7/HI/GCF0I6oNULeXYWXVzZaavtmzb3wZl6METMwTdPlNGnR92b
012qmdUJzTu5zfXKEfS1ZdrdFHvpMemn/rZ0m1t4Agcq1q8Kusu+ZB0CcV+OLUuwfs739Ooito+N
kI9pnVbX3jIju/edG1qN8yu63b03x6S+MvFl7BXBl0jRzvqMStbbRxws4maeDeekO5SnSoNAwcaF
1T2Ho+OZl46tkQe3RG9OFr1tz5Nb67egyqeWNxt4SO2+TnBEZnkbAqBPuSHWiBs7jwlla2Sy4iEi
TPnY8O8+U7fmnknAA+AvgcR/b+eOSo/CSUktCA14XRNseSP2cZJ+FnNkIskWWYHH+k/IqYDRKn1Z
bSaDHSsPDGwsu2ryVJgNdf3I7q95DGxxLJdMu0WT1GBdIHPy+YY9++dPN+9xiad6YodJllvDBuCw
fa7cYbzrXG4VNoh67u5+m8H+yDiyFIoCVVvoxWGkB+HFFP5DzE5mn9nFQotO4D5rBhp46iD5haWQ
PZTaTpw91fTnQizZztadLlKIaScip/Ez0Nk2avV+/CBMPAQbocb6Gbdt9pqVqt5b9LzzgklXXIQg
ZWUuJgXltsvy1ZyF9sxchsjSl77YsWFs2IYWjvYad4F5TZ6NonQBnbn0nOYhpw9HRJo1zu8KBe5b
GufldY6XY8vTu/xSL2IBTuqLp3xwxVdTb9HOKap8kvmcfVi2jW4JvS47xySarzMIpydkL27YDZaW
hExH4X9xgJfQM5Br26yLEV7dIehAP6rYOijNaV7mQp9u0Xt4eJKAdK69ThsOk7d4YhOj8mibSiti
Pj9WnzzI5AWGZ/AV30dy4URXvTtgKtpthkCQRqzy2/taFXQPBlBM7GJK6byIzceyZ5e8LQIv+3AC
qaJqJB1UKjv4VBA6dok/W1/syubV1ZXZ3A1e38+s0XMmhorxj6VH7QZPMd8XhGd3sB5aIkt8X32n
us74I8BcVwMAzn9561mZfgrIjS60JMw0SNPmo1P/K7rpsZ9r5yTmwNgXXuvJbWLM/nfYOoCq+8W7
aCXC17E3kwBbvIY7h/MzIyU7Tt/bqHTEd9CN7vCCjI/lnPDErrSN5rmk/tTFzA/Ck6TYGNZDae5E
DAaZp3qdvLt03t9njmNQBzA0W3omOD5MVnfq/NK7G2pDXSgyiInmykVtbbzjIemN4nlxRfUwGY11
SXqYxEbT0AXtWwkdY4nePtRaI6odbnXGJsGVel5whi/EbRZaaKek/iQjZwIecf0TRcz2kW9/cWOx
k8FZmAf0bxus0W0OOUBfLJMoXNiLsnqP+dnX5B/1PmQ4ArvSdEV2UV66fIMVVH8ASkmPbQwMFi4r
54guHXAV1tl1CiPthjLHdteOyroaDS8gutnpPsfOTr4Hhh288mDBisET5FUMM0t1vrGvsnAMLeSK
gilbIP1km9j3spc4G9fUrmu0NzgrjK0045ie225cD7X2vJ+Sbnm16Fh++OvC4H9nC7eNffU/K4iP
/cf/C1q2/qF/nR6I/hkwTnHL6/zCkAJ/Oz3gHDIIUAf/0Ah/OD1g0ea8wUEzcEzM3WiM/zw9+L+Y
uJAQFcnbYuH2gGD+hU4h1+Ol/eTfxkpkUlBEuMy3DXf1HP3gKWp4ziiPuxx3maGmwJbRhqsmxXnZ
6VtvsY29zEFZ67SaHWjTUQgV461YrOCY9S31wkv1RlqzCo2mt0PL0vIIcCzyfY0rRAcCuNFK43u3
pA35eoNl/zweB+FaW5auBGkafIYZFX+RJpfmXV8WnVN9ZUZ2Sy1MXoy3NKlbIQU3mMr5JHdQa1+G
RbDl1fLbhRsotmJWjFRkVzd53GtkMdksSkOb74sc8CmAHoSROrgbJ5NrE09NlHZtvlmkoibV5la0
0b3gi24yt+kU6onkqiW2yn/eGa8cb7zJB5DlhkYzPWy6Yw/TPaydYOFin8ojaHbnxDkCKUIrYEaz
xd/0nmsRROuxIQED2nh58GxWkAgoAwOknhvPVSJqmu8qmmXaNNvaJfnbpZzEN8eU3qZNTW0rSRY1
Zv1exRUc8MS5hbiPJYm0/XZIsV3GOdyqAftGRMfBqxzV7eDmvPcCp1VP9I+1UTbuZE6zInGi4FR5
En9vy9a5TPktVW6X3HR5r2Ep1ZIHKuWmx5ncU+ROYoG7wW6+6+x5JB/IYC8cezybPBL3ogj6sIzb
S4+8DRk+9TfZDPwHxqXc4HWWn2VgufhP6iksk4ERyyEDPhCjsfQ22NdINGG+jNd9TGxpFPqFOfQd
okW8rZ38e9UtJlZmhOCxmCgQ4KumDQw4GjkfAADjd4TgmHPP/J5W5S13uydh+cvB1Fw/mmct2WmU
AYRxAccAAEX5AY/5MTUc/A81rglqsfUwnpAXC7mKWIN/ZxWzve874qRMEAunYWe5Kjv/u51ZH92C
JIfhYNV31gW6Dh1vXNs9c0ERoMN2j5OvMx88zR0iy7OHUy7bIDL6HIxoz1oGxX45+ChhUR/7POuH
+sYxO58qrew5SWv3umzcF8eiPUrjvLdpgwkvjZN/WEHyknQKnBj94GGv6nkbOxxHp6SUu9H3FFhk
rz4PrX7N/QNLy+xf+LWcBt21oymnFiJpkxah09m7K6wcVzahppxNu19CCNBNzT5pUslNMicBokRd
Hpc4E5suqSGCTvKhWd2pDmSRKCF5GNnKfuk6oF5Vat3UtIuHWo6rB7I5aluqA8IXdnmkrPsJ+jaV
0G0JNctd35E9+fu4aB782XssKi4FWxa4QNz5RK3fCYKHoEeANVo+ljsp4RIw5OzNLk15DKIrBDzh
IvB1bIDt8sEJUgM0RBNEczW/awszjvSWDzySrI+9+MmobZ9zOltYV2VvfK2HXS27T85paNa92Z8K
g6LpDLI4XAg2DB4xxrgvbsdJH99Exxxk2tO85wiPyF1MxWPdFbfJ5B/TkhHe7YW5WQAtZkvJJaVl
+LRcS+zB4FwtsZ5Gtr5QMdrhHVBJvp+1zr4XK8ae0gp9a2uDuVf4OldShnrqqQvf0MQcH/Eow2Xt
aueIGzA7LNhB1u+NHurBfA0Qf9ksAL6A81d3flaWYUWH+mdMSXnIV70lNTCOYeGirlElwgcOYeRQ
rtR9p07bSFEnZVEyhcgk+kdT+kcz9u7dKb9uUN8+SM9xWalijHEwdF/GBPeUPj7PBkB/HcNMtGjW
lUDJoXy6NMJ2rq6bGduWHDmr20NxT20rEvuckcRLAh1Oj5McFptYAxPTssPvjXaurTgKdxpCcyAp
bWU+qYJGAxDjJfeBEF7I3WzcBKqzNpXfGfBxPEpwCpRXNTV2cSNMU892vcrwo7Q4QuC6bIfF0fmY
m5GOE0/VpyqxlnDwe3UqHCs/0FM572q0/r3wLKCzg55csUJqjrO3yP2o+1R715U8mYPr7iyezTvl
040eLB4MDtuy9qWG1dNYlXqYMDLsZRUcJ9/WD441kyQvdNx/dfvm0EF3Ts0Gi5nXjiFmFxkxo7w7
WqIi+Cu0CY+6eyL8QLVXNbU7Xva8d2o/u5LAikKKQdIt7JAyGswMfo8ep5uR4q9DLYf4nUdysoUd
ZB5NqU/f88RtnvW54DsQm4Gxij6xebXUzUTm3kiWK+mpbu9k1RGJn6nX8a7VAu3GmEtty038PCxt
BT8x55FH5jqN42RnU7BEDYiWfudaTq7oDIBspIw7Oo0/WQoFESHH+tkrah5dMaxNrcZ+RXy8Qqxy
2z3pE/IGylaRXAs0YPEC18lji0sZW55MuVFk02jjql06DtROf15kVh9oFG1xfjBI05f6tbQ6azfM
co/geVn4/pMZYhDJXftzUOULAZMWmg/+Ren0X5zCPAaGC/yJTEqoqBHbYGuqUXW7fmubEz05qf6I
hkEfr+cZkWG5T9j1HgOdd2a29GiaY41X2VN9lOUGnIRxLG5L2ErSw8eAX3neEqC9xjfCPFMY7sbP
movvF5+a1eCKUcUNzI97YOfxpo8n0AKLqIm6ABmQrrjrBzlFQF28zRRjFpvE0G+dWedpl/kkNVyJ
8J4w0QrjapazC23FMrhXz0XU9iWYmLb9Vk7sX+hnf2aypEgsLbIdvQsMmvVcRyRUpxt0UlTMIbhV
Zv9gu2MTNUb9vQAUyxK0+0LM+6NMRxFy8YiNXWpA94h1PwxZAYymMDZsXdkqKR6tktrurc9eD1AL
NzCUoGLfye6SLuNNXBJ0Hvwh3s1F0uz5eNKwKDkY8qmUO13w6gUdNCxajfmYVuYXNdUv6eoHpnnn
Pu3n7BB03dd4xJkEppWlkFmvHdToDUVDs7VvH2s2PVv80/6pBqF6ErzZC4XUb+gX6VucaztDh0rJ
8TnZe6n1gYd9tTuoau8GOND93vtCW6e3x+xFy0Rl8n6UCo5+03OWStx4p/to5PUypViaeERMrfJ2
ySpTaGpdY/Xu3dQRj/HgGB6lR1UFcXArlKXJx2uOz3Vavy6+PRy9arABV8n6tW0T+JbaBAd+pK/O
0rAT+u4wH/o+s/Zekw4hcgRPG9e8IcyR7b0VQNlWNaRxkD/8Mal9MzhFbykRUm+eW9ov7Pjyh4kl
MLUt2F2XPn1wSSt9n9zS+HTqkXvc0uf5l1j3WPIZunbXj0t9BnBls16dTRRk5UO+51l6anvrnjxT
S+kmDnJjAIuBT2w9TAW7BHL/LUa1IYxH3wzdrH3SLCAmBs5yt9qFoeku3JSreDtWSAvwEZJl5DON
M57aE2d4OoU5cGp4bWkzxreIfRRlXR1jbHdn10yPPouNY9yiBCRVRZGI/6y13Ysu9IdsIp6VzWTj
eRGYD3LJEV+r0nPm8fVUNipQblcXj+PC5n9G024+fvvf/8uyIVb/0Vz6/F6Wn3/79ln+Lfy59PYf
f/a38ZQZFEcvrQ2o2NB//zmc+sYvLi0A/H3P8y2T+rgfpG3SxEjYRDdN0wHdzz/6h7sFDHfA34ap
jfQd2ATX/8pw+hOtf827rPFknz4CbticfJiCf5xNXY6ysz17VjS8MiYelgMNDJvy3Qr/f7oeeK+/
G4TXH8ZIrTuW7aw/7qdBmCE2xfAKrKtrBLyFLB0OnjnnW1unbuuHX8bd38X5HyP9tr++8t+L9rZu
wCPnXmcj6a8o8x/fGbdulZnjtETdRLV5QHtr1GqeRthgYkZq4wGNkCUauQJ/2yY89NymyL4mHBNu
Mz/Xz2Lpm63HTmtr2hxxO0fnibLEOGtnAmvlPD/yOwVSMIMr6IHQhQk2pnCYxv5mkHNwDFQugOZh
1VhKcJKg8JhrYSIjgHnGwc2lcWjY0xbD/L3VKxJ9stZ5TXlB++vcMyRys8KGMg9RUrr+blR6v7d5
qO7GLM1vxglQse5l7NW6mBEXsfYsnUo7+5qu7xO39M4wUqCtkOjeq2QeroXy/KtKJM7FQVa+1aSP
+B77SIM3OjCJGpMLAya0NYfTT5tOWA7aYvkM+gm7bcnocQJWgdq26m5uNmUXXFCIcdPQs9dWvnde
8b4kLHoOLeQXvreKjWVYrmJeU1MCC9LI65NQGQqjycTtEKsCIiCBqOCUm4W1RV2tP9tVLBxWKW3D
+jzlRmxPKxzaTeA8rSKjGNgUbPRVeiQNgwg5WdZFowDpYTbl+FQPGQ+1VbaEgAbwqDLL/FWPy/m+
gmuzG6lHDiBMlzgC5gnublXj84fP12hnBv1lOLAL7R9Mne0OPUtJ/JgbuXxqY787Bo7W7UanFee2
mPDJuDhVvsy8YIp8R/eBZHhx1y3kmRzPjg9BGRffOCBrBwmlsaRui363hkPlvURJOQjaZqftQJjc
i8rGVj7eLCzwITTN9lqj5ynb6GXrRHrj+Qdt6H3cL0b7DlNDvCxlhaIO44+uP+mN5zZ1p2/0JWuh
ZQh9R6WrjKAA8qCQ1RRi0zIJTOREMtF+t625rjYGMRCQKYNdL3rSpdJ4DpSM0JfGrSLQ/eAgr0Il
zKr4S94H6muepNpLYrKFrydlfmdR53chVB1mhzLv5XVDC9ijFQ/toSQl8yWoag0ydtBX1o2CQ9Nu
zSKI4VPGc2NvfL4NLG3nONjqeuxShDTp3Z7lhiY39WSJMkoVm6gNNr+a88civwojTl68XsUOyKY+
oV4qMeyI8a350qQ6p7HCrWmzytI19STQN5KgEpjEdCicYV91ycXIVc4cNHLJhcKrUcO6yr6edem9
9QUHMVTuOF9CMDfBHYKUPPeDJg6asJx7xEftJoW0KkBVLu7jIkuI0+5C6GPXLkbn7Wj/0u6nKgP/
RKGh/j2fVPbN1zz1KNy6uCTMDo/UhrseZgN7ZatmrX03x0ZFnJWRBzObGu7SePZv66zG/qQv5nhp
O8GZmW6ukpY7bmb3xeyC7ObTzo/0szrnwZho5CqKdG9rrvmQLb08TdgAT0BjtOeC7xa5JfZbnxr0
ZgwAS4JVl3Ue8yqnbGBwVEjHnYNFiaFX3gflqD660nD4TUz+eRzN/q1xfSFDRlAkR5WwQfI5agCI
FSUWC93dl/3R6oPm+6jhJWry1gPi15Q4+e1geos1W9uy+3GhpLb1PtcXhsVUxREJPQrlOEDjnzAJ
vMD424pxSE+9Xhhhwo5ui8xW38dt7O0ha3aIbS57CIWbnjhdcmB2EgcG3uGK0zZhvaZYwXIph/Ki
YO0GBjiEE1ieHD9HPVjmr+2Au0S6/gSuklSibWkyBD+PX6kpg00mpM9JLGc6roZiJwqogcSJGItB
MUVWrJHj4iFKWrthIi6507p6vlwjPNtbUSwguFEB8Hwi1fB16L5UAiSmBH64g9DpnD27G647MFSc
5nX75HU2lRBT7JystMkepNUvRxnMxjHPvYSW5LLfJsMEA8FMl6rAjU8ee04ruROJosCmRPNhfUMs
tA/0e0ZsZysqs9/OEkCBYgygiNHNtKu27uYneCd2NIIVuFm0xrrW01GdrGSo95NElQjwRkBXzat9
QhBmk5cZ1mpd+hGIXNCCS9dGVe0720UPhjN9DmC+VDw9kLYqTnHG7YYop3mYRDJc6UR3ofTMaUmu
OtW+dJ2pb63YHcluN/65nzqajkobcWOuQc07HqfuQm0sYi4XjEbzM6D1bhuk1oKPySflOoi2fZJ0
CGx8lRBv88pZbZj57RsdwicDm0EMrEwywq3oPqTWh72/1DkBLHApbLyD4CwGLGybcVism8xyGlx4
pAGxZ462f3GHBugFinh3TRpQHSdzTgiE6BjgrZJrNOzpIrzj5uuAwWyR4NIu6U7Emqyjx1MCJFwu
pmt3GKFDWg3uTd2vNn6t64fBcxS8Sx4wTLv5Ezmv/I7lVvZhzr225e9p56mKxf0ypAL7Z+YdkGqy
EzfDD62qq2e3Q6wORG2BcKip00sn8MrK11Q4F4G/LbOOOcfluOEZdhIas6tveQzD0iwKS6M/IIA8
WbuQLVdIlLkQCkhJl+7muJp3pHbZnnIxAsJYtBCc3/xWj0D50aRGBnxhf5DfSD/nolN3y6irz2TK
jRdtbKerKbMrkLqIU+ztDcCuE5mPEI8t47JpC0jQMwBsaGHYAAhqNNSzE/DMn+ex7/fSGKz7YYwn
qjqLkSfL4irrvgqW4K22QNxl1pAdtLnndaP5uifg0/1O2n3wJ6CZX+vL/nUo9CnVsH0qanSqqSy2
0b8eGn9YxcSyjWkqZIVKGfGwaZ+Krbock4O9zbZIifvgHjWPhMlRj0zaotThkO3+rCBrPfH/cDD9
x2twTcuBNsXK6ufXkI5zmZei4Q7MLhilcl9R8hK4/KU/YluuGvh53UegGdtEQk2lY1fLlihR6S7O
8vsKqaOvL9K+V6C26mTEsndlSblrTFKKzgUl/u9D3n/sgf63hq1fP7QfXvDqkP/hQ1OjO6d+wgu2
9xgfp0d1cW6rG3tb78uzM4fbjfZeH7sbZ80tRei2f4LUMf7sA/tpbMBcmIt2/cAQ/etyg3i7Fbv0
1j2WG/FcvoO63PeHPx4ffqLc//svaX1NP7xnv63EiEWu3MbXxo4vLGeSXUabWP7Q3tQ7IoJ/9iEz
XP77twJFiIlsJU39PK74eSOLpeCb2UXabUdz2m7YzVu6U3a3xUGFyRbu0mY5NcfyENo7NHv9kO//
+E1jpfrdSwAs7rJX52u5Grpc9yfOlEjcAXcrSlntnd0aRJ/Ep5p+a9R8/OMfZP78k36+DH+azQw+
29YmK8WbLd5fZeTuza3aY6W4Gd/ph9xyx74aIyvUo+UZswX5smhtBfz1Vfwlq91/z736SslwdC7T
/7xWv6nbbpUv/vb4Lrp38e2z/TGh88//wG8ahvmLjkOP9S93zuDvVrvfVuwA0ti+mayOVi2fn/xP
FSP4BaUcjAbTkkeOh3/4TxXDxaBn6Q6dbwG8DdPjmv8LK3a2/b/76oIYCYx1jb8Wjf0qY/wU0hH6
gOcZATgKWEJQudw36LYpVqAQjXUO9lTgzHfT0LpPwDsHDE1tTN6mq7+Q0Ki29SSXK6NtkhvTxfQM
R8Z88XIe+ZueB+rVbC8SAnpsexzHzfar389xwvksQNLdJ0VBm3dRkwfQaRlwdrO+OG/60lVXrhjl
2aesi6deWVHO5CCJdJsZdNKzWcycXHMbpDow/3J84TjMjAdB9TJ4BqXoy5yvxbKyh7zgDet2WXYD
/99ZfBL4besTEK7GsrhwT4kxyleusZ/sMXjPrVjC7kmtbaFm994mvfhcTTXW9RSzrpmlyLSlNF9t
gCHU3OO+nTUjblj4IAe3pMZ39B3FRwBTeORRxHHNpYY7RaIzOHnOpfGqd7ZJU07DUNHlGha/YqJO
tubjGf0kzkItcTgRmcLaSz13X2FLpegQJOpEJyOtR5rQvdp8VkbKQmcgXt7lZbxzGh3kVt46u5Sl
1NEcR9ffV+QOEpKzdbBsrIx9dwUmaiN1u4ukQ6m0ZsFAwf8Fk6LRx2fFtMDOYzL69iE3iWw8C6sZ
duRH/a2DwWeLPqp4vTGYElOpUM/K6RgbLUXoSgbR5EPt6mtzOgEYp7HZmEhvObl0XuJy6A2O+Jk8
Q+J3o7xLdCMqfUN/Yn3RvFmynG9cJ0ZSGYBIRYDGCUY1dHvvXCN3IlsrElLtNGe3lH9Gg597NyN4
aAgXHjCCwfEe+B0MB30J3FdNSu2tSPF64YDGjMn6JaYRpPLy/VDg0WObB2GmXeK8Cx2AEQyQFNvd
sVj1o6Qorb3jNga+q0Z5B9VU43ODI58FUmzFtyOlYjc92+nnpnOkWmvsvONojPUFCcgBDm00/mOh
t2Kf+JB5+7mA4jQ0affsJl73xgmOxYFlEIiceL2vtTLGAwv1ZKUqN9BuFvo4zzrz1a5c/DUxu7j3
eTA6l7jMCP5PScNxNWOJ3MONPTU+PQYjX4RDU8fN4xgn9teWvi1O4QyKFw9cGJRoHGJhp/nWK8id
gPOZjzbVBbK/Sn172rnsBGjzE+bz1OKF8ErBFFBZdXHt0vC1s5IRLisIoZdM+tXZy5z0o5gC67Mo
lPYi8hkwlArUUaey+tFL2+KL0QfJ1xhd7qHjqHrSnAms7RybNS0dUx7vhS2K3VCP+Bl9x+lJEARa
/E1mXt3tNW5S5UYxUEZUtuvbuKz0Uzmn1LONK7fFLdhugHPM+eRbb95TrjSRdEuLW12z4vdmrqsM
TwdhEt1QAT/WmovnMXWt77ltC0wwyFlXnSjyN7vK5L10DHa2jXKtN9+qq/OSTv33VDKybiRljMhb
feB+wdtjjKFqB/uqb13tleorHBajDMy1hB3jjMYX+cMRAk5Ayg72XZRTw+Dl9Ha6bSYDCgD9CZh7
aSdzvwhIgDcjsuFHmcn8DNKZHYqpDHnCgheDLkZd+xobSh0duDcferCIV31x7atpzI3HnJmGWkQr
JXEQsLplkIO/EU1mp21UntmUzYApScDrDcyCiTWBjaAS4AAHcaBxzEqCw8CITNawGWo/dIe6edEC
uIEa3PMdwiZh7D6I7xcRFHvTQtPkKgy0Qz0W8a01CXASZWrsjUL2b9lSVddSa+VVUNfaXkvTggmn
a77p7NaOS1ALhEmS7K7MrHt6beejjTqIXQXybWY72qeFApVv4MOXd9JvkuvCyvtTMsYVZ2EwK5W2
qDtQZtOeEay5zrNKHPLCksesJIa40ZRtMu5lI5pcOR5bwSme9R4U8JZNY7Gh+4uE9f+cef6+sFmP
LBwp/vDMQ179//xX/fNB59c/9dtBh4MJgxn/qV+xrYb/QxIh+EXXVxAsU9tvZ6B/JBHMX6hX5nnJ
8WNdo5j/OufovxAX4HSyLiFM1+Yvxl856Px+EuKYw/XM0pU8BBMK3sSfTug5RoSSYKEZdfiJSjlt
hHGM/acfPpS7f1+d/PxD2NIwJ+OPZl/hGwBufz/6iCQrE6xrVqTPxBry187Q9iQG/viH/DRgsXgy
mDF8bJu+ua6z9JXW+sOANUOm1ChxoL9wS5nLbtxb5+HcUUePBn5dPyZ/OmGtn82Po7/FVIXXc31P
DnE8+6eJLs1TGKaSvpFKfs8pbcja+px1NTEmdRX0b3/89mz9z37cOgL98P7gYOcgriemuXHGNc6B
gVCcLNwZnWgIzDM7K+1YcySIyL2YW2teqkc4asTlCEk9LCOFg9JijQTtXzz3eJMfEtXmd0HiOSTO
cBcOQQJb3vFg2Pue/jKp0omahpOMZlETWrNOIGgyFveBlRIYWfO/rKoLOY5BqGY/vUl6+ho2GUkA
uenzRD9PEzfuXKXxJzQtuVMjQKON4jz90BHSf7A14b6ihw/zXutaeYeQg9nIbKplP1AwSbq0E+at
MWG6Jte7lp/UcdWd19TIsXSc9E44FV6gwO2rncvDF0hnnZ3AmPpf8ZHRUOkrweynD9njwLoF5qxR
UwlFKxcOFUhE99XYwXhv++4t94TgTI1H/TQkgI82thq1LPI7OYPN1MrhyciTZWf1Ov1MnlnfAyup
LYA7GnSU1R8uIuoSNWpkFwo5QLuoJ2McCuwjBOcumZvUt7oc3V3Tt97B7SGEbVBhl+CIkq5dlGcg
x3Byf2T3FL+zPJmLkH2Ed6ITzLrxi6r/YrecpTDgTU+xIRqoYTggjM3K3P2gICK9o3iHzQTnVP1C
riylZ05Lurd2MAPAFyZMvRIz7XU9gZ+IMm8sHtNMZhQ7xNqe0qg+jYYmKS+I18sTDsHqG3oSLVcA
6PZzYy2nNNdoH/O7/rHiLYILGfrXIFW8j2SRKeHauI49/AxF4m+MVDnLBmBj82bqoJxwlPpz6JAC
v+rtBdaAW3Me2aQioNukH+fhvm+r9pvNquC1F7pz5zS5TqIurVH6F9EqajULx3li3SE561jwPsKc
+Mch1voFf0xJkxDIXe9W1k11Re/O9Eh0orzPU8t8aKTVhp2ynfRm6EgZhZbe0e0g3Bxllp5Szly4
n7R7neAhzt+gcwgsjX1xtpWor1cw8l3hZZ8ccIbPfkhi4CntxLeK4XA3YvemB9XWaohK2YqbpjCQ
HwfmT1zQ4ikSUmjhKfWvERzH4pmywZYulJy2EQfXjVK+K0Kzwd9TksE+wVSj/1bMzndU8fR5Sfo2
gsJGVxBhXRPWPSUvfAjiBoQoQfHJBO/mE26ity6dos4GG5HKZMZz6HhXFRJ11E98Isbo9Pc+1967
RU8OUJTReiEcB8q0X/T4YZYiv9YhBzJI2gVsWmHrn3aCP7XWPHmF2SoEwi8iVkpUoFkl+CKSthFF
C7kAUmcYSPduQojf9eYPKg3VbeKm5l02zA5XHJ0BzpS1oJ1MTdtPHU1S6dy0R6/k2msSv3r23JSh
F4POLh295JuSojrRZ2J8jrKsWC1NaXsqZR/cloYxEyuzmuvUcTDWAuSR8ANMeLUwtMIyXS7xSMra
8eX4qPFhYgAjGJ3rpnprkni+ZZNWRTym0Bb7JD3OKfg5MDYlUzjDmn3CKh+D9NNsJflNqnyfYYve
K87hjxgDAQWnLDzR/+k5oHerupqXBdNrqrAW6fOE2yHQCozFaUCrlJbi6MkI2u4tI3OODq8Wc6Jb
HEg2skQwrbp5dxR6/tR66lJpU36AWNKdalI0B1K3w0FCrz521IaxpO9A5OouoKwp5ysxDhzuxhUl
7UgeNy4Wc39gcQ9PhzuQHRQh5a+vtsHVEkuBW9lx670pqTIGiNR+iROZsMVt5hQTA1W8ri71hjYS
nJMUGqqXniN+CNmLo3cHRummSip6aXz6bovMWfN7673cVxlcLEvumynNDoPZTS+9N8+QkWFdwOco
bjvgDJfAEg6QZoy+dYEDf6AEeG/9X/bObMeRK93Or2Kc+yjsiB0jYBs4ZHBK5sCch5tAZlZWzPO8
38aXvvYj9Iv5i1KppcrTkizf2ThAo6FSisUkGdzxD2t9q9eCtVcH8a3Vmva3CPL3G8G9knc+dK+7
dMYsh8nv3ApLfeF1uedN5cE1aJcMXy3UI2SiQEBig1E1M/nqgNQ/96eiSS+wFiJgTkyYpHNI0pBT
5ZgEIBBB8sG3QepQXI8nUpyB4HEvZFMHkfDBgS56pTC0n9CaFreWUUNjoSnxo1Rp0VqYA3bKPnSR
vNpeoKbzOorFqS7K9J0inqJpTubgkhxP0okbu6jkCseShk45zq9SaMlrbpHRtu1MDJehp+VvnKiQ
oLBUhKuxN4vFT15M6WYkOmRPJp7rMKyJ7O0M4SZe21Nv7dF02t8AmSNsroKUZVrZVs4LXvn4tULm
h5W/w9dwJIw93BZsqTcWhurOp5JM/EoRnpQb+pEXLx5d0ah91kfhQitMy6tI8WmUgZ6d/rxg+TyR
NYmPhaSzLARtXRrWp+rIMa2C2RQwJ2V18GQfqgZsorkxix9T1z/cJnyui355IsQQOrZd0GaflglB
Hpt1p3gi5xhek5x+45i+4//5i/m5gqXUJuQGdZS0BSW5wMb1c+0lNIsI0ynX/SYNgGKBvrgC4EC7
ngTRXzwVpf1PVeXyVMw9ARnrnI50zD8/VdGKeFAQ0Pxypltf0uzG+pcIjz98x/7qKT59NAxrIAVW
PEXdqjpfL4nBEIP+agHx+T1DzMlbRQtFG0P8sPz0uRSJNVQg5ISvOTfV8I30a98lXODPP5jPH/7n
J/n0brUFJPgCyr6f1AHFiIIV5AdNM1xXlEmrJIJRM9e/POd/jvn/jZaXfpIP8o/H/Bev4dfX7KN4
/dT0/vK4X5te+cUyKSFsD8i2TrLE75pe8wt2Ln7o0vgi6jH5xH40vbr+RfJlJi8FLpbwdB70Q6Lo
fiGjhL+H74b5y0/+xmz/+zfot76Nnpd9rfudB07zu6wMfv6G9QplQE88wcZLqnWHs76Uh8IARZRq
fqEwfCP/d6ozG/xnF9X3VeLBsq3u8i46yg4u9yC2Q9If7BgnnXcZW9xbFOhPfZ8gUcgiuf3d+/sv
umfesk9HgnTRvTs0z9JmKoXr7+dfGLhpWzKAdX3Nju1XHUH5wxCMqe8mcnGvm7V1Ec5Jepwi3dvg
QZuRFQUIeIuoCw6l7aprC+f1hmj2gSmfN20mCQXGTDLvELkWXZ5BcN/GdfXmwhGN/UIsk0FPmBhR
7Nu2mzwnKAyNFSKU8ptZlO0LqR/jE+EMMMbiaEyujClKHzNrobGOFpPrfVT1T2hQQxxCqndYveGr
PRq6URzQJ6Mtrma4pfk4aQRA2AERYGRPJIhiMNzk5zA7Zkw1LnalHUy0+bnAe4vugxjJCKW4Nlx3
EzrmQtjRN7tB04N/L1SHsLP6asUrc7fIi/JhU+VYdrOcxEOwaGJr9mO3tdKp9a0hbz0kFdVwNDU3
XQf1wgoCe3BBROCajvTQxCa8IDKzRnkVk7F2lYGUOei9Pu/0Lg8OloQisxr1RN2ilfMi3ASaeKqL
CULbRLomlNgpSBH5EBoCyKHGEciIFfYpU5hzF8wTxre6OpZSUTH1QXjZgILft4MTn5CoJSfum9Md
LZ21bxrTRn1WJwHwsGC6zYWJZkfE7j25DsY5eoBgrSMH/br0FtimG2NGeCEKBrb1L4EJ5AvWa/J1
3YexVs0+ipR9MyVLygLfkhPWq+kB/51x2TR1uZf43B4Z/OY0dmahQEJqb5DD1d6CzHuMe6vE1YZ/
YQns7W7cLGkmVB+0/U2tRS8jHZjw24q+Csg9n1Em8gF3kaPUK5mo+QS9NVQQvN3OYVcSVOjK577P
GlRnqCwBQXm7vgqyu7gGsqJFct62czrzepzyJkPYfJGpzt0TK4GCTXPj1eB0FgpRwPYVXPhHpMck
LVbW6NtU1bewqJsT1nmPeUBQHxJAdvt8TMaD03dLJgb85MkU+QN0meDcmOPy+1ADCvvYi+te9M0F
EFXx0E1u+xrWs3mWiYAxAYgeoOtj0inb7502wGZWgfEjh9XQAdvRAbW7GsrtwDC5axDcxEQkXnmK
KJCIufaSUMdUqS/2JAO65JyWLBCBzXYwxIHtslMKoPL1KxRGw/tE4ihKtzqCg1eFuffshYW6xrTj
3gMOxOU446CdAfoECvp+ik5vVRDE9+qNsryYyftzrzy2KO2WFKEshoRfj1e4vsStAAFm+EOVaDVC
wTL5gLNjZb4TGcRTVh3MN9+dWeoQSVpcZ23NZTCVdCBE1ybnujL0r07VErgtE4utTmtNmMKaGtMq
U364R0ie2LnkRVCs0TOq+1wm8DZTpHOHzJntq6aCo6FrRJAwBpnPWpIbn9s5MG+ymbi8ydZw4MZc
jCsPf4IvUk2/8FKEwiDBYS2FoyZO5tz2DlE1TbibDdzM/pSjGGtwMrOpkz3r/TmF2GbEU8I3sRQT
bzK9W+4bYVN0mxpCPS9ntJBAad4My9N2bpiRsPqMGNDsR3YqhxZP5V08VuZzHsCv9gxZn0+h1DdR
gZqrao3syYiK+ob7WObHhdVudNaPeHft7tl2WnmHBy8kHmZRY2N56c8BehUntoLg2IuBpiCucW3l
FuxYSHNd/xwlbE1WMHjHF/bdYc6WWAV/oVnSf95tuyZxF0tBblCDoyi3vv/8d5PEwujRolQwFTof
2ZyP6+ss2Do7w6921l8JM/7quT7NfrmG4tgk9HAzrsXaWBc+bKp0szU3RAPwFYfs+NZvXVZwPpcH
VO9o9Vf9gb4Umr/d76kwTGnQg9AZkPiBGuVTues22dAyB083wxYrlLkWKeIbJpdr66UeWP2ugTZt
/vye/ckF8eM5HeBDuisEWSOf6tJS8ZGypk83GHSR3kRrilP30K2cXXRkY+/83bf5+2v83fN9eo0q
Y80OdzwFCbnyh9APro21umvXka8hRN2scIuRVeGbW3AW4Sr6z4o4/mUJpAtaWKQgv/v4/dfu9b98
FB3/xeVr/vHf/u3fIRqWxWv7+4r4t8f9KIltjwC/xXtDqUUviVTwn7Ydx+RHS6dEfbf0Wou+70dJ
DFIC0e/3PRBCGUwnC4riR1GsmV8MqdtIVNCe2gbbj7+VCUhj9tP3xJZYZYVtsmsXEsEWe6Gfy8wW
TF6SB3Hqi2Y0ruJ8QNlxxhA1zvLrQqucTMGDyCtcqRJlT74eOmuiNCnkpfKG8iWyvPhraqBtlpMs
n0JdH2JItZWCMwHO+ib3Ft9A77rVQ+miBC7nqky3uXK6LRbr5qSY+RwDNOggUeLM3TBdJjGkFKRD
s8avrvP+OyCCPFmhqOxAzQfOxcD5cnRFxPRr1tW0bVNJ0nbXOfktkQco311c4xsmbualQa0b72Bp
M/7AYHhe6Va6a6yp71kkwzsoq8a8dGVuvpIkS2CxpRnJLZWVfWckbMbL3qaTbErp7N1akhWAPCHe
2HiK39oiILsFjXV6Q6iMuxtM/Hz+bCuHrX+BHFPDUr7Ss9LbBd4QbfoGw8JajwPrnbsitVJQF3JT
98o+bzynvnaR+4MDUFp+SFqbabULUB2j45y9aplEs50R4noP2al4ZuDTH81a1Se9d6wJebW0l7C7
ubtPjGY4ZY2Yv5H9hvvDEYV2hltaP8L4ZlI1aXl8rBZAYpXrwWbqlieRiH301ZAXGU8IfpJlRe89
kgc2PuhNWLwWvYQTyoVkbfoRn9cmLXJS3OLEynZiMpiwWUHp7LSUlLaZVA9yf0T7jVcF5ZXYaf3O
jMxx5r3S4mc77YN3lSMe7zqlnxUYnndks7s3ZVL0MD5kAgnfNps5I74j7QXABc/7BvvfXfM3FxvG
7/110pT21iXb/CkDyoVXelTVUVgi2irb8N4GFN8XM4YjY7ETu9dSTuZdoIXGHor6fPDyJkaTlObV
CwRXvK4iQXaFnzZ+6lM5nbmqoHggAwcrvEsajbdBLjRfBlQd13ZNKCOz64bZOubqjFgaxvxBXxXA
CHJN455Wy13jgTja52SbbbgTNrfCbqKHgOHdOSDM0W9yu+aUrrLo4Ck72VYakcfnCSlN3+ALJs+u
DnQqdEgmgVSi03jgY8ggePRAngwLJVU3ZfUJIVlwzlAcT3xZuBcW27aDNnXRax02HcPpkEhqMCnq
AC+lPQV2ldOd5f1Nx7t7AQAl+roE80LLDMuXBmLGPcFohOP1AZemlr11WVJtba93YTuMCCyGcNxm
FupgA7QpsgavOA8TGxk5mFntMp5Kd1zThul+FCtrVyGFf6JATW7L3I0JU5mnfc57c0XO3nyXKnu+
QyJeE9hkU7iskILLDKt6JHSw8JGe+1ZFXs86tpvmCgsWazdRmJT9Y8gkf22lwZATNjGwznFcMVzX
HkiwlcxLgY2GEEn7lfRCE2SqmDNQznnwPKs5BhRC05qsTFQy8w7fAjEu9lhYHojqME/W6FuCTZIl
EeQzBDNs8ZMcZGcxX3XNHEAGxSC2n7VsOiFVHM6Q7VtXnHeZdy8BnnWrdMSvQJi5Aa9MAAA7G+OQ
ia5raoowDwXkuAXocjQC4rXAiJrnCpxquh69GDewhVLwuu1r011plRw1tgXV8Op6mUccht0NaN60
JHzRsnzQFxsgrS4MATZTKAog9LZt92yqjHVgDsmQAMwgFNYa/1LzMUQME5M2FmQ4dgnKRM4zGK00
mtm9PSpglVXfj3ddVbi38ejG7QaMgbx2cPXr5I+w/cgqXd539K3YwVP1tXTt7KNNK/AzBnlBVwMn
M/lB9KY6B9igHoIJTZglKnTyh9Jxs5usjuXzTMtmrtqu6d90MgTTtZKmR5Ng6S8ZpotdJKcKD1aV
DfcA2+z9ZE7Nvs41xy/wE/k9deJrm/atz8JKHgSJ2Keh6LMLXKI4x+s4KHyiAYFlwGPTQJ97qoXt
gzThYa5MseMKyZ49gg3hwppNSmvVTMwBFLi9RxY9HCPkm9WF35UuimXGm0umjO2NDyRptZuyF2yo
ZMqZEhB4Ga7LylRPjZVob7HG/sD09OTD0V14qmKYLjymC8+i0J2Nq5W2sYoyGBGY7ZL5m6WDzYE+
J8ODkJXzFBtWsDddIkancDT8CVz2uLYmU18Xos8ZODhFTfJVVhIxqhF0Uhbc9FbI7PBiQ+dlO6KS
/mK0lfHYs6zFUyKzK/J5591Q5AHrlwArgBPp7p7FjnfMY4zkcZ4YD0gi1S4ShMCt6lBp5/jRXL6D
Y/TuJVy2EbxhvDiiY3ebmvY+adBpDUalb+DviFe9qsyAzUwePg5wCHIsGbHYK2vscqyIVShQTNm0
f3Ud23dhYtX2qnMaZAPZmM9+2Vt8R1Vq+UMc17s+68TBSKb8rE6H5mhbdKArmnFS19pWOw6F0KC8
6+aRXJyWi3t2s1OMidHy27kBRN/P4I3Wwq2Gx6DgLGbM1ewbVFJ7Vi/uVUiPvvxLvHKIvxJ960YI
IqO5GA5jM8BFT1MDZ6M7z1wxnGnDvpTdGPpc0Pg7FN/K+1ZvilPG82KgWgYJc52nUPyIrr9urZww
CD3Jz6DqVZdFFoYfYPnUk4fdYTcPrY4akSaEsRZ7YQv5RcLSDChv40jGkLLc96xa2R95kKpK161f
hOycN6Mv2fNx+ZNH4uZI7RrN86qdS11xZ0U4YVhopaxPh+CUDrL2yeToL0QWVsDPLe9oNF4bA3sy
pkemg8s3VS9ukN8VZyTxxk9u03kHkw3+A3gvTh9lpdaKHbj+LqJeuwCFPbS7SU7Om0M20CtkFnUW
g2mgjzClumjFJE6aOZmHMA74Kk+TsL+B9zQuvDYQV8moNVciTbKDG3DRruK4VdhHEedu6rF1+XLy
1h5M0m1eCK/PUf6RTPVkJ+gCVllWMHBqtFKcmZTghJ7mfIGARDnvUzI2ByBL0ybhrDjhIvJ2YOcd
X0PQQoGhWf2FzNS49+KWUKwxR3IJI5/5RJhA28aJ6oUoCoyeAQRmJG9kJueGUJ9gji43W1I9Y6Cf
Y3eOWBIWtRV7Z4EkqqZvJPGgUZ28hbOKLtuZdN6mYRoLZBS0i0vrTgByV55mBp3IDVqZyw1Axhwm
C25dTgsLX13sFWrXwUWCL4Q7cs0gK9wV/MJn8TTrGP7yyoAmXRMY2zrOiImtdMw7h3IFEYjCxIYS
pH919TSdV/CSaKxNDbG1nveMntRYrYJoiHdwF9nGhxFGRjtwSBacIjPb6FAptx58i2TVMkk85LET
3Rqp2W6dAvXPqhVcD3iMM2Y5scM5jKhNEh5oYW5vvK7au4uDbjP2Vb5FA0K4q9fh3rHsRpIAA8SK
yYnj0CqgFMVs2Fr+1Mlxbw/Y+DmhDOekCjPdkzdNEm5pBArpqiMqeBSOQApfJFdz7uU3WTQ0F0IM
3ZWVmQnHZCKNy5T7yTeQlgaJad6orjpckBN3a/g/Q2jW9yiYraMbapGH9CaQGLftNFzXjWN/BHUy
8J3HsP7eQHeDCy4RvkMbyqN9WdrcdJzeuJlCb7qDYts8pUblbeNeam8emUFMCvkWgXLrhgc7toI7
0htLezVlufkoOic8BuYcPs8OLU7BWPhyhN5Ur7y2T94ExsmrJAGau25p9Xa97qiXwhhoniwWziQy
loYeM8MT8pRUciijXYvmaezXdhtR+B7qfprvPaOGf4P/O39HvEWwb2USPsBs2ToHODVeVeEAaqgX
tvbeFG1i+iquGyqjPiuxXhpLIqZrZngSm7Bh0BkQTPTU16yRfVyndbIz0VT3eA28Vm3wxHrDBpWs
TrpwXdfdBeEH5TsG2fqX5cZ/7tLYpeku+68/Gxys//G/mq/l26dV2o+H/bpKM4mqtXDBeDhfPq3S
7C/k1PI8y7ABw8xCkf4xN/C+mCbbNwiW+L4kQOvfdmnOF2lhnqFcgUhpesuj/sYybRFV/jZbY5fG
0EIu7A3BstowjU82mdHBvs2Bk25cpKOHeB+fKWcVfeu19e/emH+1BFtezH98JkRjUkjLsplR/Dyd
gLhpQOarAtqBtLvBjt8ku4BrnrO6UdNdgTGe2JWqJJmjyC4EJfRFxHxdJ03P9g5oX9W96KrxrphU
f0Gcun7Buii6xWowE1g5euK2S2ztgPva4e6QufkN0ARoixZh1mkQ4Y+2AhtWflRT/2QEuZoaLuxI
b7gX5Y32JIsofu/bytwFsBIjMnGpz1eJp0uiBJM8xGOdGm/0tIYv4fjNPL4yH+c4rD+EcojRjmaG
y1Tmo9pMU9uyBqvTGhKA19BsNfLDdMN+3lZOiL5eZoFGBd6Ike1KY5TxoaXqWXI4LW5+LVCQaw/7
kcaQwQxgsIkB+wVSE8zTTrtPzCC6j2ZDvniRN5/TQRnsMImhY4vZhckWQys0CiqtdR9AV6PLG79i
ZujXNJIcgYCYfeSRxZlbee1Jw0cBZWF2wFuaHlq2TeTMU7QXlBrrhuMXJijJLpD+v2OVpDsSfctw
nfQWJt7DhQFuOFhl1mBdexZkqD7V7BNCXvuk2ip9TnQlz8SChwInXNzFJP5iYhEsNVa2HoaUnTpk
7LWVNe0Rzs14DW4EPZ1H9Mke2096hsXAc5lDdQQreO2QPxbd2L8AFJtuEtDVGECRFkPusgFzFT25
CpmgIgFY1k2XxDM4d/00ybtQNvoWcGRdU4441QUaTtZ5iePlt0pV3rGypXnSFjhZ5NgT2EMkQeQ0
pYNiy1PX51KQfEMibZtc9X2n3xFeXJNy4ZDuQ2ncHYoxQc1kTanKV1zT8hgsJDe71DwM+m1ygHQW
nrehyXUSLyQ4wT/7iTtQyyZl39Us0HTIY/EwXkZWftCSAEGwanGaSqZm0+QaL9wOpz3G287YCovV
J+Mz+WIURba1UL+tCYw12JPEXnprImTjxcGWYbs86sDLZ5bSrLMyL7lAvUh8SWDmsNY6iXOs5I4h
z2InS+pj2MKUWzNECYytcisbDCOFanyA66q7Z0WUU+p0XlPMG6cYMrWt6yJ9VB2BcqsSsB6LG+o2
vn1t+BiZiXGuubV6ryM9FIQsE3yylpOHn4Uc6WyjApCheH8syOtGYOSXQWXHd8BbYmNLR2Kcprlu
H4wgm8kzbKKqAYCj4VqqcGk8ijYhbrDFyFJxfWvNgzFP5f2omuGtpd971dwsvUY9OVP9yAiVZ836
8dxJIXxSFBWENngdfNEz5L09RnowfVug3DAE/e/n3t+6P15VH8Vt13x8dBev1X9dHvpeVnPDwKD7
7z//sf3lz+FHuQypf/rD5vvA+rr/aOabj5Ym6tdDf/kv/09/+GPsfTdXjL1fv+aA22Oa9Pi9+/3s
2zMXTTzT4z9Wkfx7l/3jf/AbvX/yTvx44O/ufbg9JQ4I5KgL6+q3mbn1xbC5doS9LHYWacg/733I
SJjZY41AXYLzAN7cP0fmuvhiMNlGjYRV3sHd+bdiHHTnP9z9ULaxScPEoeNutr/DAX63SHNihM5Y
8OBNTShZV05tt/DpQEH3tJFDt2+biXFOr5F2YwScjJDTqtuMwfZ2HNvkvrDCZgnHgt3O1d1cUUFX
e8yDHLkiqely0/FlTKt4G1tsV3UPnjB5lYCcZlGzxvG+shB90ICzbGMPKG8WvNXx6PiM1SJgfqQk
zaolsYRwyehYeMqkJNeNs2AMiTGbFsRbyUxzXU+BvGqDBgMko6Vz02nk+TRU5qHpICgnTWFfVti3
GLp44kC2eHWWsFFu0MFWBZNZLeh2Y2JgsablJlaOXMrMbWSymuhVEHdsBmvYDK2gzOVQ3yzqtjVG
sAJ8UpMesxG4RlCZL/EUwecJJYv2lJyzsdK26E5t0CMYNY1Zdvi64FiOLHKZjyX6WdpPdxmUwxte
SX0qwlke43BmLChBFKF6nRnbigOzmqdCt0lzrNE7xzBcGFLKh66xXtrYC/atlOzkEfjCJdFfIqNC
Sp4L45izuPctq4bt6cyHOUmuvXqyr5TOHC7sDl0scKy10yYf0/ksick8Iyc192vdhiDZ4VIguZeE
3QJ9jtcN064X4xusH0YKLbM3MsxIupkRmeSaVWwClN3rWg4U26I56eC4drD+rXotnam70GmBSIqt
6ugGDW10iBIEPiFxDQwicmZtUfyVFlit9WKCuzjvSbMjLiJR35w5e+EAgw8W8VsrPTqKuS18CGQO
7hFGJW1YM14a4/pM67JnqEbZjgiBR6iu9g6dRXRKRIoreRy+MkJ65g6XrjPyDYqW5OrOw5Y4uOT8
ZM1wAIP2HBf1ZUsg1MoqMiI0+YhPy/5/NRjzC+MOYscGHZA1vEZ7U8M8QVOjB7uYscqVQRL8rdKL
+KsDw3vb1Z23Qf3CFl7WZvJ/0XL8v3ak/lgn/umZeuq7Pn+dfzpRf3vcr0eq/IJSj0XiryE3lNm/
+u6dL7QeBFwKjykp+tPf1pD6lwXewKYRzZ7NGs7+7UjVxBcLYSwrSDAojvHLKf3rveVHYc9t6Q+1
qaRq/lTos4YUVPkudxAX+D6w/E+r7J6V5zTSV/sTKomN1zL6RQevBlLna84m8yat3In2Xw+6dw5l
7KqlGafJ1jNE+lpaTvBSZxrTs842NnVSl4/pVNuXGsQqBvq2d2moZNxHWZQRFm6Z7rmuZZiksqKd
ji2o9fcszwekCgCtr9ldUct1NjxP38W7U6zdSXePrherR2i/A8PTKHlKyjrJVj2v6rLQpHk597r1
3OZEMypX5ds0HyZyRfRwO7Y5aeN5QlTIyhkbTDKjETEpUWYRQfFc+K8Dh8U2TlV8hv2H+XaRNOCx
8Uide3PcXRq6Wd9mrV2dQcEXDz29wCW6ZeDSReae2Xg9tx0zyaswrkNn5XlMtX27H5jrB0mt6dsu
IeFr21asPbEwqORUOGEGe6TQ03XfAkbjvtWz6OhG950MdXhAEyzHjMz2DhY8tD4Wcgyd2PpmY8iy
jjpslTQa9z5d5ZCUOpVdR01jk7aDfGltKrbMTHmFBrp87M/UoFnbIAmo8ZhRg6QlEUycoEmhyfM6
A2GYGbFJdcJ83Kp6yT0VTpjucmWaMZasqLmAlEDA7+iMTylL16+U+vmVcnvFr2iTo+Kn0m6+2iQg
PLgzsXmV0/ePiVtGe6M2wqd2ynrlL7ysW2DRxHBkfV8BYYwDjkREM4zMS6+AuFw7ihcpHSPwmXbi
HphEHh9iqFZ3uLy0CzNrjQ98DMbH7IFtMotMHTqvOBpyDs4mqwOkS2C87+YeY2eG6XIXtxGnbhpU
X1NQiCjJNG4N3Tywl4YVeOinttqDC4ZqODhm4pNrkj3OvSO3Obu9SzZ6zTfQzJrFeLXO9iUBsn6H
+2PtNjXfDntwcVSKZAs1OPabehjfMXwW90OdhrtBoWTsbG26mdGRHWaj6T9m0+qfbKmNV+zD+22X
xeoBtlPx3dOyIyh8vMZcB8CgKqMbU2QWLgigeuswjOVVgUG+W0O1zYHyY3rYJb0TPZs9wUkban9x
7APSolaV5i3u63YKD2PsivuOtvje6wi+YmsZdjelRy86MaPYT3U0fXXsMXgkwVB8K8tyblZ2EU1w
wFRrsWgrY2/d6KW67mTNrp9VJ3hjl+uK8mO61yNTI08giW26ucUTaMq4OesaiUzf9tpjoU9tx+qM
Ccsq1UPzFNsdI3sbbdW2zWzTWAGjq07sn/AiysWW2C4GxRY32k0e9uwTB72K2SaFffy1woV2jIsZ
wFlZm4Ryts0cXSbffZDjODJhq0DA70Y3KIZ3zTXat7kzuEBz1xmJ2AH6pQMNRVErHtNGudi09fjG
WQyYFdLTldawFegWe6ZQSfHAfs47zIt5M2ud6UrvZHVWmyULWKpKjos+WzewSh7iIQXXrwWpfkbB
2p5GLqiLcDDDDZ67+E6YBHQmSjPaVSImJALSxWKUk+yxDrOk3HZmzYoA6nX+TsTlDK18ElXte2nR
+0WbJw8JNPs9OURy7UkGpqgMFpay3htvlRmlZ52pG7fsPUrMPlIyTq/MpygICc5TblDetIbVLpP+
ibZ9cAhf5J/H7Mj9CL5FE+WMqmEa+DEf3iZhTH8goiw+YLcS8nwQU+utkkAZr5OI8r0qeBFDEUrI
mqb7lgsvuWwgVL4JtBL3oWVl550N7cy1EtCmdeleL4SMqwpp5U1hBKbPGZK8lFFqD6vaSCNyGrrB
3OmV2V4lyoz2SafFFI4D0xpbn55Hlc/sUUp3C8G9Oa9m/IVh5LUhx1vtwI0O9b1BEu+pZduNMHYQ
7Q1tpbgp8M+dGTZ6SUMUw30XshHsyqG869sZPOfcIIdw29k5kiIaSWAFPRj0KnWrt6E23HNcO/Ip
cktIFx33OzQK7CWS2chvqtFKtnyhwRfYrXsSXQnueerJKPE7Jefj5AiHc98BTIC2QXCqdaNXEa9p
q7vccGv0b8NQvDuxYZNhTwRCu+rNfji6bWo9O1G47AAqvZrWjZTeeAZiUzF5jlCCrDpAandJoZpH
1Kz5swO7xFwjpESJIGgN6ArMTkM7rLvZtUGcQbfS6jBxd2HXENLQGZa699SIjnSWYfdeWVLeoI6x
L2p7YEHoZFH0YHOQ3+sde6sRjyJYd64/tgl8xLuynuUpVJG6wPHorbuxHa4nS08QXA6Ru0Lqm7RQ
DirT18PKuek0U579/9+P/ygCcRX8cUP+8NpX//if/0rCxsN+k7Bx6tmSeTOLeLpxKrNfa0dwThKB
LC35QhP4rm77J8qAem75n0T0Rtih8dsoWtO/GMbyGObUFJD4Pv5WP061+bl0NHAa6fx13/9a1/ok
NrXDuTOHvnXWLLKGZy4MBMQuc09MrYs4DG0A9w7CY+S3vu914kDJrjh3p0I/1nE3PI3fxWaZ0NNL
o27cjTYsYjRQqIubN0wRFnhDtUkJfd4hpGhv9NIaHka+0rTqTuXHjOGZt6Xdzo74T9rMTH3kbj31
zHClV/U3pYaDdLBCsX3yQ8Ng+TybxjnKQP2gKzPh/+b4OBU05YU1oYetTHuNyhxPQVNNaI6TJQYN
04rMYZiBVMDFSHrgDucTuKK+k/vKaAKc3Eqs7YprX2tgk3LSQk2GVbzKCR0f/Vgf0BmntjiqsJVr
HC/JetLiLZ6GbbtMvDNxxOPS7UdbZ+aZEdCU6LZ2HSvRbCpD13zS++oNGKh0XeSlucXKSs1mdIwi
OX03EZwkv2xtsTbzOlxT/cqVblcZkocxPrk2t62WkNVV1tjFrtI0ZAml7vjVHC7p0bSleWMQ+G2P
8jIErLgdTRy+bZ72m85idKx3o3mBfyfaa01f7keSik+ho2nfstgWRLe18llwI2cPbITfAPZPG7BF
BcfVaGw0tJnn2WzU6IPipl8HucT3QjrmkY/X2xYRFX4+S/wRembslS4qa4VQxfywGKUu5FlkeYkb
xlgE2HMSY2WbvGVlfB8KET55CKt8vSnDiyKCFoCrRtTTg8hcM3iaQzeoryDCTsYrOoXuMEAeuvA6
SWZHY3R3qNZIUx+7/tDokDmpUyc/NYbvPwgfplSyGDfN3lnzDiPSQM9c6T7LzfyDGBpP41KZnJKy
FeGXntXGoW2APCyV5BPkz0UbOTjbwulZmeepc6eRt9ivjMogJxyPAGE6Q3q06oDfPMCAk8JGOo+J
RfoALK1us8nTTwBsmie7nrjpDKCPt1Bn9HOAvMGJMGe1SUvHum9x4sE/w465JUnsWyk0DDvkycRb
mTvwJHNymZiGOf+bvPNIclzJ0vWKUAYtpiRBERQhGHoCi4jMhBYODd9Nr+Vt7H3O6hJW1tVmPa7Z
HdzMpADdz/lluQmMUt8JJ+oPYDnDhbgij9ylyIkeM2oN79ELjb+suIFphzl3drYlsmpL8pbTrLwq
dR+VSunFSrtmSySEe66qrH8aZ4efu4Hr8G5MpPdoFrX7ZGgpMjQ9JVUVigIVmWlLwJU0eeInyq8V
uIoGzlrPkfwwyoqtpagZIxjwBqD2spiWpil0R0wIMcvOlZI3cA/p0m6dBzUrFjqSTZ5TF0c665Sf
Oma7r6lPou9haRMwYY/ohSQJKDECd+POimlz+pyl123noneerCFH8YPK9CWxKw9lLd6Pi8G1fso8
ai1XURHXEaHLEqNUWkevYoycbR7zTSLXi7LZs0kxs+cjn/Tymeh0J609FYhKBlaHJQWnR7qVlEtT
M90mquG9raofq5+tP9OEOp39zDdRRJT9pYMq2sPNaIiPKHxZ+yhJ72LhTGRf2fjJeeZMfrWuFknV
f0wGN4uxXSAUCDQl8yRaQUxltW6c6iOtBRrNxiyZjfUWPXoOvl930dVvMvNIKQ0hZr2q46p0sfU1
3yHgvXlN0kz7kJZJDY8nY6pohj8jaWM7YTZYLxpH7an6tjRym+xzar3oC43WpkbRHbWQLdY9Mt8q
ZovQRV66dZT/m/2LkOQu0dYCqGFjmXW08yhHv1gkuu95uBEvMAGyFExym9PDtKJzpqO7zmkOVY7n
LYWa2y78kzihoO7ZQ7qdi6yFDnix7F09rejLSvVParJGlBmJ9tQWOfolv0+/isEv94iqF06CwNmS
ysC6A473UVpusjf62aWpC0EIJ0i0ag1LEobnWD+OH8RsipRTLgQrr32iStcLtN5WK8wxLKs0QtvW
z3t4J49FyEoPWcGPreHF18nYrKvAKg7Cyvxt6rskqnpNHeKClMe2d7O1SxbhmeyQJmRtGTb6KImE
txbry1FlKgEr2paedXQanY1mOBklPhpfFXdjKEp2CFAQv8R29zqR3//TGnSKYIQi5WoUNmaogrI3
5l81idUh1wuGyiQZTpOg0Ax1jLvLy5wcCwp9E6cKcOjgXSr64bUxa20TExlBaH20cH0P7iswFD53
t6nbPbDmQtJ2S7r6qh/o1iJ7PNLOOtkNuyY3RLuLm4UqNZZD1LxEAuBSQ9/5MnbUs6zzbGrSddG1
5Z1rR+3rmJF8MtP3xceMxBPA1y37bdd18JDV0qdvyWTmh7gpPwZ/Mm3+qqS6BMjjL2ndIoGPut8i
L5NtW/FYkG8QoRyVLtFiZLQhOiwhIx3rbsm76jJ0MrgbS+itqCFmPB/adlWZMTI2t4k+ABZiXH0C
nCIjJ39qEXzPMJtny+4l1b19uknstNpKEii3aBHRZJZdf58NboJ5ku8RIa77Pdixv3bGiU1p8lTb
XuPRJBaZ3aPoHOsoFq/cmXPvhGi/C/B8nU3aG6sQMsB/7/uxfwRuRQorp1z6q4LEA8peqjjZqSow
Opac0j3pbtN9WJbotrGwkVXWsB5ofF3XIjjNyabgBQlLcxg1VztDEtKkIAr5ZEc6+lgLotQtIudS
TV3xhCmmPdJW6D3xFMVYnYjHwkZn05mDJsVniDA1KV8Ej0fo+U113wZLdHJ8tFakFJnGw2QkBfHf
i/aUR/HPwgeynb3BfYymSH8VTHDfY1NEPzgI5IsWuPkbE5h5X/M4PM0ys4+FV9BT35rGHnPn9JJR
zfaQJ3ALKgi/Rdq4VAe9a0UYzY7Y51yVoUUuBRLCzCHeHSDSwtGeotzzBe3VxN7A0JrioYbWfKlL
2z55EVEMABHZQhq/TbtRNgMSrWhjEKfZrrQtpUm0FQZDipe4TcIlz7V9Sq7z3Uxg3pr0ccAcegQo
A9JT7x4fQ007YqGKuGYeLuk4J0FHyDuuOO2NONT2IWoFVK2WlsOjg5KVHueKS2uh7mlxZ+2aFZZ1
9QnSZ2Ulfv2pK4zlubhJsHN33ldKlq11Ir8GdS7fUyXadm7y7ZuSGxYmumggJiZFnQX+x5hew2dH
ycFneNattJpy3SvBeJVozUtkLNVnq+TkKHmTX46ddmdMlsOTFVTJsw8i+Uz6wXKQSpROTwD69EhJ
1W0lWofc98+MOMy02hydBiVuB1RQiaFK8m7f1O92n43h3DpezwBvU1qihPKj3Zp/6AtGPc8YkMMA
98mhCpYWdb0S2msdknvfsZNX0pTaa6EE+eKmzSf5ydrldJBp9Aze1Ps3Jf9U6PqGBgUkw3GWhIGS
/Ju0KV88/nMIU6eqm3DA5PfHpAV7L0Y22C1BSvme+KTmU8WnfGZpkl7xhph78tvtZ0s5ENJWpFR8
KV+CyNSANJZ4U7GxoFrVuqX5RU+l/KknX5zzduQ8wxYwfzC5NzVGWjJDVuh7EeK2yikhJc6D4eae
4AjduQjXPmssndfUTnmDqk+F6HRlwViwiNH7gi0jmMnbyTg1h9U8F86xszz0yP3NzTGRNRK2xGaR
ikSYzFerjB+joeVn9EfR2SVBHmqzKEzuGspc9klMfGVg6dNeRHV/KPWcv7priKk0JCC65AWt9d7o
37KbBSVXbpTUxJeC+RLo2DIS42qkC33rmqFrJzfGzULFY/pqGFr5hnTNEZtej8svT5lTQDSIoIcO
i7Y5mTjtCsXecmadyS9p2lIzQb8ywwPI/09/s9iA/aH4W1xxwPyQIwDNxwiaNpqMakNzkL/TBjw7
PikVzM5mYn1rSgIe5r0PlaecPhUihjEsZliqVbNo7rOrTEGECaFezzvD/qqUaWiasA8JRzmJAhr/
dqWyF5UF2o8SBAJf85iCYRbT+P4fA0YAAvx7MGL9JYbf/f/7r38WFfw3iMGf+xuTRVqECRCBZc39
qzrgH2iE+xcMSHRgEVltw/Yr09zf0YgAhxPEP745rKA6CMHf7HQ6rVouXFYA7eRZkPQwU/9CXP1v
RJZ7074BU8YIken7gpTBz4d5D3kA8jxAE0V0/ZM6AKQt94yaor6R+MPhLUeZTlVMhtXVKrG/yDKN
7jNrah68BrH5FmN8XoadlVL/XbGon+XNiSJI/A8oZ1R4K+2SutwWo8v/ssxdprMo6tHHULnFPo10
Z9z2N8eLjNCYbtkGqfZMABDOgTl+O5nyyBQInaDRizHil0RBAoR5J0ksioeR1U7LhNuuZK+2msSz
S9o+a5tIQ6NwkhNIp/PcaV1gsT5jTQZ2DB5AJ7SrmzINxLdLR10/Mp3n17Gxkl9LbGPRsrrmOaj7
5JGUDfPdqQv/Mza42bTBdjmeGsPf9XmerUU8+3d6aWoPS6KKnNLF+lnUhVmqq1MzGm5RMeQZY1WW
7tvYbN7qRc+exjbSMfKqC1j3ivy1ckFLQBLIRvat9MG53dlYzNX9ra5ynVLk0Jqc6CjmXj/ZTYv/
oqfRbmXEqfkmhUjoKh7o1PLjEiwe7KL06mEnx6x+IjKzv++whL3zWBqnLFi0lUxNhmE1e5Rma7wS
D+A+mokxriehClPVsBKbojgSXWk8eJx6GI+k0A5pN4ktjZQLbSW69and5p9BqibJcUT5t6GzRCm8
1LhER2p7rNUIRWWY9TIQWfY8lbPEV8m8NanJa5r75gD6WT71ROXR4md1sOo54XR0OZ0stx6PZqAp
yV0X76zW5i7LBFpxDYPVJ1sHpaUp+SflUqDQS8fx2yZC7K1tBzes7SB+6v1O/Pjkm9HKHJXtY1zo
7kPb2AJ4zWcA1svgzTNp+65MLdg1VbrcI7vrv9vJEy9pOXno4KWBdypxHnuE1OuumoYjK3h8LvDt
Z0QeWNFhsDCYrcgD8/hiJakbCPhjxJdWecBTlQQr24mKq+lFycO0NPI8dTquJzb5Pt/WsvM2sZhj
cCcWzDtTM2BFaunPCA8MnYWU3D1U6MRkEuLmR+5ycL2J+Lt+8HbpnGsPCO/tXU9I1+fS+MFWLIu1
8XP2tbon/ANSMnvpvKL8yQsIO/wE2b1e9c4uRXId9rZWXszJk18wVdXBGkpt7zElroQWyL0+ivEN
OKF/r2LEZVXgjoeuI3cLEFA+BaIrjnKeKHzradwh4Qx/ALc964vT6pdqaJaQKR6vyIhGseGMu9fr
PH3iQDORZBrzfZBicWiMUluNlkPeonR4X7Nsz5o3GQ85B+XB0qT1e8DvceckJtRiHSX7rpy0rVFI
sD3iDa9ZQw+XUyyCOpMO17iXz19YUMx7t67HQ6w31VsRg2kOxBlkq6qYMJrQXYapJIrjQ1YJOGOB
0v46wjCFYpLi0Ffl/F73g7HLo7y9031BP1tamaHvxtlhaHLyiity0gs4+QeXt/FYDYb8xszDMNMw
Uq86PhxSQFov9zcyKiFBIz9ispjs9rsM6ljueIuI9sRIIgYB5PW+sIz+1MnZ5HAtynfMdTyp1Hpq
YWr07VfQeRBnWYr/iJEexSaEtmvpG7As4jySek6oveugrLR8aOi1cXXtqUGawojbz89ZNOYnMzbr
H07l+mIPov9G6lN+YL0bTq5jkCMdVZP8qOjhS5mXZ21kha+rsx8n7QsaXSLXojLCW9ZHjWKzyARy
cbtM9UOiD8PF6cpWbKizJqkUFFmld9q+AYo7EtKNkWcm548nzN8SUj6EPpVe8crUR/vJk64xhFHd
TQe50COlRJ1bokGAnyZ29bXWA26zsDmDOHDql1h5+66k/6fVxjcHSpPO2iKHbAdXgDZis+71I9kp
sGD4OPrVoFu5s9YK3jWd6kFESEw6PgRQSnA+HCivKD+XZz9tqmZLc5zzFEU5DOmYdxPxHKpg2DRT
YN88F8An2pKOAvPr3ETbHnwFd+EoNTLGu6B/opvNOjRloF0rPV68dYZBnuC9svvK9bEx96lXdpwx
pGSspOV1v/wRyQbsKQ6RtZ15gCRBjD9USwznwYQNoviKWKhszY1cxmGaTxacmV6n5BQO1pFrnT+N
p6vtDgZTK4VGvKuLJ20fCpae4JVRSfSn0uQU3bF8D8MW1Ln8NvvafvVawUc596jSV86oQqKGiMV0
nUDtYnsrqghAvrIkTX6Ip8rQnpA9rk2wwivNAfzmBZzod7uYCsBMc20HVYw6oZEBPptEb71HhwKt
A589JFq0MH1LWUU7StTB1WaHGmrJC/9DtI92tF3mDGJRUqoLfUohwrhN041t1NZ7o+nGesB69Np2
c0nEoURWyICb0PUk3H5XdW366ud9HEYTugk9iOxnUg7jw1CNaAJBdjdVM1hXzam5IBaf1uci4svk
+SfikL4w4Eq9AdlC0NDAhlzym8pBT8V8lyvpAw0PMxMQVek76GR7HyiRhJfJ9jOOreoE0Xposl8L
sfS1n9eHsq+mK+pc8zeaJUJm0f97J5Bg56OW3vgAlFo94ZSm/002qb7SacsCPsDnCwBFyAykoRwo
fsaMRd2mqdnDNVpGWdByaenv3iAwGyIPeKWcbtkTfmO+Zko9QrsuQhJs7kDAMDbxQ5/o4pts0ok/
g/qE88e9Z6WM76lbaDZSKVQsohDYT5RuJbtJWFg6kNjw/TtngFT5kCZOtJkzrKF87clI1Z7tbG1w
rrtcqWOsm1BmnkdXrPl1u6G8KWly37qg0eCp0qVNkmoBAxHfIS3Hhd3d5DmJUupkOZodM3eWZkVO
tTgHdle+dnVGSLMJSYL0PlOynyBTEiDdk2SRNEMs4pCo/uWPmIMI6r9ACB4zmt2VCZodysn0i0Rh
8ZortRFWS3ElGLa7EPc3nvreDnYVAZCknyqt0qBUS/VUcgowryWhzeXtrdybxGmwfUi08SZ98lKo
55aCOZzL8574snI7lzV+Bx32Y46z/KdXKqpx9BBUpSCS7zm9kltP6a08pbzqBlNUsFUiRyIjEuLF
DKXTym+Srbyehp9c6bjmztDec68vHquqHa2tiUFvr5l5dPGqGhmYEoQ1ShpWKZFYo+RiUym0T4ce
ra/qpiYTCQ2h4MKIzLgS4d9B1Sz7qbvp0DTpkfllGBUVkYGdJgyO5iLvzSojGcvWqu5kC13+6pRN
Oulr6yXRsE5b2dLgoo4xVCc3b7WzSP9a0Gn37Ny817ayYVcofIfNdHNnaykhapg9HXH2lX2bOxba
qbi5ujti2xlhYCdxAEekGa2MKIcOYI0YVUvEaFBFmif3doa/gtumcg5ZPXaPvI/s0SCdI1FZSS4J
rfZIeQb2NKCIm/3cgJVPsTlwtZvCLh598qOPLVbMceUp//oArLYg3TIBQ6XythMwjc09m5Tl/T9m
w2Xb+/cb7m74GtOv9vf/sOHy5/7Bt+Puwt/F8kjgnuejuvwb305HEgsqInfqvdiCVf7QPzZc0yZZ
MVAsPMU/8Pf/veHqf3GJg0PFyV8F20FXnf1/WXBvfxUc198WXGwxCOA8MpWIjFRJjjoa/H9ecEcQ
db8rCvqNSC94KkVX9psATpWwaK3Rm7MFmZSv8iQ3ISAsQphp4DnFGjj5KsUjdbLrIOACK4qIEbnA
UbPiIOkfmQqD905B1FpBQjhPY7GOLOmEs1fUu7o2llOr4O0xZ5LvyYJTng5eAPou6xfRdxyODgbd
YzOk5SvHnbYNyqba+gpPtxWyTozueM7pXtyneu6ERBPQptvmtGtSaPMxFUN0xwhnrRyMLTs/B71v
4no6zgrRdxW2XyuUP1F4Pz9cd2UrDgAnC3V1IKbhGHS/Iz/osEcP3cWg+uaiFJxPDbjaGwFg0apf
ovxQK6qB/ZTezAnNTL/FI53dGbhiaYlSFIXf1vbzlNg+l2clUrWow2YERba8gHvAceik8SOr1/Qp
pKQPFqRNDUsLKZ5EbqaVqGi5TDQqWNokTXg1Tv5mxvSW2uxsK6kx77oGRtEuqKq9vkgCJIS197Ul
OfAhe/tSUTdI57RNAAFEhm+JJFKJ5dpF9ptsnEiSMSGA6LwffuKs6F99RQ/F5pjsRiZxLhVFH8m4
mVSZJKQSQ3uy9aAf4TpM+b0Mo/HoKEKqU9RU3be0QMloDgtiObZAwcUOAg+K8UZrKYKLB5x0GtTk
+9EmtttUPFilGDGvoHF3dmDJPMWXNVLX1x4jyF3QTRAVtk7bFT6qbRVFEhOzokl6RPu6IuGIZkz2
w6Tr7yr25lCh893JuCdcWtb0iQMufI6ZWNBoGsm1xVUVOlPufyJ0FLsMS/y+c/30brIM2pTsxt/Z
MypOIg/lliD/cVUBZR70nFeFFIyeF37WvLexVJkOFNYaBIm4ipJsiynacbGRg6AISxVmhnYDRq3J
JA1bU1yE3tDz0Q40QhuK9vRoT10nigqdl8pYOwQL1HmbhWDb1caoy2aXqPYej4gKvmhascpZ+4A3
4k7PXWZnyFcWOIE5cvBCJP7xiXDP6OrxOwMJqosNimo+czExyWpccs2N3yUDAQ0gmpZNp/hfpG8T
zo3EA76Wfr2dxqXemgO9g3OM/EDaIykR7myu0cBxVXG1jNsORuLsUdF5Z2nuvG2YmJ+WpJo37GoN
1gOITeHFycYbomgXB474lnUjjwlcDfNuVe/9NJu3PFLeuRsd885ipjjEmBHY3QRlPFNnQiIGebwn
5r//5TZWEKKczPeDZmTbsho6jNNpclmEFj+kNJ8dltJpoEj8ie+xo+HULKcjMqglNKaieSAgMg4b
UTt7gIFkBYbn7mbTpaci6cuAMTMaSWYh1haHDSJWg+3yN/QB6ke97acQXVT8WZZ0XeNRL54RyxbX
1gzEXZzQMbzqOlmAjPAd+HRC78yMXu/UXJw36hOni2xsqp/4ax56Kt8UWlZ/EsrjbUo2N6R3fodW
JjG27Zg3n3Mn62tnl+aOMxtlI6zN8ONRRteT9JoNxzzQ23daOaK7COr5R7N61IR8rGGpD/ObRWTU
rm4Q05PYQl1LD56/bjikn7WKaEazwtKRzr4rCVJkUPRmqqNQWdNDx5DFKJhSWZXs577sjv3oxL8S
bP7qQc6rQ8SmdQaXaDYVIT13U+Mvm7ycs0OdZvKL4jvvmeojzsDG5Dg3JImpAFzaq0neyP24tHmB
XxbUXuSFdo6QZ/+W+GBQOUnSMvCj+O266gIVCt/kd/BgFbxn6r24SgMeJf5Lk3IHQFv2+S7HA7Gb
yap4INnHuYsE1bLs6Hwckxy7U4pv90NQ7LKSWJvfLUuvEFT2SCIDHRI7XuyLVTT6jsGaU3ZwWzKv
ZjwEa1oB7X1rTDriWadkvFq6lqnMiTOL48BL+l/+rNOvTYM4VWqkEl5yJbAaUFT+apAJX+wpSTAK
mCh/WlU51niOtZelZ1GtVWXFsaNb7E7LR/2CBB15Oq+F+7auqiuV8slu4pWu9QJ7MqYI44p5mVW9
kxOVD7YpY4bZoiAfcGSLbSufVw1NFj8FppPdeZMpIbYd4hhxe5uP8dy3FHaUbHSaVws0lTQXXIFW
SUZGulODY3QoPSo9fW0R/IUmbPB9nPhTH9bCoTqayI4E3ikiNx+VSxR2ehfgeXBsMGZo9uUBH2f6
aFmoizyCORGr2pP/Cg/v3k/0q6C015sdmowJZKoTz2UwzfE6StzmY6IU5NVKtNQhjEULrvh47R+d
9YsCCoJpgWc7PFvsVPA8o+0fAkO4x66M7P0C8rO3Tdu5RnaOHQ1nsX0NuDEPSVS0od7n8X0Ud+Mp
QeQxrMaZp4T3Xq9JvyLrhH94Zv+HGP1TjW6wg84p7oqiKH+hSIofCWfIP4oyWt5nDdZc8AM5MHEU
L21QmY/wiuJjobogbO1MXIahNi8Bt/CVap7sqI+YNbxepJuZJl8QKQpn8F3pEfFrzugR0DHYe8PP
028rkOTWVJlIdxq25kPP4/KL9jjny9E1Urf6AkeXh1roQGRGQ/21SewDKjO3QGqoZQcIZeaDofTv
tdaq9nOeGqeKboor+sz5AiJVPVdWK07KPk2nQDElj50+l7jZsumUJZrphl1d1h/zpBJSvSjd5agy
EIcUqN1Xi+bPT1h97ZVJHfQDmlznvvFI+s00ZX0TLCtvtjdNGy45UKEmrwH5rd7aVnUfrDyqF0nR
QdNHuDK636CGQ05cf7nvtN46J/G0fC0YD+3VBBmJ7b/GhdsAzd5PejG+Wnj6N3PSZN9pudjHSm87
duvFfeMXgJahmXK0b7Nxv9DLchd1Q3/0qry9Dxh3Q+IXyt/SiaIfwpWsrSHhaEHojSlEK5huxJRk
V/b8+I00o3o7dLa1zUjlXjuAUHIdOV28bGbiAsgJD8wn7BHk0BEHEqzZurBa0grz0ppN/VVgF/z2
EvLDNIjv44yU2XxZTLw8ftjUCACiG4LpKjCTsC9wzWqyJ+J1tY7hEuP1WxTk8ximMCNp2EmbrkCM
4ckn/4L8dtk3H2cjJjlalWr7SFw3noJYUwW2yhvsqgDYSkGxaPXm90bBsxmLMZcbkC1DtGoAV0Cu
vGG6pYJ3m2iyvgwugBUhCiYtkePyUBt1Gkpo041cyIrMFEpM7nGysRVyrDHirYU5WB8jhVEqphzN
g8KabYU69wp/lgyevzOFSbepbzxIhVMHQ5afB4VdF+oSmKU9Q0OAbONDtUI9GtMnQ4+D+0kh4PU4
pZfFnJZtpvBxp4+AyrM81olo5LIYcbqufYWpBwpd7xXOzng9Heob9i6i/h2zzfjWKmQeYWS0IhRX
25sKtzcUgj8norpkCtXXJZE2rkL6ufWqHaBa/LUoHoD+0mVH1WS6FwQhYZWBLyCZrPwExrfRAGvu
2RyJgnIUw+AprgF4BdrB/isFcaMjIJihJqBAoCkKxVjUUUWlfHXjMW6UBiADdNEQdNW9oTgPcKD5
2afOw0OuACfi1GjxyP2GKelACp/6G32CjyY6MAtCqugUCJ1KswnubOSnG3IF6oeimfw9nVnFpgK9
fskVS8MxMd+3czztnK7v3zUJm0PyFVcCj846UVwPcoPhyeV6BUbUu+G7UqyQM4BXxYVlvhFsXv2a
8qq50/uq+Q0yF3ximXGpW6Ltam8OMt4ZioCqIeKP7jy5Zyx+1td/CmagGOR/jxnsh7Tgo/h9M/Ir
hvmvlLj6Q3+jxO2/2IbhwvgQiG6aGOb/ARi4f3GJZ4HdtkHEdSjzvwMGyhFqk98AHBCwhuON/zti
YPzFcRz+X0ADXOtMI9b/CTD4F2sngAE9BmAGlunZumLf/4UR10goSguGzs2SSonsti32BpjrMcHM
uTZi90/bm9cEP8h6TMyPKbU/evjqi6jS9iGb6uQd0ix7n3LNPvO7wxw6+9NRODxWLerP/YIAibXP
JTYe33N3srrqj9+Z2o42nX6N9LV8bTiqNp6f6vcectNQwGI8FinpXKs59+twKPX4EknDfq3lUH33
/uRsq4E4NARwCes9iPxG85EWQami5FwDoKUXTSTjz1R03YYWQPnSOY64SAlAaIE+XsgoYNYyMs3f
9kEfbQajsezQy2DHiGCBdLAJBFszn00HPsBh18jEeu7FXO5B3omplEVDeWlA4EW05AiEaYj40EVq
hyWFW/lqofo2pBip25pVahyWxUsgiAvt1Hb0/3RxZHzp9C+GZGtpuGy0EUlhJghTaZioQfORoKo1
1nCIYGvI5ORW3dcmYt7K7695Ly+pNf8Mbf/EzVpckXRph9Gxkt8Cv8c+IOqFfq1xODZAi3yE2oxr
wNbWvhT22aq66hp5zX23WPKiuQWsdgwxw2CJVrMd4i355MGrTszwbqbGoV4tRTTVaw/m9XtqO+9d
ij6571xCFbdp1dQ0FpGJDsk1GG86/CbCnNJ9HLRJPwdOJc7D0HIJ9LXWbbvAiU7U4PGp9VG/1VKP
G8SqWr7h2l7XAYJPk/gGzG/wUI6wunvT7pYdHit/XTW0exTo6fdanfthD8axJ3yMaq3CSe+NNNW3
tFDQAUglx/vosi62yfBeEjQZyoxoRkuXa9ub7fulIbA3Hsd1zqr02AFqbGoYpnmVJvxbQ2QaoRnU
+hZrcb3R7Vqui7ptD/Q/Q70VbrQhNl7sqSUgjybCb3GuObEB8KnSbbKsy9aDsCnULALrngRjO/Tb
tnkcCUe73D6D1qja04zN9cDUO90tNe98FkGzIRmNPIPFd0+TwcyFgvCU5lQjTuP8nUfiFRDDAt8J
DiLmW/UMesUXo83YyCggbkqmn2CM3qTtjuvebus7fXLsVWLx/WA+7tYi0smm6eP6cdQ094fCNXy5
U0blspm8cbPhIsPEcjANU4bUFxxtv7f5bNuBsmOk5NOSgdgY/ZV552tkWOuS/ILgXf/WHRZ3Z1aN
D9SDZ/ovuPp8NwlI7JhUmKARz7XA56JHjjwaBgiZU+qouf10GxMInNndIzj3h0xgfQUf47pOh+tS
E07vkcyxJoW6IkB3dDekEHhrm7QECPro2C2jFUZEyNGLUJ4qGr0wfjp/2PKZ4SHkKdFTv2pUsyI4
8aDNGxqAH928z9YLJu/1wO985fLiw3gwpy3c4RUX4DHOO1ybBlmTNieR7S5o+vLoe/Td/UwGKioc
oCCQ4XRTSut97qvl2FQo8BEb3WW9eZek1Ued2MdMmMxFxbuv53g6vLZBaWoX6PfKaA1RyaTHIWOA
wnhDuQuQHRa5a+1KwQEgzPa16onumutMhuQzm3zHFpN6bgdfVMYerWBeSMTt6dJs2GLHMTnHogq9
PiFz2OQdo9ScK/PcFM1vpvC7Zcz2pOM063aaTtPkH8pYO7hOml8ie7BJL+FTKnvbpXuErhgiluP1
aEJOMyqUq4GWdkahuKAHhjzFqcCOXlQTGn9TF3eILG32Trd/Hr0Yz6GR70kEz8KMhMismNVpZjxo
wiKAEuh8Iy39mxZkYv4BOjd1MNPYQYD4OuYcAaWh6w6VbnmksOWXTaJ2WTufRdwxijkOB7M1w0hH
Vr3GFdvuMb7ZwHiWu6elBUdQK+mT5po5GPkwrGy27S1oy3NiGyZGHERWC2LQDZV1tHIaaHDHIArb
JK9xFPmAlqZ9RoaLfYJMFhIYsy/Ttj8Zp6gyLScgo9SrVl6XXHJyiAgq3ZKqeV9EnsTkP+M88kS9
SQombIxFdwN8F8OujCA1aeuJVdeFLOIXj0OQDANvSzzoA/EkZwKp9ZWrJFDT4H1lhNHDSBftE2P5
Q97F33g+HngqD+1iY5UxnnRvOWW695tssl8tNGyD8NyRSb2udadYm1Qatpmx0SLz7ATlKxTpc5I3
Dtqe5oJA+yTr4CiYRDaek7+ITjzOZXGxotkHKxHFhhCq47BE9+bUtMeRIssd2VnX3pVQhzQHBtEd
OYgNv3VMZKYLRNfqa73jS6brEJoKE7XhLQlBIbJfWWZhrhPe/WpAEWA65sUJCvJukNrTdXT1o4la
l3RQojfm3cwU7tqdI2/tJC2FlA1miy7CAm/4pDrDrK70ibinhujona4nL74F0ojp5WBBeD8MTn9u
AiZ2xy2Ira9QH2dlGdKmxsbHs0fspkOkT+TjtOn4EYocHIK5nuLAGUNfPFmPFeaC0Jp5gnrTJzW+
fZ4jdPeLJMiCbHcvjCkMpLsefUAF8ic6/Wkgv201+zSmlFnqhJ6rrBk8+8WO9a7idCdqYYh62v80
FcfAy2ON/ZMEDXnwZHRt8yl99HTSIbN8xkzED3bTzVHJptRUSP0TsgtmUkwn3aDak38K9LTdzKTq
IwsgPoYmL6pwsZoZY30O9EaslkiC4MB4t7alerPcYYuHm8jJhLziIIMESLIA4VzMSETO77RKoqHe
BUSj7uMKNJr7stlMaYbTSvacvoa8ovI0w9Rz/pgGLrexSgHqTFxEZZz6qNYzfT84hNZXzkDuav3/
2TuTJMmRLMlepS+AIMEkALY6j2amNrttQDY5BPMMAXCnWvUR6mL9NDIiM6Iqs4iidlXU20wPcnUd
IF/4Mz9+4wNl+Ri6yH6i+vInH3Ax9pmF1blqMYb9hwsEYkEii1IpNaidV2lqHrmXD/X4IfRsr9Mo
qm+dUQ/4irAYgaXj1Jldi5Cn56KVOYxGKPTLPJ/zw+Cb+Hi6vOaY5pGBEUd9AYao1zS9ROeBtKa9
nsKkDFDKEOb7MOEeOtUJlHnX24SUZS5Sn0FNFYjQZROHxxDpaFMjXyxpnAk3lsNFuXKI4CT0ZXFz
neZFM5YzK5me8ygp/KMhUq7WXd3uS6peDwlwusfoeiLmqsE1Vnd6L3O73Pbj/BPRUKxduOKrsKui
bU3CdJcEZX6WIsQq6jTvOCbNx5blEk3CY7x21HQq27hetrql0bhltds7xgVgLOeX3+P4TPBARE61
YlYKD0oZxhp2SHCAONsvh6ERGxPGAOh8Byc0MR1HJzT/jdmA+FNyo5ftxFyZkMvilrj2uFRDe8Kh
qYc4XE7cxy+TUU9vUZWy368YdN2Ig6Av9R6JXCNFlx8pe+gHmGRASnL9ZVOdTF8v9PxIIl4OGXqW
U4U+PQoEGkNSylvdl0W9ceYhXceTO5B3rfhlezbdwtJDmvXCKtnC4G1PhYbY2OqJHWJ5U4Uyu8na
QZ8cgkNPrGAxyQ7hd200dz0+EW4SEMODztvH8AMWQwUTPO4tnEQiQd+urlm/Cu1qMqxmCdJ3XM9p
Ep1xeKbXdyTbN1XmXhoytow5A9ylwb4Z1bCvZ/XNUX/d3wC+aVPzY+Q5fcvpAfC59hyg1OR5er4b
WEqHCcxe+17Z9TuZRrWci6B4UJXs1pPhFesqxMJvjCgXAePbw6yre8torXDBc8BaW/lAR+xU+z8s
GdIYhYC1YJFg4oIzxdKEWrOtM07Silj0GcgYF/ggR4aKOFh5rhIaDuLokF4n8oFZ+kC8kxKHAUGS
rP89WKlLELEXGceif8V/QJjKI57FYprBVU3hqonKI/HMekmMqr/LTN0gKzrpGtUwPOWVSH66g6oQ
r8BN0nfcP9Y4yHboj8WW+GF0Z3WpuzGuUHKTjBtTjvGqnQrXCrXBEDTS/NmoS7X0ZtqeDMOCtGI7
snsI2sxbFhKp2BplQ746IjaozdH/rjqXx+RQdAxrcwbVOM2O7N3JMZdm8pEG9rBpZD7vEmMazsPk
kZEsp3sxJu26ksK7cVgI+GkarVxFiJP1UHMaZHxJlXphMZn9SBhfn7Mm+FuT0/9qOuBvqgWGhX8t
dVz6uPj693/7Jyira+T/d7XD/YU+CObmf+CqfndHuL/4yBj0Lv0RYgVI16KINsD5T5erD87q7zqH
8wuWL8ABkAt4eT70wL+ic/zKOvyzMQLegXQ8HBPoMAG9jX82RvSO2XJ1MuYVZrD0ZF5v+bO27uYc
NIEGGo/HCo2ytpJDMarPgRUHBi9W9DLjfAbKNiwizodFNjUvo6k/qhC6u4ysbI+nKXgZrktSN4H9
Bn+ETmis8xhzyJ31xhcM2W1ommw3AHqsRFToxRWhhpgNer3TJabZMeNREGNcK5ns8mla58P8hUGM
HzlL3iVr8R92xYg6Y6bzxPBYA9hbKMsbQFyVT2bERnqWUPOw2NLUExRnOyDD78p2OEQeMcbMFj+4
h3e0T4CVJXZWLWno/Vk5AUbaMWI+r67oHD97NGqXCjofUZnuuac67VMsflmydFt0bca2ty4Ki701
V6eY28M6Smb3rHtApHXkfsKlwsymXWuj/Twn7uvVu0I2ECs9Sdc7xWMbDGrB3qahfNH6w6sZtdHO
tHJ7G40QTpKy45ChS3nXCSv9ihwT/EGIiQETnH7N2/SbnRfWOcP+FkLby6FyX40hL7bxxF0yd7wr
bNu6w4ZT7QX3r4WbsQAYCqu6Y+N5N9rgFLqyKA+eUXV3bsayIunH6PYaocI+71EAR1/nFg395M75
ucGr5yu8JKXjEWRtVlh7Ttrp0w2B6s8hVRlrTtdcWWZ70uGw8gUNiQHnREE67aoCcUSPcp81gtKl
InvD3sibXHYe5R7OBUt5suis5DRn8gAc6TmkG2EJIfhQWt0rW6OMJ1oKwNDt7WLBmmcvGdzWgN+d
M2H1N6ew3s0wAAgP6iEP28ck7x8DCgnBzrgf2mDKbc0R56ZN0ft1G5YVxwxjLdMxHZtMTxc1k0Sn
YOITN+MxgWy0iOtkw62IdiY67xa9qzUjh2uv2DftwBjd2OzJNzpLqLEAT974Y7dQ4CX60DkOMJGr
UQMjU+obRs3a6EFPYkV8bGegD0V3DC3jMnX1TcF2kC5A7t96PAydDJYGOw5UtPGIyT97Fb48ToPl
LXpVbTurvTZ8R1TIB8HOGOZXNJk3rEfFKprZQrqFe67M6JQqGPgG0RWzg2XZ8stg2d/zVbePtTJ2
Get30QQbJwrug4FZCPPd0S0ZA7zwkOnkfsS4uMxbDt1gCF6jxPmMyA2u7bpw1m3Y7ZKeD4qSSeA9
BW/3yK1rlvmLplV9z4bowhh2VwfAN2PKbpaO7fxoRveoYuvcUGTDstii07T193wj6aousBCXbbum
SoFYNGlw7i3DfWBUL7HnP06x+yMLeG95UdwNzYTMu2h2LVuFG2VmYjuxllknhf5pdeHAdwcto6lT
d0/xS3Hu6shYuYwK64qk88qL4vYiVNIDIjGmVTa3p3DE6YyBtnv1ygibV1cnWCarllvFdPvXhf9z
TM6mLX92fwbj/prj+gc1938m/vF6jPzrM/NvJN6u/D/L9yru3rN/singv//97LR/QdMX3GQwvZuo
/1j3fj88WSIQqrM5PD0KEDhC/74pcH7hvCVt5pNA5sbgX9GMv3kLbQ5X3xT8XxJ3IX/K/CsnKFZE
Tsg/WQtxQdmsMDixsRdSSPLnE5S1U27MFHqtAM4SSwvD/eB4w0Yyqa5cwLh4mVp8PZIBGyM5txPz
TKhrWJjaBtbWG2ufEjZ+UfPdhMUJX+H0A6r10W3StyDQx6GzL4FD2JzY+i5NceAT11w3XviSBFzg
oe/eioaUC6n9527qUO4C0GKCIEnDjSl3ZhegBLZmz9cDaqE8WjKu1g5ACUyDEDQ0PTGrZkzsU1Lm
FxVSOUn1zhHFBt5LkF8arfBbNGmNCQNiLxGM7EmQKt1PHI4YO2pzmdUJ5SADa4Qiz9tF2Nqn2cm/
INbMy5Ioylldeaz9oO8QXurVNItxVVY1e1MxrzKrOTjY91AhJNv5qL6TzthyXvjNbuy54dXX+SJ3
Ox4USl3MrnieWUYv3BjvgpGXd3wsgNzjfpc70QVV3F1wZ36U9HLgDAvKgxbBmjWmXMRFFq94r/Ot
xxp15VjdczFytqixOaRXKAjinVj1tL6weOCk94KEwm0dOBevI7WSEAncWC6vVMC9WeS2rYHxWw9z
x+O1xT9mKWPrhNNZpf1lwoFHS06I5Okw/FTi0apsIHalWDkRnTIjyQqLCWpqQA55fUBLCokhUh3k
6cBB44MxjWc46cegCqeFn9kvaT4nx76p32eLJ2ltNu0q08wpeez/6CKD21w8m+vJhH3vDRIFOxLG
OnCTT5IachWPzQ3e3QKYhbnuKfSFW178zIBKEGnPh23sTP0a9kyyFFPx0Jbps5VX1ZEJi690HL3q
LG+2XulRmTwFMUpMAakHvOY+UMK+dwtTLeMa2BD4Q0SNargJBvNzjphpMLUuzS4ayDYAigbkto4U
H1/iygveoQMWK/Zgvq8XpWd4t8JXei+cEOpezqrFmOO1i+d9gRf+qdfpcxXET9xQIRyBZ7evR1cD
omoF7yhaxAlridxNyfiV830M34I50sueXI69Q9/YcgWQ46gq6/PKYDRByG0EPp11o9FBy3BaVQo5
OFQURJFx4h8UNjc27O4luY6WTu/+zcZquHA92wIV5N5yyKqlisIPI+lfON4RU4bmc3bSTwqWiEKG
2Vkb3ovX5D+hlA5rDRlkC/EI8J5PU6Q5xsey0k9iMN4bZMC8pwDNi4duPQ80FCqx1YGJi6xk8Mku
OSfhMrf9bOkjkbll/8HzaJMTOs8KL1yyj7ubq2TX0XOuIjZsAFOHIeXUU4eZEMfUq1ONq6aqiocp
cY9JNvA9VkCuBeC73rK3Yd6/hYH1bZJkHevp0fP5ZloGN1AKEKDYFCdALbzJuv2G89iSN+m2ARlS
mgWmR6D2L11r0cFXgErscO44ZnLvWDaxqzxH++dJVXrDh63Q9JM4uBm79JzCuaiSDhtuV/B9bW3i
WlH6EVv+o+7an45DWjPMoE978cE1hpspKG9jrzxEs3+GznrpVRbgl4WhHfkMln4xnfxshAOuzNd5
9lhpBB4tFQW/P6O8T+v0KDr/rYnlBw1SF2MMulXkN/de4/2YvOGztrwLpUV3ddcf2KsS93B4BECC
BT5zE3blg8uOKhPzvAMTUh2cmBRCZrbMZIK6AMkzUrOQ6+iJrJvzNYcwTwHepRjVkVjTksGwbIr7
LuyP3OuwgI0W1kaykGgZIjTZkCXhzw4m90A53SI1qk1eGXwCG2PV1vWRoC0+oistLHftt2riIWXg
y4trDTFgxoJn+cHR8ymcDGKiR0GBpIv/hVydn/OEbuk7jUNryS9cLsekuiRmEO8ouCPAXcU5pppr
E5lRucsmUEfPKulOTDE/m25+GQpU/jRDrLanO2+ajZU1t++1jDFly/AhtLq9iQpMq5HUa1RlmFle
62M6l/cZFJlDgfHIoxyhy+YfmM2feAjSE4RSlcajXsDpCrmcmekhn7pu49RsEKfQa7aEHY9u7Hsr
UyTbbMCNVEZ6Z1eheZuzdqUaTMy3SnXupjTnJ4v+84XFN4nNLG9b23Crwyif3owJOea0HZdQRNNl
MGRi4XFbWiNKTsRl80voifjYJiajcc8rkQWaak+q0uDgWeBCSDdDU+Ie00pz3kyI+HYBzzH7mTXd
LYBewm+D65zsOeGq4n2R1Nwqy3iGOVnzJA7n00zwEbQSD43S2wGXOOI55LKMh98l7AXtdBO4LAd6
thNPEYLMWz3R+BLY6pZ3CyWemlgMxNkPPWDvx1TxluKsWvQa41kVu+xAyDWtKiPccJis//+c2k1/
cKQwFv7rOXWJBygu3mGHfP4zNwv/7T9mVAEL3PKEJe3ruAn74R8zKtOra/rXC6j3t2KI3+IvSD/2
lSgZSEuakK9BSv5xRr02BwkT8RcWY/CX3CwYpv/VjOp4MBik/x/iLyNg/IrYAwOggyRru017mcdi
eOzUCNDZ8qfnAR8HkOmc8hHKt8iKrFThctpkzLEvsRUJGu3c/n0eQ/2JO6fdycYjryFC4bqEG/hR
Kqd1AVTFESxfs6s3Qz35W2ol6ejiun6OOEXvExWNaycsGS3VtdDR1/WDCmd1NsFRt6sYA3kJ1ywG
sGpjE2hXo3STvX1dCxsl4Wg6i+dzR1PFBPStFidKLkFf186PGArhOZBUHPLmq21cGeMVbh5gK+ep
2gINXISWVd2XrBu2uDh81kqgJOzJw6JcOxLrvrIe8qHTG9s1w3dgR8ZDhwkNPGE8rcfE8ohzT9O2
SojShAHTAkVu5XaWkbuWYmiYLVLgZdceigr3+yGAfHMUVWXfmLMyD5FO1MpCtfqMZ91tq0rg5kdp
Jg7b9u5r37q9h5hRqss4uc5SExral2MnqezxgRdpTScv/ZUvZhxYx8ihK3UZ9yoCXlirRwyxxB6S
YdxbSDkScYwoPzsLs163qtJngE3DpoqHuLrA9aPQjSD9abaLjFk0KtZmQ8rYmCYGzVqY+Qdk4eQM
KConKDDO01cUg0xe+UAXT5HVZeuSq/etF4ocJ0hoZreuMzV7w2ucE1eO6JZ3jRUXfAR9iqYMdKmH
kZbBoa0J/xaFw2dncz8hI9t2091cJzcyZN0wCqjVTj+mrFJa5BSaJprHOhIN6ztFoBR7AVEep5mT
Zu2MvfldzRbNhVkoWHfxTwvY3MXpmRKdZu0ndWIuHJulKM6SHpfA5JhchorrlaUOk+BJluj5i8Qa
zDvIX+09VneKwGDHz/2CLHsVke8WIzsOF+EILTauV4YKc1wgxWgHHObz0OBCJwh2I0lAjzuypDsT
jXPpKfdsl9a19IlkLxOtcqzqh5GLrn6plHAPgszNncJ8n62xeuZYRsvhNetMFDOFP3FL0499g2ve
qGHZ1wHA796Tn43dV5fKaqqTERPMSHIwlssx8uSdz0hPRXY8GW9d3cWEiGPM27Ue9BG+kvaWZR0G
G0LM+a7DSPRSlGHz0CRFsuO8izsMnDOmzKy69pTHviWxKOS4C4gxh1C7e2ks3YpLrZ766CaY43QT
MHDeDkUIM8iPglNXo+O1UnbR0h1G8zWMYvOYGh0ozWIovtLIgtGVS4AWEU6qe3cSxUrPyuE1mnH5
HkZ+sNe1CRBxcIZto8cAaqQWB6KjxWPWjflNQiHyaWKb82apxG4XttGUiGoebjnVdm+OLOWb8sMg
WfWAj7DaFumSsvK+XGcm1I2hiyy8YWSjkrlrbmQ84XbNRfFmah9FkAqH4xgOxqOWMnmi/YVCKXTu
SFMEkDpbQHH0efcyTV6VOcoNZlNIYix93Z2Xp9Gj5sayHHp/OFWFFmSiawgoM3++4oML0g/N2P9K
AUD1KCOfi8+cYv7AtUGe3WHhDD4E6D5G8Zw+alzSct21oSQ5Nlp4PbgJDxesJ3TPwu0voZiF+YFd
YMw1zKxvp9SyNo1DI0APInRnX+cpJZL0zrI7mLGg32ClMlFtqqEsGCyL6M2vjX6Jgg47a4Sbyipa
tDcWGY5n7dndJS/Ih4Vt3sIAapioDFObpAFaoC70brxds/ukTXqP+kWVeT+ItEdoZAEjZtPbPYRA
P7/3M5NvVKI9RQh6Sp4mwDxrXDT9yTaNng43ZkSiWn3/1aeOw9aVpTzqLHbQrRSRuI0IX8lFW8XN
8ZonfrnCCuwdMUJW9KwZWfe6friWbtFt59Ly3qo+I//slDnCsZqI9+Y4sQETBvHRs0vuLMTL48/I
MGiIsa2m+Oi1Lh6jKZjOeRakb5S0opqECVV8PJe/cPRM7wWoePpnYsu+raAWbDpVB8dSVslNWTXG
a0W3Xr3A2VxsZCeA1dWVNbyGesqaRRj45cmrhH/r8D48JaomhZTbfGX5K9u3nDqcZ7gQtbNw8pLC
S3jDnB5dFj77RqgOwPipNyoh0Nh9rY+cFsWR6Hy/5fidan6t7i0vq/4eXSXfjasVBwv0upP1xYY7
/6qMqD5R+h5fmD+RB5S0GurE8ICsMzJad32WzvvMC+djl2fGXakEDiWXCAUumeaqfFABeOsoitSa
tC9v7QY2SV9ySg9l+YDTsMWRwn0UBblyxoU2XHmH1dDesXkZWeo6+jm+2ukoaMvOlVQc3Gquswfy
3u5/oxznf7WG+l9T0ONP9f71z8bSP1DQvV8o47wKo/heGFv+aLI22SOCHQN4J4mU/gpI/20shUiG
/ZoNo2CUdWxTMiz+Jp1av3jX/42yMo9fO+en95ek0+vf/2fplBclPeG4gSfZQorr2PoH7JjCZVV0
xBtXDkayVYIaxabKGrCjZnO9y2k9v81+TdlJziGAUGF+Lq4hvLor6a2nG/5sWCamABlk536Y4nPD
BXAf/Zrla1sj3WWjzZ90GslVqYidpcQ9DPCvvQNpczvP5kpjNbfXvUtsiYE3cu4aWETonbwHnPu2
GfcgWxxJKYxtZPNSxB3oRsuVe/pQMMAZRKAfq1HWGGdy74Dg1VAB0xknJ3WDV9/GwIZH2PDPfjrV
u1DV0YvwDXMVCafa1vTyHqqynTZ5Ek1bkh3pS0ON1WasU/POwZt9kNQDfxOKsPbEH7FkXP1BFl2a
d1AnxI5HLCH1NkfK6UM5X2SfSFxP3vguhR5/OlksDm4PKWGdKbN/KiMvMhauU8yPNsfFobas/hSq
jsYgPN7dS9tV8KtDxtN+tKYj47w6iMQGZx0bbbcLxpYGZ/KPAEaHcCyXcQwEiIe53npVbD9ih7MO
aVjY9zk+FWOZRUZ7jGvHRIE1LXxcSat/dINCwUo8DOxU/VgAn6J6KywatsO6DD+QmrKtU0ftR5Wp
ImX51UjMDzQMXhqSRSc3lcHJ1hzWdtY0u7QhrMscXpDfDpX49is8hKsiZ58cdTPnOGw59dYEgSKx
PTjIk+1ogl81uFbbpj29lIHSb7LL84urey7k2TVfT4l29m4X5fxRhiNpGzGaT3jQbCCUjghP8Vyg
vRpdPu8xn+tHn064pS57uXcZUZZRH4zxiuwjNiwG8eBMc2edLyHApccAoOdpAIb9hWqZtfj6svix
AtO+6owUL1XHuhl7FHZZBo4x21SRl94HXmS/zKzdtlSzZs9NxB7QqAr0pMIeHDzMPL0/7CY0noYu
tghgAdQgPTyR+wx63HfVEKRHGNYwNsHinkweA0hSIXHlEhb4WWsr/wmXN+PSlBBbDYU9nABtCKw3
CXKnpq4JOJ1X/NQhdpWFb6qWzjkS8CwEJI5W3x/yR0AxcDaiZgZ6bbPFGAa/2A4J8n1RVy1+04m/
FBBi/4Udp74Z5jy76wuKcfG3gHTpkyHrF3YTmRcuZ1grzXE8O17utstYSG+lcgligdXy09DgUOVL
g8YzO7PGsmi7csPjLP2G+4R2zOy6vTpIjUWD12czphCbGkb8lCTHJI4JNK0XeIQNKKvR6X92SDSr
NJ6bF+2yTUSaregOsfwB+29oFli8JjsFup+I9lYiab0TUh0HwFadt87iRoJHTqOnytdyI+naXPO8
6nZTMquvhuI6EvpudpBVj0FxGiEVGlGr3HUEUfcoqZM7cG1tjuQmILdl8fAWUy93nxQe1apJ3bCu
aA1qbgbRO9WlT4Vl7j2h4LPBMqp3mtACjbX4RBgipWvfD7UIb8giYlCWYoQ449GoehNXkLv5wF1j
l3Zd99l6NPYtrEGiXJVRzkYW3tdlyAW0h/Dq7yWWB7qVqAJsO8RRcP5l2wT2OphZxK0zupAktgqE
8QU1C51e9rVZ499uLO4WaFXfQeEW+6TlquI2w9CvZ5Pb2BpkVPnC+248AzfLm4VZRMMPk6WsuZmF
1fq7Tl+9XfXoiqdsFAUFNKknf9ZILvQjosx/k9ZgxeS1pfnidUDiNrAkhdoqEfTh0rM0rxw+Elm6
2EdvVb5VfE1tOTxVBQDalXRTtYcvy/8lSpxpi9gwii/DDot4JbWQFy0nK1z2ZIIObastSOY6COJl
xYbiHOIr/CznEos8TD6oYAIotwY9VvbeqjC4sQG2AcV+OyRD2mFIpcayCWrz2cfwRWOHir7ROoh1
s9+vQrZFyva3rsxHxuqaOKrlFVw2SUG26JI93100kuaGix45xTAf0zsDVfKNot1xpiWkSfZ8/jUa
Bu3JFS7guP+ZBT0L+NLkCcqJVbVf7Wj7j2ntzFhfdR699WNgwDgrKAOCqa/eopy8AkJvc4fHNN9y
VTFrcpu+Oic9rXyLurC1oGnArB/C8soNwsDvKSIm5iRJxvddh7opq728RlkWrmj1yZXwg5l/XetH
mRRRuPcRX+WqpeSU5ky3hDdbtY47LEO07m9OK/9bT1ennyhVPB6LaaqwhLPpPVY2PZa8WdnYLybh
24+qp764iR3rGwvjZB3EFCj2S4pzxZt8zHqtIYoncq2W5Jpfeg8Wt1o6FOQ0iUMNDoE+MH+Ctegl
rXuq2sE3ltFg928ev+m3a/3Tj8qtmjWksOo82QkMpLkqw2A5XtOnC/QjNhyhHYRibYKpTw4R9pV6
nRYigakRGbcySj21tPwefvvkYG6/5roQ7zvRqOpAP0Lp0tmUBU0crLqo8qHDm0nww8HQ+9jJazLf
9EvZLbwpyS6CxrddkurgKTB5Pa2Q8RbbLQcaRW72zovzb9xEzXPwKxCgc5A8ZGoK/l0+bgWw6Vso
DOk2C4r+3TR9QHxWPC+rajB26NXWpWBd/WYmBYGOzodHgD/KTmgxoKfccQz/iyvs+N+Y1v9nehns
/9L/t1Tl57//3//sYLj+V7+rw/IXIf5G9/3Vh/C7Muxh/bMZ41yWCB6GBObs30Zw/xcJYIAnqGfa
uBsCweD8d/cCKCWwD6i4jo1s7Fl/ZQTnFPjTCO47NuO3NB1+VAJCE+HJP4/gjRYum8vaopOudZCJ
DIOS+NJxP62cb9cCiCu7vqi03UueQDOxx7g+enEU3HEnT1m3xiPb97a0i1dicMDrvdJcocr6wdIi
9sUgkHfRU8kSDo8rcABW3K1RL2dOQezwKSZXGTYjzdVJ3LyFBRUnK7600d6HqeiS/mrUi5PG9ccU
GOXWMgb10xA20cTUZYxAIy7DYwprCKSul4ZrAYOnWujEGa4hDhtsZxq3zdrL6xI6XWWQEO4QYXje
jhY9EXlQEDdkiztWhOiy6UaBIvgqUohn8IDAkbi5G3x3TMMdlSJlu7rmKVbzaHlrWCA2CmavZzSo
rCTOkmoOhHLGas0jrnN2djkAP6SEMDu3Bs0I2O9bDHYDr7Lr9L02Za/OFuo5EEnS7O8MkOTFbaGP
DqDbO2EI99F1tM3C0g6SXTkZ7FDpALYuXuoIFv0iP82zZe0h34BLJ/N5tluL65PON9pOc05OzBF1
HfQveRcISp5A7m6dQNFkpODtc3eJK0a0Mlm39CriWrPJ81Gvs5W2z4OwksPGGtx2G07dYCyla817
v9PVM7P7nC3LIvVvCrPFsN30DdXwmZmzextyCtQan/l7JmpKbscDlFfb8YEvWvLTTECdYhTP1gEc
wO/M9IIPaxb5trKK8AHQAHMPGIOAky6LtiPf2JNzTR22QV4f0qhuHpiY84Ml2mQnOt08GoAYVo1D
nKiB9XKAWthus7mzVtLizwG+xQKRSmKMfGXjPTflbDNTdJEt3aa0fxquX36U4+yecto2ksUkzfoG
xdR/ojAyflRQOvaqZ1vZUgB7yoiuLgX3tQPRJPc7oFZmHeded5fzA15VrEPWPvfWxx5TGwnXLvph
qr44Y2awWRhwqfQr2sMJjLXsJ4zQQzIu69tEMz0s3dIOdtRJ6y09HsWHE9cYIkJwF3dm2Lbfaehi
1dRxuYdpadzjKqAg2pgqCqJMYl0o0tZNzrLiWGYRP9fQS4PbtmnkYWr89r7li7hytK53ON/GJcGc
GIM6+5WnrtaE5hig5HtX03HQRljxKorzEE5H4+ACOlsPCK3FYgTs9jmAM3j2qc0Mt2E8G6eKqOna
AJmJ6X/oKQRx1Ixk6aRHO0OEXgFQysUiGXT6Eok+p0hM+zXCIS7KnTWzMZ5tblL49+gIiKsm1i9E
a1kB61JmLDn6uaWtLNN4MnB7vGRxOQKMKX0RESFoIjhJ2k1/jqZoP2ZozD8aoI93fYecyBDRXP3z
0GRvMoMFsJtBlcKyYFVfcWBOr2FW474X2kQzhlmVIF03CZcbxwW7tISvrZE1qTkgrBrWFZZGyc+y
1NTwsumK6e9h15PrIX2nHgOGjN8HTxHy2c1oT2LPBWbwN2PR6oNL4+NH1FnT2Zo7ZijisrG1ojIx
vdSRb51Z7LTcmIR18AqyCh2r8fOE6n9NLaSfzjCYS7Ba06sfGe7enWuJ46qsnZO0C+8Bbsh875TT
fLYz+ndVKyngdRhVH4y4N/cCWi1fbNF80otCXEDXVzNzAJxiE/ZiJK+eR7u687tjMI/mj6YhatMS
JPiCvlaiw+chEW1tMBFH8hjyAwLs1fdnVnberh0hRgx9PP00fK+9B3DUDvhvCnUqiW1yz2Z+e+Af
opamcKsTDDJvGWC+vA0iGW+SQuivvogktbONjl5m6c+Xsg36DVP19MS8OCtYsEX1FLj2cGhyarsn
yqCPygwosJNV/dx1RkNjHY0qNm/eOKGmqjH2n/IQR6jr5KSnHR4DsYtUXgcvkZmp7ey0xSlwU/dN
NNe6dsDVm9rK3e+yjouTb/cme3/sFFlkqQe70jEY0Xk4uJYBtSzJgXvIOXcXXNKtbxnOzirDb3FL
vNplom9k6bJpCYpDCATjYaDD98bsjfLYBi0XypYurXg10zXznTcKu7o2QvERNECg/TrAtzUoXEcg
ce5kptxtAT10bed59BwB1jxRcK5o3LP5wLgzVFTdma28cTNKyYAeOXdY0JyV1rNK8dSlPIdjblB8
FxKdwTLj5Vn2XHNbkAolyAdax5wKzTDu+os14lQjul933DAVXVN4vXlAYBOezP0YN/aKiwa9WmOQ
/GyC2DtNdmFjBWqLe4r6ipM9lN7BLicS9vBEflrajo6DOdWX0CSNtFBx2vKXmoXDWM3QzWejuJb4
0bhPITHucTnogxnWLk0WgXjihAa5wC/NfLXTXiyzCnyZR7ntTff/uDuPJcmxK02/Cm3W4zRo0Waz
aGiX4R4eHmoDC5EB4YBDyzfq5+gXmw9FspmZVV3ZXM5syKrKyIC+95z//ILYJeQC/RCgdW18Uamx
mOfz9eGx6TBGzJxVtiw19tkpPbI2wrtJ1VbCTKHy6UuyC4Iz+VFr8UJvUAjvWqp/P74h6rO6lZoc
enJgQdnmzk0BcLYauWrewEQvBrvvS8+YDfFyZeNZq4PYalaMJMLpiaipiTq5goqXYbYOV9HKXkk0
fbYQDQrGXrH8lasRXdGUtXJuK615xd4tGjRnVrHNucczahIsgDnEfDMKCJqZiyheJQM2zZC8ir0Q
PxZwH9080ojsU3CVtvTrMH9GsLqdDunT6YatmZ+LSC6Nq5w+xRmi28pMhT2vbOOuDObHKQXdnZTq
w7HW5hTOZYk1FdVSW3sQFSP32qi1y+Ks3g83dfISNIPeygD/iKyoCSuytMTyeMVaamuY2PCAVQ0b
qV00CmMb3MJsvlp8yOFO1+DsN3KB6X7L1steFjPo1wXA15xNuOmy8VuPNlal2pzj87URhkcF87Qv
UiB0JMdhD1Fcy7r32DTDS53BUc34r858mzLsEHCiNDGhtq8idKthqk0n0sb+uVJjjCPTG0IP8zbR
O8tamLBMFN8IosndKzymdV5NeRCFUgY3MC29VYowwpBV87NbRUzRu7iGk9kwo8SwCqXYnBiwCczh
pb4arSfiok5pp1R32PO1n7F2JZ3hRlKRxbyx26xMOYrtSNCaRzkd1IvM6B/moZTOftGmrR9CDOET
GIZ1PcJOVbOhTjwCFKXb5nYTxG1tXPUTNLb3seDO9QB0+zhPG7+o2tvVWfifWDUl27rXE2dSYO4T
/dBsqx7gWm8G4Y3VXHq5GspwxM6BhS8ZkDeULKy23tTyLl4BQd1Q9h8YMRYwoMLuLVaphu28bNJ8
m+FAKdvZJFRrI6nrJwUXohPV/2qDiA1DLCNdiL0S3ySpVgS7E1hSPEICJUQvVvV9Lq60dU8Q015G
vv6h1yJKkVKdPsMsxtw+FcZlO2boZXVduwrwQQrURAJX6aNsD8SfsL3C/3yOEj27q1lTDNrRWMIS
OGVnt8AR661qXOlF6ihHLL+KF66fEBbf0l7EozpNIFsZY5wGM5qYfbtqxKe6IlGoo4TBDBLMYsQq
5ZhOmrkYbxtQXzCdhpDX3hSwklkaLrekWEVwRU3jjh1n3ukVqzNQFMPWuZSUo7FSSNwYRhozW68k
9VVl2LBpukF+wTUr+SQfS/jCqqJjMRDK9FzNYqv/rYH+GP8t+lYc/0Yo/8uty49Fcmub//O/fqTw
LI0aLhMK2yV2uJCFVMhC389K6tGcgcmRoebCzLT/hVA/5Myy9R3B6Q+OIi6/5p9s9t8f5iffGym9
3a4AX5m7CrTL7Alu5hDNTNDg4GkeVLgT+mr7F8f8kUHPMQ36XJj8XJ8hcIk/XZraDPAsRwPnFwcp
ud3Y2VlzPgBP3dUx9X9xsN/dRw6G+ggSNei2JhpLQ/zdzCnrOpII8hLyhSt6kotM6YJllCPey5vR
196zDaGx//IF0sFjdsNxDU2C9PXTBWZTQSx2i1x2/KAzCho/8VcX+Mt27pS+7vx2hf+S0vL/57mo
8qdzUftb81b/Ho5Z/tI/4Bjpr7RrEFnIOTIWM2hwl39AMspfUQsYKKlURTf+NjD9OyQjCn9FSKKJ
pioq2GTQZ/8XJKOD1tATsx8wNpX5qX8JkpEVXLG++wRVVUfgiZMVNH6Tt5SEuR/fUKOoiy4j48OB
M2C8LxE7u94gg5easVS+NHlFbFAs4GijhiWF+gTnzoa3tXrTMMu96yDHXVSC2fw2VFM8cbTrKFki
Xs47wUyo7BJo5S6mZ4YDjmlkViEYN9PHPqe8YKg9lnaK9RGmEBmCPqCPyEuucYO1L4b/pTUx/PS7
AUizQyh9j1Fx/G7ESFWE1aifKS6nndhprBrXZvVEGq/8rU+r+CPG4mU7wtjFiqfqHFNLmOkMZXN3
Y8RKz49i2ZkgRD7iOJju2nE1egNOoAftJuZ+zrWDcstK/CTHhVHYMsnFWzgK4WXIdVyWm/aav9RQ
kM8jXlvBNIQiorLbuIHVHKOdHyMiEoe+eLqabM8GmT5HQ1akJxyoS48vt9uaI75yljLW+EEM/FSQ
iUr/rMLKyCH1qytvZl8A8sqar366dsj7DAytrtJ08+VQMs7MwyDiRvKcHUO4FoGpY9mN3L4pH6EW
jYfYTFZ3i+02Kb2tLDwlBQatAs4deIxW0mqDfa60zeMVbHeiCGDDY1mjP9EiIb8AtsXdRpJuu7Ad
pRtQu5y7REOKNGrK9K6O6CgtkPh+p0DnrJ101QxniHgSTUU4HsnAQh3U4sTvY9SbQFUxr7cHXYyU
PmhoMEUyZAbj0g5p2KAPupWPNQnT3q2S5gfK+uxOrNo8KLKu9MH18k3Fjok9zpCtfG1I63flRlqU
EmflZsD7+zOdoIIh1xhvgdrCeazSMXnljo2jhWCz2xlGKJ1WXYTpQFETo4xUVLkG+J12ZxliP46i
jT4ee/m2DIMJuKlTga5WU2MBj+dUZKiaoVe+X2U1PKYpHZk/obOHYMnm+yWRXdDh7cxgIQp16XyT
kvzdlFpMI+pWKyyRscFWJbgBWWV7XRqIkuAAbS7wUyHb1w8VedFgtDhiM4CNr4+4pWBQIEjUgL0y
wNAcWtPD8gESOSBhssGDJFqvbssXSI4wdVIRRigJcHL7NtQ9CNe1Dk/1Qlqzm5upOBHJkhsMbGdy
s6/SYNJCYlXsaFF8g9k+5FjqELD8CTQc4uPQSjuMt/RLhl0F/cIEwabCZKfHEhuzoNgsAnLMmouK
58jRwGTySI8S+h3DVFT+5XQIi6rc6quu9lBzqbtVfkVDkOtgF9HYESeukw64pFzEaGBueIUwOanj
Z1aWEReCSW8uGn3jRzTlwk7qMJAcx9BcF7pBhuEk7cpueij6zIFbCSsjdmTO625VwcdHW321m6zs
t30vveC0aOCjouYtLvCqhlFStIp8FWGTK41qs8cKD0GbpHWGV+B3XeJe3GngnRHqGiYf8Rd20Ml6
ilb9qYD3ST9mkBjj8rqqzyJJ7CsPoEZQLN5zAsExJk7RpCs1KmQD4gs9JLjRQxEmdW6HY3db97na
oYfRk12tJDIyWngKRRbE5JBhKDHG16ee7vaArKFvvTRXhudbYQwvpAPhUyF3N12yYFinL9Pcd6kj
502Lj0Nhqq8zxPAtOZ2hG5GOoTp4HpvryDTFfaWLyNduC8wRE8sUrnU5zO2qTidnANNwo0lLt4Db
FMQ5hrn0GkblwAqXLnUuqG/SXKovCn4qetDn6fwxrxQmXjoRnAgUyitiEqBSvhI9LZUTHqP03Qx5
56e46VE/xQPYYxG2qeREdRg/rMpSfC0ph/ENq8LVc6KK/RkiTv3Scf+fqnoea/6kg1qt5ESzEF05
qjSO+M3jRBYeh6HvTvB0hb2Yl8gC+2nsXjqiBn2kswyLewXc2xT6kPaIHQhIGtY3CIKhdc8ZMdEn
YwzTwxwbxWtd4L2DH+qMAXHUNoIFLt19QdrLt2WjyS9hmofPIm7Dj/96ifT/5jBKpez47wUL/14T
41Um//kf2VtU/OXz21/Ob7e//Pvts/7P/2j+919IDeuTz2+3j+TtL9PyR+0bClz0t2gcfl8xLUf6
R8XEPIpPBc3jb14UsMX+q2IyxL8aKi6eGIf9JnxYdLb/qJjQNxgqVhUqpbYkGcsv/PsQS5T+KmoC
4VT8j6IIyr+kbvjNouKfLQvzs2UMxu8xlhqbiv6n6lqWe0zWyxEFPryWHbGqcm/TVRIn2+3Dl/Az
wfT9HS7Dyu1tIi5luyJWfI8xbGF6KgKk7Xe3/I9aqGVk9s/zoZ5kQCeh4aIWNIk7EX4SBMu6WnZ5
NCZeUntE6zmJS6ut2jAjsA7FjNy4m93CSfAbszvtJJi/OP5PYZ6s5AZgPImOpiZq1LI/j/RSWUsK
AMSVi5PFWnLBjvzUEa82MVSuaaOlXYtft3vxrTnHrxgM1L9oVJWfO6zfjo8IUkauDTKhLX/+XYel
0VFXaT2hAfR7Zi6Ej6OA2+CpvCQrEEZL7Ej2DKNXfUIwOOCJQ+y5q2EIiJOnid+Er7w3Z+1mGV6K
iZQjH7EoK78pT8PTVLo4DoMklfvEsNTjeJcNdvgqDycYU2fD/fMHKf9YiC83UiQzRkWAI2LSwjT2
xwtR2ywRh+gWeaywODwREuzMa8DGbEWKxa7sPVW3siex8oaXaKcjR7X1fe/KLpWS6Sjktw24z3nN
ahsejEP+JP0KEpB+f6c5QToZWROBBzT9p04BCgK9wswJwkB3FBpnuSVmCQMJG5OMJUpppzgTvvRW
9IBKZ8LmSLXEpe30QhJqsEO8tGHw5zftJ6nR32/ad+dEd/X90++VtgVsLyKvLE9gtx7QnNO9UC1n
X5yDYWEb5t7sX7XYCyzx/Tf326P67qg/vXMFOlKkvBy194wNOnlf9he44lfoweLh87vj4P0kSTqr
Dm3fT/BIzRB1HPAp84QT22HuNJrVfoaIbXBdPPdb3Z688EM1bGlC1GdNjuzeNjHGUBag7C9u9HIj
f77k705FX97e7z6zm4xF31RUWNPuQZ79nCA2q28tdnDH9ENL/qYDhd7/+UH/4I0Dv8DLCM4uay2h
TT8eFLKUnEztNeWNG1y0KdUBgPV1dVfc54/1GoMzN99DRLNHt05sGY8YL3eEd+Q0ifd3nOO/BcR+
B1XxGGjTRJ0NBE4ElOQfz2VqlQkvwN/OxfCx4dG3BmauoRNPVjk4S/SLT8iKi0y/K214AU3pFr9Y
aw1xWcx/fAo/nsRPN6SWw+QGSzP1Grd3ZqfaIO7/Eji8qz9IGzTbjKj6I/Lj+5Vp4WCUmXfELYhX
zEVxUV2JX2LllB/GbC2mswOtLHEvNtzCfPE8tFIT9fXLipCnjDzHXYad2XpU3eSgneS7mraPWlHe
0MRT3EpfAIR2pVnjTthIhE856S45hH57xPGnOtRYpgVYphD7uoEwnK3bXX3MjgSLi1a5nnfmlrhb
q8I0oXZRftMt2oQOoUEK+p1UHhqC8Sh8Eyt8bA5A0t1jcnMZU5S7+UMCwq2D+a53OAcTuq6V4py7
0gL4cDLM100x4A7LmPrYf8ST12dkfQRoHiDQDZZ20NwJStpWUq1y5d12o4On9o02z6nur1u9XRuq
N2WBwUgElsrovA5vgnwSY3BJkoH3GiaGABzmB7w6xMJF8izqn4Sk087lh9vxhqFUhEx4p/aHYdyX
FT6kLOaOZjhT5RnE0EIP7ejCt6nsaNUhCsLTBDvRo/mwx4CmKHqtIdn6eMwV+6y1Ui9ufG5m/BnH
2N0SW7WFD4qMLm1JcOK5OfRUeWrLd1D88jfcCHpo5iDAwj6m+2IielSP5k49U63MFMQ+fFDycvEE
Rm7e22gyW5dAzcl8Vh6lfgeFlbUFh8fr9agWztXOtgz1jAfYDPW6zb+MyI1Xbr5bvYU7Xvx8zQgF
M4bG0+/JYShoCgKMWGO+1tDHnL8a3dxNvRCp1NXi1ALSRfogtqsDCaWzc92snm6dq0I+s+v3hggo
972D3ReMQRuM9/Ope/42YwRqqe+VJWy0TbuuNjOobfV1fYtfcjfa6AyoUtv4nK3+ofOxH8Dm8bLk
d6nOTXAKX9at3MZM1l7lNo4Y/pRaCZv8SWH8bT0UmT+b/mDLD41LNuhNdcddcyG2GsHpY7fHijHB
hPNe+pTxBt4U9nv2KYaYkfGaMt8Jouta4utvMP6+hw4xm5eQV4LcC7yltPum+cgJFw8txvHUIVs5
qJivlCjN1tGpfepQZGnurXwKH9ALxMRfHleXGVGkozhGF6CAVVzUZzV390XilJtjFQW16sfXO+5z
jyVJiaLeqZDbWLDc9ScVW0IGURsA9PRmm08YlhAgTIwSy/RMt7tYeQa9sTG+1XddHMihjV4VZFgZ
nqpnXDGlc+eRSXxgCQ2UIIFjqjEKssPn+n64U6lq/W6LHNOBt3uXm+vWlfALIKjXbTo/9xG779vc
0e3rvg5KPIs9yN/kgNi5EYy2eNJ9whs20xZr+bu4sjGutPEgDm15bYJK53fJBy6dxMBWNspc6Xov
KqdyQ2BKIVFm4MrO+UPM3cjSvjgaz7r8MJbf5GKbC4c4Yqy8nTIP8WffXyLpUU3PXE8LAYVLbN3y
AL/yY5IPQrfGe6NU7si/vuhbAatxtHUGvgqW/hR7qjtIu3GjTtx6hzHMC7NAWDY7rN7Xo1sdETtO
2LYMW+xF2mtwVTCGdrIv6Sweajd/iOAQdfdEyqq2eLndJ5BD3HHlSu0mNhzupYGGZM0oMV25RKhp
eEJZwnryOoltC++c6Wx4mniM6rs8ccfHFRPlYSfkHqBqlgXlW6Z5ZkXVtybjg0Cw6CUTg2mn8tbO
GMM4LhBfdmiO5eKA5mRoLKGNB/KlPVyBPFN8J9BbYrFsSVZpG/fYrZ1y7/p8NQNCl0TSO5z6GzQy
V/H0U/fRu/wOt4XzhvFKgHQ6tULVlY2tuF9GFiQCXjHg9aWSrAxbzI8LdnHbdOBGjNoKn8F4Za7N
TRY0dyTBXj8G2bn1qD/conXRH6SDw2y0d1WbuOLVUmLjyuMV6/Eg2tVz/iBHHjiFhmvRvj5kb5oX
6/aMD/chPQxsCyfVp+Z4XuG+tx3OVyfB+Rjv4tCeCSWpt011rqCER4H+Qsm5n0oHmYY87htjHz5h
pGYtBm6qY0aNNahrXQGudFtl2whnOOrwiv3OA4cAu04PFXrBIPqIN+W39GS8A8l0D3q+qW9umy33
k5CVx8GJbMQy6+lmKbvaXo1+xDdXkt3lSUWgkqxyZyrWyAdEarbiILSVUqrktbFt1rj0+pPPrQqg
TtAikhd3gKJeOmwK8icD4vAgvGe+uZs/i3RTPJlH+QWOgHapB+vPa60/qKQRZxmqgNZKlUWGxD/W
N2kzS3k851jPybbGK3oW3yNO+8QMuXxDIdmdkdAGgNH637w6//vK6vdVLkcG0TaI8mQSsXTu35eW
RpolxPz9VlklB9xGXahAx8wy/cKDTvP0i+tcupQfS6gfjwbZ9fujpb0szXjtpF70ln7qgbGR8W/0
MWjd8Txz4X9Sxmu/L55/POZP95Z8vxKNJbZ+7MnjMd2NphUdMHfcER+LNfMSxbYPL7wE46ZBkvMh
fuBpgx0Pdc54hOL51Kn7ZmuCxleO/LwwjQJ5N7wauSM+axvZaS45G652qh7To+m9Cl/1OtwUm5R3
3EosbaMdKurF0IeP5o7BXcgS/5jcF9sJ75GvnKbCWcpH1ctP5QNhQU45v0PhIhBwP/LGe73bv7Ez
fGEJxH9sTt0hcQv7FnSe/EXncWFB9dst5i7DXnTYHaXGY80xY9J2rf7TeKteo9foW17YbEkVo9AD
5sfLXadgf0PNTbRzv+7vQO0oqijy2gTNr4/XD/+Qku2e3GuGPe4wq9+bB2yV4Bh6mjNCLBvx1Xel
l9AjfeDt+mlIztx4COfCs/mqnCVSn1cW2DYSV+kYk65Vr9n3We+SY/3YPYuvbIDQFtx507+JmzAA
rrjD5bHZrw662zmTswxMK292Zb9cdrvGGZwZkYV9u0dw3+vOtbhjI9BxcX5juXciTM0CPLrd+h7N
8YDf2n3+Ym7C54gzwW6ACGQuDZuhZ5ZJobdW8kZ/E0drHinRLR1aoOHA4IGOjBEP9594uycK69Vn
PNo9cyyKMNzVMKu3a5a7xDNfOtHtBzJU+EEQ8/jqj8p5VJ0SFxyrORuC9T8YLy8v6599QD8DYMtE
K4JtTVOKgmlwQQJ8xA+QUPTtAvlgo4FDK2IeMvWAU/7lz1cFehMYbQN7m+BNP36+jdznMb6PuWee
E3E/vUGFcdle3VZ+EBxW31+P05fr+fF6fzii+VPnm5Qky4TLEUevqWwc/D1hdom1xEM+SD1kMVjM
HUY+RTd8+nXf+ZNqdUE4SBqCjYElK+IJcKEfLziDMB/rXUMqPbzXAtcgP3ojiPAdG+c0fYXNYwnT
q9BfKI+gE7NlWumdfJ+svIoI7tEC6YJ8l5Pc+dgjF9wNSEHSBSAsgEpEe2bTLN2IN03ajtvoG24Y
d+TAfhHU4lXnqT+u1KN4dRGJYAxLnYZxXvaIhImOo/zFDvQH3T6O0LJECCP+eAJuND9e6Q0hJLSu
IQFVKQ43P7WXrj8x7e5AHrHb9W60p+D2sKhwb3sjdq4vKW+YYeN39CtY6fcLNqeiySpjdkjx6FF+
PJUcZiZmY3JCjxod4qPuVRS4iqWfJE9wrs7NDu1fvNe/R/80XmZckQW47Qrj+B+PSGgvHgBEGP8G
dRBzuoFYCqgUb34FKv3BC7XkVUEeUgioxizop80IV4lcm+Yw8W7PuDbcgA4qB1FmHe6J2EmZuhv5
1+KsntX7ZnZnsJ0cb2QLm/OosHtcIUpsFj0tcXUsbTRhq7Rkg1gkGdMZkVM4+EnniuK+kHDr3cWz
S72rpsHUPeRE8gCQqF47u0OPdNVKHBjR5q7+0MJjwugdxA7fSiwKoaMDn7z/+T2W/uCpigoAq6rJ
Mji+8tM9FqQ6HcqJEmcBMHFc9MAYItXD0+C+oMHY0+zCnd3h6ryKbQjmG8mj0Ltcz7gR/mohk5Y6
48dlxcQkDXQLvjsovvHTY8DLQEbmSKUbXmKsZdmdDgbkvuB2vN4T6dudilfuDd6Zqj19XjHHUb0r
LvU6wrX96urXlxWVAVTEP79Hv6HMf3ZaP63u8aRNeZNwWoofBd09fMGXzk89+uyFSWG3G9KlG5Bm
mmTUsF/TM6lab9HNrk9w2G4+64Oj3+kiqLVHGSwcekJr1+Zauq+dX30zf7Bg8J3AUePLkflapZ8W
jIHEg6wa9chjdD0Ch5l8o1WHkcpDLqCOeOXBQoykZKHFCN1Q/ormg1KdqvJFdLXajyoHAwz25oqE
rT+/jSJg8O+fL2cEWA7PhJPUf6ozpy5cVfADYg9bpC8zAqKLy30fuenayF3ylMLaMpe8aHQNNjmE
U7xHwbIq79J2DVs2EYPh5iaS37whIa3XkUYZV6+12cYeUevuSdJqFTvC2TR3lI1OekOIK4sNY9jC
OjzC8/kFlsD0mCZui65hdATDhsJg1uuOAsYx0FK56rtyAZhKCDh5yyNvBq0T98qXafp97qGf0DNv
EoI+xkTaxmi1/WwfEnAsrE0x1wmuh9tu2pQ787nnRO75K4OPH16o2XB5zdBvcF10S2whUWvgTgmU
4JsfwGoD9NAcCYqVPdQQ4RJrdYezJHxIcnfEAKpBfH0BylBI6XBwQvRX6EwPyAEGfavP5yIPKgx9
jG2un6+ao0JLQu3OxoS71DdgreJQmFy2oll16KeDT1oM2mX8wkIhmLNdDDej8EH5anpB6t7YR6xS
gLJ8rmK/hHJji4i7Zi/uN6YV+iZh66qlnKSNAvaUAerSBwHCmRbA21xY8RoD1W4jbGjZ0JW+NYkt
ZZtasobYXp3HwromNr9Tk3yAIxz5PrQFbPqUrfBUUkyXtupV1QHFMQgiUo42t5MbSaFWdQ+QmMyg
n4JLmfE4ufJODEJ+wAKI9JaEcWrU7gU7RU97ZH2uWXs3z1XQOtlDybfQrylVqgNAUUY0Cq4vjpDZ
xN661Z5YCLycbnj+dG5rBuRJS49Xd3Vf3imXfg3ZIsi88R0m7gu+K9WBaUPEQMzrZkuxy7XuETW9
v93FL5otdE72Ej7Kwc1h6Faa6wbVJ7LgBLo0PorNs7lAzhiI26aOz1SQNoC7PJP4g6trz/ULfp0m
+jN0EIjjXHW7jri8cZOdyZU5px6hRKonO7F6WSF5eO1OmQM/yr9RaAZ4S25FDnrG0iZ7kN4Ed+lb
NF+wcQN2cnfcElaxbdfhqd9hd6vjtrXFEdyu74Q33uV+3X7Okn0Nxp3uUfLXGsgf8HbLBcZH3rDi
YHqjg4R7QwGyesKl6GX6Fn8QPtN8K8+6t3pXUw/jhySyZo+cXuTJXmfawqNE9va4oHLSpUCQYw2v
RGctQTA2frTNJTrNFvMyGyCgAZQe3Pkhdyu/uEBvRzTnTd7k9Ac//0af49INMYqMrV340CNLKlGj
ExOyoD1q5oqHFYEAB5Cq80cFUBMsbk8EDBa2sOcZ0D8/8xAd/PGs1ftwKO+uQfMWben2OlfbM6rd
JI8E/EI/9/JHmUW62RYBOze8pY/5RfLnZ+FeUK3xDrek0M4uMr6/TiGC4DDDNVx9xzC39TJE7piu
WqZ126VrbZM+XzfGOn9GFrafTmxQ9DVO6XTurbcmH626M+9avujAOJSA3ZDdLY3Tid7m8+xxpwTH
OGkbME9/8MMvCuyj6o3nYQ+rPzkRUJYfROfqFj6KGm1Nr3egWzrT5Q7HcXNMDSBOK/H7Tfuk9Nsa
Ag3QF8k8s88t9m9eYTUBPK7Jmh6FffQqvfTbdXWKHW2NretMAtk6WZu+7Gof1Q7cA02ChS7+swCj
/jpefZX8qb3hiMF4ro/dI8tWIFoPzWWk6YsfaRBr5imjRZNqd4/SY7XRn64ArNTYmdeWlgj+rLrU
FbawRuLolF/Rnrg+x/RAc8dzBcQtLAtttel3dNHN4+0IuW1+0J8BM4Eorc7O9rdL8tQ9fRHhtcYq
mAqqCZDFWJpoT+8j8EEw3ePtl+2xt+02jCK+Re/1YH8lTndHqJc9gU6Oe5Gjt41t7DrPrK3rZZnT
Nzs6cQejm4d8n+y6/fWSuLFDl+5d7dgT1up965q+j8ze6Tzkk/7NFbbTdvUA/3JJ8Oq96Iz/a7i9
fTBWynju6yKIDrXDPJ2nrEZwnhDeWrf91wC+te22RN3sm0cV6zrGFM8Icyj8R4iZL7KHQ9ZjeNFO
DJ0YfAZltdb8hVswBtVJ4a4GfFniU3leHRCp8zM2pOohuVc2xYH6MzBx0EDnaieza6iWfF5Ec5Su
VvoQHYzYVk6oaXtPXBt07iN4oU3kVP8cLYlO9or84meTPak5TJt2p9gVT0X8mCa79jAE8brH7hRt
xdq5PpprbS/YEwOM8LrBjO+KDS15ViUfB//PzlGvrKxx6x2Xka2bL2GChcV+Fz8IvnFAAk/0mjtk
jr7ONokjrjMfr1f+ZvqgOvM5JrvThrB0BL9krnXmO5xA3xDN814jcmA1Gw71utCsyRZexY/GDe3k
LuJrU/ya15o6ezfejR62mIfhno2WF9qOTwa08OaxXbd3/Tp9aNcaL2dDnwXB1J79yK2gtF50ZHMs
s7nV27p/7J/krTLYyQbVnW2s1d24Nd3ueTyV7wP7VHqgGkx7T2AcoyCIdeDrUrhW366byB1Pybgh
RW5mLvCefnW4Ml6jIJMuivxkpBQnrFgI8baNBh3D68odEUK3bpt+DL/t5K6xmb5UL0PBYi0Ak8+H
QTZbnbz0CdlgTqKh/HbGrXAcelJJHYpUMSBrZVnZARKPUCGXfaN9L5DhuBVeK2vWUbxv3OgImI/T
ZAkbEyOWmpRFe/jIaStzG7tIGH7ux+DEgeCVhm2cQy/8xM/MU+q1xLyD/YWFlDnAo2ayyc72GB6A
wvzeLtbzJqMS6+z0ABDSxQ5W3ZPTHphKTm7PP9fO4qyL92/nt0ivSbArD8OuON4OyocKV4YTaJwe
YYpAjqxNG699jBOLrL0glPy9nnKks+MDwH++q4jLkZejtRiRXwPlub25+Kk065QRNXM5aWMQmYIf
Nm3zQSNgpSOCA/UmknMbLH2iiLkP78pDZCsEO1kFH3xOmYg8ZZuv48DwmnOWbTuCzS3z6lyzeyW0
8uP1KH8lYA12xHkM63QDh+9u+bfex6Mn8qoAvJtv/SC7WX9HBFzCGbX2tMXFe1N5xZFak7Stp8MV
uB2OiFu+RZy+pQGr7CvvCcm9jYeyFdmFJ7rJka/Zqw+9yxrMAooT6La220P7xui0st54Kh722KSN
phtIAg+MZu+QxFbWBj0e8yzk51dn+YPoeQFokAQdx0P+om5qw5ZfI8kyHmR/fEyDKrRuCSa0Fioi
7fl6TAN9g+WHP7sr0Zc+1A2KHeYonX0l97NeL2MY4XDV7iVScCrsOAL5zaBH40XbmZeEcsJlsjKr
nmRaPI44PKz8/rC8AvMh+hQZ3aDsayy0jUwTEcs+kix5L7sFxbIrf/FiqJvqKPNxqSMiOrS5HxKE
4T47ahDMbPnCOMJgy0OPKICbWjeXyvkt+eBW+SQiPlVuGqSMW6wqmLbla6j6MJHNY/KU7jXXfEk3
/YlUIPlSU9otU5UF/6YhJqrz4cV45t1lEmKi22Q+NTaWsuUWa57gkW4YH7LDUuTiU2Zhvbvvjulp
eNe2XejfqMQiawIyYOCqk823jhC1cv7hszF4ChE9DJvXVyI1rZFiySIxh6qvsQpnduOaoyg76alw
pN2Kqf9O2vVv0bGOPEBbgrFNw27ILYTPy2+GDQAzm02r96uj/hVnaxXrlAsBfQXY5Lsh2iaxC4zQ
T8yHskv1dMOLBufXS3tC7+vEjMtLelJzjSHcU3xZBZSrmR+faFuBRdaS37+kfr+P7gjrjIPaBs52
a7CJIwd26HycK+HDh9gVCMh1SbulPe7d8JALfsEsa96XTr2b/HBf6Ja6Dl+3pS05MJWhcr2RUKOz
5bJM6PvhKNyRTYfd+tdk+s0aICU+oNbBVekhvlvZsj/ssg2qzbvESa2Vny4P/O36MKxzh8gPJ/MB
w4KSGZF8Tv2I1+DKVXX2xtxMZx7igopOW+09d+r7Zvbozfajy/vNPX5qT6kbBznsQIJp7HITn/4v
ddfSnDYShP+KK3eqhAAjDpsqowcgIzAv2+RCjUEgGb0QEkb8mxz3kMPW/gT+2H4DyCAho2xEUuVL
qoKhp7tnpnv6jeCsanGCQxgBobk+4niNN4Fpb3gE4ZF8q2Autj70uuzLTBq8Cf4z4o/FsfkQNJGW
1jQLIoeYGPIe+3Nb8Rtet6JuRMxqlUZPFRll3c+2xN7bQvG+8Bj0fHTmWfbn5SnS33Ml4W2Smz2V
H5d03FMVUzCdAVLa2k6Nk1Y1a83reYxvrVZwo61vzhw0eS0IRp/Xh/bwtQPcctMy8RsMWy3I8Dlh
GG3XlVc1u72QECfk7lctXG743rXufMUXVzhNYklDKXs16C/66MGO4QsL3oU1UZBzPp60w803fGTV
FjphJLvywgUUDoTmYsLiWqP/FmpboIYhAipVBGZzNQ9XYt5G3gQPz/+6xuKAo6WcCNUuYXIwJwXN
VYWfP+CfRSOPmaJ4kY1Qj53j7SFbd2TqPhGBGPK30f++t0LBtwyZKG6gEbyWIzP4TrG5Jogf4uWM
c71WIZM9BcKNqWPlIfeEviAaoru3dWtg9m7rc6EiLGXzCbdHvIWbrpprjF48FdkrUwfX1ZYQYPDb
OO5OB5VvCodYMxKn0DoMPk6wG6mPhMW+jhZwt6Lvoe21grxYytEnyHomo8rF5UR/IfJLhNlTYoIJ
rjr4vhASRMYuHCjluNe7kGPg99kgy/a1adfRgKq2aSCxVTTlpUqrXcHgOgqSITPQahubvRLxSctV
oMLNNFfOudcQqCCpGBm2hTx1Ckc9s5xmanmUsSPhd5/2WMUkdk2Aq6ERINyLcnOllBLk2FUFxpxw
WLKIbLMC9W4xFKWTZLuRa5fLcw1FwyspNy7yMEfx7NIJzVVaDuwaYg54zOA13CjBouYeTXnd08W5
ggpUvNoKdXuAkeQSRvcQdmp2i6LRs2t5s+pBHwUCZmHDmha8+qg+6jsIc63FW8kWHGXEaw0Dh4vf
KKi8/Obxswn6HtfQiqLLKlMajWXq/tMSiUkPBk6EeV8eah2jZQveINX/fh6kpTw/MiDGcx+DqvUc
qtEltsPV6At1fY+uz4L5MOMdPj2fM5+8x8f1Ys46dEnTGRZt86TXhgcfSBGGRhEGeB55BnmRRhnS
3L+pK8bcv6XRKtA8DyuiMMJpIEtKyOH5/SbNlVmDocG/Tprjn86ninucwVRUGhZYeP7B3uip2hjo
s/8632gw2lH2iqQqDebeLR5x/oNTS8tVRFZ9wmoVlIcVMEYLUZSYs32FmXEz5FRqkj4NYBeI6JqZ
X8pQ0s/wtssjzDTNCbB7kcRVrtqyKRtWFYangqBt0LbhwOgvGmuSh7HZf1tVMc3R6K6nQXM2MSd+
w++5A72Ntpqviqag23ua8zYB9SKahKLxHDKemXiuazlfthmzhL2BXd1hgirGi8AXDtPXuUcDGYF9
djBrQ2YEJIyH4cb/VU/7u4pFDkgIqMIQLU/3go6vukFXRScEb7mbBIficBiYxmT3Z11FKP/nv/Ax
gBt1txodhFE6jj/bLdQPHHW/9P479P9fyQQ9qPZj28b7eXUnf9zNrwvxPPz8QNg56ok4hR/WddXF
sA0t2FEbHLBsEVP96wtPjAlZntapoFIWUuiIyF9fImieHLFLcLs6CoYp7BAUZQqLO4nrkRU20hV1
MwIYKpQO38gK+JEYhooCHwMFPH50OEmBjvjIvkLLdj26wr5OyJqobgiT8qeCciAIkvAjuum/xv0W
cfXtP5HpuRQ2tGx22AqZTYihRoubAJ3bzUfJugX89l93Yr9Edhfz/zgUbmdH/WxXARmV6lc47lXb
2P5YkdhuolKHg4bNypM7z9h+h2QZxzaURfnXNcCbZGNbUSGAIchIVaO5c1mRR/anb5IggvoB+hVw
fyS+gyq8EM3jCKI83hlZUefJwle97fcQ0gl0RIuzQq/5ZKUTVw0hnUC/gqCp+7oRuUR7nrNXEABA
XLe2P5Kg50Nifl10pUz+3inYX4d+GI16EyrdEN8j82kdZNatVVQviTtX0FB8+uysjBx6vDgBISNw
niyJlXjm2SvcqDs3rrUPh/4K96lqB2ScJAquoVIvdrvNyPI7/N5e+HrCgSxc4ajv6p3j75g92wtX
kO89f5wkIYtXEDSXWtpk5HmT3EBIorduAtNhGGSWLyf15zfEmpyWoIfAjwJtV3F+kaAkq+JrxPwQ
6e+jZlLqF94NrQdceMtLAJH+jdCCSQBxYOKRTupae6/h360WtXROhfJlBXKyWgiCLkN3DguEFu5H
VF3AeW+BXvjCOVEQi5eIigvUz0MYZPIlwqKy/NOQRbXBJbJiauTz0AVVcYmuMy3zeSiDlrpE2ZmC
+zSUHeTVvj4pQSCea6lPQBpS1CspO3Znbv929THZOXJ6/rtNvqdubEOXWVBIJ9v+gcAvIE19f5//
kMw/LvjhpoX6fU+MYxBL3VPyh1BMO1S8bdjmy/G1GTLdtzzqgUWXausnGP++yX+IKtpicOequSQJ
4j6e33tb0ijH44l+ZWyoxP36HwAAAP//</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_xlchart.v6.7</cx:f>
        <cx:nf>_xlchart.v6.6</cx:nf>
      </cx:strDim>
      <cx:strDim type="entityId">
        <cx:lvl ptCount="8">
          <cx:pt idx="0">10106924</cx:pt>
          <cx:pt idx="1">10106936</cx:pt>
          <cx:pt idx="2">10106929</cx:pt>
          <cx:pt idx="3">9421486</cx:pt>
          <cx:pt idx="4">10106933</cx:pt>
          <cx:pt idx="5">10106930</cx:pt>
          <cx:pt idx="6">10106928</cx:pt>
          <cx:pt idx="7">10106951</cx:pt>
        </cx:lvl>
      </cx:strDim>
      <cx:strDim type="cat">
        <cx:f>_xlchart.v6.5</cx:f>
        <cx:nf>_xlchart.v6.4</cx:nf>
      </cx:strDim>
    </cx:data>
  </cx:chartData>
  <cx:chart>
    <cx:title pos="t" align="ctr" overlay="0">
      <cx:tx>
        <cx:txData>
          <cx:v>Oil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 STB/d</a:t>
          </a:r>
        </a:p>
      </cx:txPr>
    </cx:title>
    <cx:plotArea>
      <cx:plotAreaRegion>
        <cx:series layoutId="regionMap" uniqueId="{4E3DC997-3E87-41FC-ACE6-F30E991338C0}" formatIdx="0">
          <cx:tx>
            <cx:txData>
              <cx:f>_xlchart.v6.6</cx:f>
              <cx:v>Oil production STB/d</cx:v>
            </cx:txData>
          </cx:tx>
          <cx:spPr>
            <a:solidFill>
              <a:schemeClr val="bg1">
                <a:lumMod val="95000"/>
              </a:schemeClr>
            </a:solidFill>
          </cx:spPr>
          <cx:dataPt idx="0">
            <cx:spPr>
              <a:solidFill>
                <a:srgbClr val="002060"/>
              </a:solidFill>
            </cx:spPr>
          </cx:dataPt>
          <cx:dataPt idx="4">
            <cx:spPr>
              <a:solidFill>
                <a:srgbClr val="7030A0"/>
              </a:solidFill>
            </cx:spPr>
          </cx:dataPt>
          <cx:dataPt idx="6">
            <cx:spPr>
              <a:solidFill>
                <a:srgbClr val="5B9BD5">
                  <a:lumMod val="60000"/>
                  <a:lumOff val="40000"/>
                </a:srgb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fJpZb9241qb/SiHXrSqRoqaDr/qCkvbg2Y4zVG4EJ3FIipNEUpSoX98rpw8+NBroBnzjLW2ZItfw
vs/yf/3Y//VDvb+5P3atjP/Xj/3vDzyE+V9//eV/8Hf95v/U4oez3v4Kf/6w+i/765f48f7XT/e2
CcP+wjkif/3gby687x/+53/B09i77d/C22CCCOl5fXfp5d2vKvj/79X/x8U/3v/9mNc0v//94Ydd
Tfj9OCas+fCfS9eff38o0Yc//vo/n/Cfaw9vGr7WWWX1d/H2f3/j/c2Hvz9kVfVnUyJUNojgvGkb
Qj78sb3/+1KD/qwLTKo8x6itcVVWH/4w1gX+9wdU/Fk0Zdu0CH5I3ZL2wx/err8vZeRPXKCqaVvc
thWGJ+P/3pknqxKz5r/34j+//2FW/WSFCf7vD7AI/OGP+X/f+O+3K+uyJej3X8NFgVHe1nD9x9sL
7D/cj/6Hl15MehSyz92GH4WOgtc3Ey+E0s98Nm7MEs1RtpuhyRdff/Rz3MgFj5krH5DM9kBrFh/R
vPw6jngt6vhrCjvLnveyZaLT8xi3PsRK/NLFgWi5r1k6JYvq9EJaxKquGMfcXCUzBktqBMbqdKB8
LmnmmUyDKUKIr4ZP7Oixypf9s2425V03TmjHb7GxVnWLbIPtyimvtm7eVdnSpZyVul0P0WZUGMTc
i+OR+et+YH5QbOJYfI82X+df0RsRz2UhJKEbl/V+CllMK63bOKthXLPavMR5OkhnzBRecgm70KnQ
LqqzXG/lKS+y2lOtau0HZnM50+2YIj6jds0V5UdV1Z1dVkuolC3K+8ktle2InPbsZtwYbztYWqWu
nJhaUx7ncR5GxezYrfvCLZWsXh3sZDS5q+meSaGHNB947n1Qgd1Mapumhym06fhsucwF+5F73X6r
jTMTnWLlWmoWnT2XS8kEtbttMppJ49/msVTwyWpNy2nB88ipy1TdfGN82ghdcNzGb24ehcnp7sme
Tqs34/SVJCTU/eJKzq6BEGl7E+0xd8QXQl8U4R73vCWZ68dmt8cXVxUTGlK1travTMiQom222MPQ
NvfHixotYucWh/x4Xbd8+UfkIRY5rZMt+WBI1MXAiXZ88MjipVt4KMLFNgdDFz0lMnmaKVj9g/KN
jrca5aO6JVWzyE6nY83Pa3FkcmgyxuONJMyT4WBayCvZj4ncxIov2zMhy97c4lQg1R+hLvj9So6U
IKhMK2jeZNWVeI2WC2uNIn0xl2tOj9ykX1to5N7rEMeyvPqRLPwGAmUq6eaF9XRpju14MaWv4CaZ
Ozd4VbXoadbruA5rpprqTu4kS9dCQ170vpSltZS7tKVIRVzz+i6kUJNumskuOnfMUd608yTsSTZV
4sPGnUtvdZ2P83c0u8X2KEax3B5ogW0/YrbWt97P4/jGMtva12w8pukUWuHYUHuLvqzZuK1fuUc4
MiogAOJzeeTN9CONRdsM3m/YdWlrW9EZlqPmuvljK2/L0q51n7LWipIeadkP6vNyC0NVqEM9y4Yr
fjXBjOVTduyZuBu9gHuWamync14tpsV9pnMx03nVk+ybxtTzTANGqerx6FY75Mfe5tdpXbWdA/Vr
U/mLGMe03YU1jvJFMp+KXqm8rG5WPy7biahsIj22+zJ9YTylWy9n2DtNovrM5oTRsI9m2rrC1Ku4
elQHBafbuHRbVXGPb4dupqI7VmWWoUU+q/sWN/uvpoEEvuOTNhAes9Kjo3DuzlyaNY2QQ7iVuj5z
BOE45EUsylO0sOZ/sExu7rSAyn2T13uTX5eaB/XPvk8z6qNetLhlJRrVDZEMosWaeV4GUZN8+b7m
xc5edXDN3MWdNH7pj02bTVG1o9W96GOe/Y/aNc1rPmE1d4ep2C1DOyogbOfyy6jiijo2E82u3lQ+
9WhR7UE35bY4rFWe1YO3pIFaO8/ZP5KT1tDcharbcBh3mut6OkdZLi8tlBoDoTdOoSsJs4GqkLtI
WRXxreaZ2gaoW070SHp5uxrGPZ3n2NwWGJu7MezY0DIv9KBqhX5yQtL3cne5oLGa4x0JfHf9lPnt
oyMMDymO+5Nvi2alfJstwzRs0+j7mYxV1h+rLMb7RXFf9xmZQxqQxHIcKsmCf1ORNKYrcb4fvSPE
j1Rg6+Wlzo9WXo5IfF1Rh/O0nSdWTWyixZogw904FglqRD3Hm2oTylzGsay+bRpjdqdL3ip2gbhz
y6+wiCx98hAEQXeh9Khz08EHHcKnBo8dw+0Ty/lLmNDt3lZLl5vtpoZMoofFr/vSvCw12bo6Qvmr
EQ50Ips47WVWd9LrilZ+zi85ycSF2Wq5GXUMQ74yRGdbfg2mfPJzczY+PE9QC6mwEDRZfsR+G48K
zqNQdDLhPiPoTmqxQBEttmvDzGNt0Wcn+ccSpYaipN43sT8vh4/9UWIGB+Hf2Z69sap6nAroTDpt
HU9FuEHelzQQ3NzlmyNfCmwKKg2KN07Ji4mc3zbFkZ/LpYC2ohp9YksG2eEX3hWZ/LjN7W0zkUhR
kJg6CPCh3AP7mpds7Ro4k5mZcC7lWN+oWbdnhC17DpCirJ/MLEu6bkY/bqji+QmNgZxzPv9kpTYd
z3ZOFWTHEGX1JjLJ7vju7VBD8sOTW9nzVUMfyw/S0GYOj4lzDo3aPKQ97dRJJl6sENWpUeWDUmN4
AznzNUuo6qapuNm0fM0EV8MGZ32GhOV0LPlbaxf0yPUezqPdPG0F0dTVtj3lpcPvYdrl4yG2X3Xa
+anN09Stqr7JNH/Bh27vqz0+R5xzKq0pznLd09nZeezCPL8pK8lL4hv/nOlV3wRezr3dZfk1hUze
msOW58wEcimMzTqBzPfknKf1vN4d2VL3HmnTHwUaOx8yRo3L5Xcf83ul1F2D9EM4oGyaxU6nOM5L
l9myGtrUvHHJFlqZOFF8uLZLhb6t2TEN0M37pRC2C62yl52kE17FE2zddkcgpuwWEl2X+V1DJtAN
zRdnmktw6rM78HfLl8u0kI1ir+5FedzUpC37Vvq7Y+FTJ7GbrqE0p0mZJ8nz68rqHyT4q8/jiRct
o+24n7Z9P3HMz5hz/TZl0l02zn7KekLU7Lo8b7vX5ym1X2O7ZxDT6FxvR9Wxwp73OJ2bmnV8zXEn
t2broQy8gP7+KFFxW87uzrMxUTs6SVPjb/eJdWqFGoonlg2hKosu8ChPYybzS5YVkMJxrg7KiK7O
yOTLaW5Z+0oOYT9aPvkvOcHxIytC/t4aPn4UyaxTtxeuusbJckbRmAJ0bYPkp3UOoJLqqj1pOzWJ
+gLx27bYyd2YQKJGt65va5z3T7Vo5Avcop6a0ITezCW/58EVlKt9PoHsbt7nOheXAkTWxaR2flj1
wb7GMKYHmWToRmSqXxVp5FMwa+irtCz2AbSoJPCyCI30cDF04Vj9V8vbjF+swk15v8c5TZSpMWko
Z4f13Talw52UG9v1akBHf9cZqNKOtDIsfVNlTA3EpfixTFxA5Y+hTldIwxj6uKpKnMsozHRTVOte
frNK1OFuCqiaoEoQ+49IWbW+NyoX9XmxyiDSL4kZNnetdVnVedSyhtYNYs9CeThpu4B8o1jKZqci
7cL3+bbmz2u+untTu/xzEi5AJ5jJTZ4Wk6hcXLPCS4Sj6tfaj5geMxKgrhQ4ov4AbenPtV9D7Jxb
YRsIU4sChYRDe9lB12DarCP6brPqy9QgMxC81xRV7TqBS1kftywNWRU4PYo1dBFcRQ8pu3/Su5O3
ajPzZfLBQ12U0IG3OTtppquurKAVW1m01220OS2nCd1AQXhVNeEv++6WJ8NScStYKqEQ59PVxfxq
1/yrQVXe7wsWnZi8opYUn4MrvxE1V4+4th+1bdA3jmd3Y3UO7Tk425flsl1Qlr23y149Hii+2aP+
vkW/D3qT6WYSgne8ys1jGXS41XPUZw8pe89x46GdctG1m9o+zSk1fTisOIHC0L+OVqUTFPGjm7Tg
J4hL9dtJrOh5PqbyEsjKh4m47AUcRT5sbVS9AP8E0lE3PWlnqaFBgagD25NnN56BpKR5gTW0CJ9d
q73I70HI+bNZTN0RRu7VMs10qet4h+vRddo1SFKSW/7amtzelus8ghSX6ozNrO6balyg72w/l9Bu
Q2r26SzMuF9bo5vOFuEzVAYOL9ac1O92Me7rgyblz3ppO1K0l3Isu5gUogsSL6wo3lEi/5gyflzR
BtVS2KkD2bfTMbb/hJEYKmahoM2v7aCWklCj8T+4KKHPZy2ixNmbqoY6s/F4dKYCX32M1SUT1cM+
Fw8uC59B+yWqPe/dzj5Ns7+MPkq6huo+q+Tbiv1XYkA2TDl6HAm+a+HDgOLV5M15Q3ajI0r2UrVM
3ZSo7JZZQWPBJKNeTeWpkdvDnuSrievPlHtEj22+B+V171Ie7msBIqAYZUErSX61NhO02aoNumR+
j3F1lXVbUC2PYoiFW2hooIqy4jxzv9BNlFc35q+BifNawToqsoLnbEM4u2wkNBL7g6NjOa1B2H6E
NtLVFXhEJqAGTpUoqJCloojBorMdFzSF/VuxV72rE3RKYEVdPrtPglWfgvcTtUmoLtj1dQz6vMo2
0iIP89nsdbwG3q7UQYm9zpt6DsfeOxlUJ6E7DMiNp3nCUDSy6aGNxkLPaPfOxakdvMlYN+v0eZrW
uzw4PCxtBqGUgcvb8ESFU68uLM955fOztSynaTN4KPPlR1sgT7emeD7Y3qE9fyVT+xTVdIO5fyRl
23Ez7f1mBHueXTGfps2EC5ZQfyacAbbwSwOERcmnhRjSee9kV0143ajSa32nJl/Bk4ToWF6lOysq
TVVpDpqvPO9GJe6ibuAjnh/dmuUPR1k/kuSvxW5gNY0jXZlmaNB5c9va8kTyRM4qCX11GYQ5Bos2
Kp36A9Wfy6W1nSmylTZV+2Lr7S4ydZ+kRhQ8xWUq2OeSpCHPMKfmkN8AG9z7Mn1R0X9KctkGfmS2
n3KsIPSbC9S8+dI4kQ/1OqoepNHWeXNkHdpApSYoL3SHvaALGRmU07CZ+zkBNJBqfI12V8OszSeU
zXeaFe0zQXa8phUeuSicTpYo16+stXd5ns1X0HHLeUEbgYZTr59BrRaMLm7SIAQbd3U+zr5DCyk1
MIe9OJVHlDNgHO11N7XzyLpjc+P3Jc3xymVA7FTOKQowo/P4Fla5r0PD5qO85EUJXbE0MuZDy5d9
p1EicWrFGF+yacS35PAIJEwG+BJo1atoIIlGkX5lcGjnlMd9YAVJj7oi42nNom+BNCUtoXaQ9cSI
CpfaRn8pq6B/KZSVNwFIxjXkC3iuCq1njlfIPyyOZGhglWjgS2DU6ArmtJsjHHN2bPzc5k0kdFVj
DmUmH3V50x7tVNxKLf09wdn6VaPK2fMkEZRsXAPbuLaoRWfRivYW4M3W3iuk2NWoTUJGtXJ0V6PH
0FVH4R9zj/PHA4/tE+dVEi/ztPv9qsJR3B2CcAUbbNzNrh0+L2zPHyYEiuacbYIZWhiiUC+BdAEp
SIhWYOhuQULsgxNh/8XH2gxgq9BFHhYBPCwO3DdlyKAc1Jhm2fRcZke6E0i/LgU+bmdcss9Kb1U/
kkk8Mpf7j8ixZ3vE2ySaT9h5d7UY5GqqHDkZMb7y6TjBeYOTroq3NG34tGSVoGRnke4N+qT19Dyy
5WENheiK1T+RFU10L5vrPuEHsuuTtMVg63w5V778qab5BoE3iC77pveS0bC7m4OrfJgq+8Xp6XFG
xg5NI1KHgJj1lfamw4tewe7tEqKsgr5XVSdW8EGBE+1xveYnEKf3q2hA41fTPy6KOwkisgPOaCmc
yaVK9r6S7U1Wl0Pm9obGJqaTU0AU9djaZ1LyAHAvyh6xPIcu2bKhseM2ZA34hokcGw2uLm4kRuKx
BWfwWBo8TaCNZktDMgKKHoHVkQrNwO1s6Jd2VXcbByqndZ4/ZDmZOizjfWzBp2VAi2FbdEklz86V
sncr4ZfmiB8LOQ2Mzc8Oj4auWSbpTtQFqJvsgshu8eg/FXMgHTqkHMaqbocqC1AECRHXuSo0iOfx
ulUzoXuVPbXh+OK3paVxH1+nAvovweFr5rLHSYZAZ6AsnSfzSE2Oz5MwG8i88LCaGjrbqH+bikdA
s99thHiux4ea6+dpxwPC5Zml9KI2UlJt5kh1DXV9ldkVrfh7luFbQMWMHlX2htrmGxL4uE5isr3L
wAtb+TSm+i5V6T6w/Hrw5su+pWFl6pNX+ALAtHfYXwk/zubYGMW5GabGXQ5vp+s4ItzV9XafCP+F
mb/Rx36vpuXZl+UzlJ3nOmOfWL38Kkt1Y4EBsAIEiNTpccHSnKcDnEmq3a8om9C1RfwMZ9u3roHW
3gx4XOFdovmSmul5SeNMicmuRK10PPhTDPbnbOOQ7QWknz+V23Lx1gKahbMti6KfrO7jjnnnSwaK
w73gbAEHGYZjL64YAD6Z7NOGyUclSkdJ6QM9ZPW0mewBSN19rePUIaJ/yCz/qir+KNNyWX0Ljbr8
BDXf9976pTv2ELp5a77Mq6OqCazDOuYAW+vqEYG9AzeSLB3HrKB+lPgcxvzKYkY6yaHBzqieP/sA
uB1Z7+jsQCwu8yfYwcdmijfrsXah2S+TzW/bCIpqGfebqVKnhsy3slkGQoCdHKgR/bFI3u0p1xQy
/4vO25IyM7NTy8hKreNXoIt0K+2bF9sZROUn1hTnY7LfVXIPgMTumFp/iBRKCEr1Kic3uIMMbp8f
J1c8LkpwaHx7D4Cwl9l0B/r021RNz2oaO3UAfdHhrd7KjOZlC4mH+W8B58/FdgiqwUepuDwGzr/U
s3i10gm6m4VduHXvNjJA3GAEQc6gftbi2hilO7G333c/fg+yPC2Mvxa+fYMXnW4rtj8ID4H5Wynl
4x0f1zsg592us7krFCkGzDM+lHh+Nbg9x93YN6LL9mbVwlH/W7PgDUFqTuZ5l37sWzHDt8udD/FY
n+oR8AfG9kls6WSyrO1yoU54nF9l5T8Tu5UDtstxquvqZz1X2Xn1mnSzK+2JZOwF6M8PkzX3W4Yy
8G31b8F53IoR3btm4XSL83MJtKhLy3oJaINNLdfnle8QHZa9hi1+hVTlFzG352bBr41Q1/VQlro9
2068PmJz2o3fbsq8nb6zgNM9PgLXtJFB4H7BjYQj0cX9Os7+BNuCb2CaAkgARkagh/Klg6GA/EFi
RF0Em/y1YVl5TTMC0V+MB7mrAC9/hHnN8UJsOu4Ltfqe+wpgAxmb9WMmVnQFjrXf6Sp3PwTQrNBt
y0xmUCdjPI1rvv8TlGaXBYz/bXvs6B/niHsDrPI9LgmwSv0bukQ+wmSkhC7ORQ6/6rEbk3hyCgvK
ffbaxMKcDXRjW5eqqwsxsG1d75ttqS9gRB/LOQdmvybcHTk6aKvLZVjE1qOsBjI81YIyDFk65lAG
qhZAeQtpArQjUrAEz0SSG1S4jzD3gzCtm3SqjCyeRFEEClw0h6nTonrYLg7nVO1UAlOneqklBSL7
ktm5oVYtfXs0X5KuHGy+/FZN9XcL+rhbuSy7Yo4LjBrHL8zxXjXWa/A++/dK1F8Tb7KvpbdnGCS5
ISfHRYf8ZUTou1uKn7zeu7Y6sr6ogRSQKL+kfc+7GcYl/bRgS+cRpDaCKce1/G1C9wz8uRNwfHss
rmo9XmueVcAKw9cgs7ua4Ucf0UNYcOqZ9tWFedV2hiHfV9DUqeNa0Ux4QStwWsjMt3UrLjaboNAv
x1dgF4+6dm8qzz+KcjkoWu33o0r5A3Lxggj5OO4HA5YA5H4v1JUX1bWAoNvTQijfQcPoMXeXEkDF
sJKAe1HOopcxpnNNYPnASp5IskuX9hnQGUyQvuXuN2IwNTktWJfvdhHmrilWRNd9W66KYf6xmDfx
cTdHvCkxJD1utv2xCaMC2jsT/F5BIPcwDJoeYWxUjtS7ypYwyWwNwGE+fYwLZg9ozeytbz34PZ/j
DAooWdQ7zOpyQ7dszL+3TkXaLC3M/yBau0Yt21OleAkIe8VDoTX7zDJR3IWG8ys6Coj5Su8zOkHz
rR5KoLLXrLbk6QgV6bft4DKju9TgtdWeQzpNmwLCDsvDxbH0XlQgoHizDwCygM5YEdZnvK87QPpj
CTPUiKKegR4C76AqT+i6CweYcwEHpfd2+uVaAU28MMXdUnjzonZj7opo65vCJnxp20z/wlvBbiNK
y/OI2qqkXEgPfxQZMt+n2GRwTLx5lQ3br/Iwy7Ut+HaDxqUcZGjzTwDOitBDBURfC7nmnZpd9Rs+
mYeAbXYeUdwuY2H9GRHnbi2CWZlnpg40tbrox3muTrpO01OWZijEUxlw6GCX1k+6sMXn6rfn8s0M
GxoLMAvmCAAQslI8xG0mV7KGddiaStwCvMpPG4JpFNVFnE/NAbJX5n66lhsKFeULnvpoG+jpopa+
q+ZRXceMZV2GG711OdvI7ZJ48UuXzGKaVCh0R0IrBxQYaPGjVK19QcqnnDJIILocIMWA9nxCMK9p
usg28Q3FnH+2ZZCDhsHD3MPwFIiQ3I6fDCau/bqo4tn8BrsaMdY3spi+cAUDzqWd8vtJ7x60bNOA
RiHlI57q7clVx3T0arZTNeRAvk5p3dkgfemg9DXlS3KPWQOchNEaewej+rZJEqbh9XaDg2cXtIeL
GdUh6WiA11H4z4Wp5zCLVC/lspT6NAY58SFj0byjsUA/R99uN4nV8p0U1Sj6aEb/bQQS8TkW0lY0
2IUcNB6iuZ9VwRFVyzF9Q0bu3wzPbTmAnAnlbZXazJ+Ibt2uqZ8gl2EBYBpo3CofgRZpEOJpdhsD
fecQ9Ik6FuOAFsCbACGPpKonVnOoBdXI3HY5LAeht+Qjqq8Jb5dS/MaFM5ERdpFjcVuOtv3UgFe3
fSKqgP+nMNBwhtWOPjsjltrqVK//ngebDZTUFoI8q3VNxTAXbVC9agEAUl8aogfhDIzrZbuBDHUJ
JnxUp9Kyji11wy4lTuoG7Q0Pp//FzrklSYprXXou/U610AUJs7Z+ANw9Lh73e7xgmRmZAsRNgAAx
mx5Aj+KfWC+vqnMqM+v8VX367Tdrq6eoSA93cCHtvda39sTn6TME2NFkTTjCpXFTPMXQcKl9BbmC
E6YUOijSvK/XYT9RzdRFrfriugxx/GWlnA9QgGV4Jn1QbfcAUU6rqejpkjWMba2BntGGH10bwKFU
QYudNoqcW/e6cVBRheZoZfFLsBssGk4yVL6honQ5M3wXchzQ2dg6Hu0qotrmssCRq2AzicZeRbNW
5VW3Qgf+JISpxdXSuXW9Go1o38bKLSs+Na3hjYQu9D7RVsxpDlSjsevUwWjJ46+09eJbHqGmSDao
hONlXK7NnSrmoElHiEVpNYCBSAPVbdBMQIu4hI2T6g+CTO2cjbk23Y4u0JDOXUymrzygsDjIRjzJ
6mJ7ypfYJ0L1sFFjvmHHmEz5pVm563f9FLsYCkLLQIM0cezvwwkFNemmxl06ytQXmBx+TQH/uDVz
eQ4Ah0SBIvuB5OZKx/P2bTIrmv6I9MRmQQ6q60CaQKpdsdZDnwUEPkcyla4ssm5p+iNfPF2P8wkZ
OaDyHqpTa1agGa3UyC5dN0ItwxoSfr94LoE8RHG+rUceuE4+yDmXQbasZXPTQ8/Qu0gDqUgbXevh
xpVMs52PGYAE6SDwHOYZ1MlxmIJYXDrT9LdyzTeWNjS8nHDMLuiw3GoeKtR8wxV1ekZBswUU2E6U
YxnCeFsClPWtAo+0kt7idlZbn4CFAjiy8Bg7cRihUNiFc8ua/SyDcIVXb5t411Zj8KXoCWHHHnAO
lI9whpzU5bb6WDdZ5MkUdSxVosKF2k7dzUEHgASkTjQDsTEFS7GCIUOaMoat1JA8ztPeL+sD0KBR
o+3y1ZPaVqruvF7qz5XYxu18kUVhHxuAD+F+igK082TUfZFUKNry5zqia3MVFmM5JTP+ygrDrHA4
o9ecjSiD5rZ5k8GpBOJBoStU4aOCQE3HyL+IQZAyJWopJJTqaohSWRfFM2pdphIbFFbfRS3dPhbr
8i1raA78ZgrK7dVUEZxTn7eKJ+M0uM+h3RqTlk0BzXBaJB9uel3P32B/VibpCvzFXR9v45qEoWTP
G20alF/S4jDtoWaYFFxWsH4lcJHsXoOukQcSz7pISaEiiQesmBvU4VWlL2pa+W+8Ae1wzoaaq13X
13Oc1H7d2ktJunZI66UHS9WKitf7OZ6KKCmbij7PfOH+YLkUfiepyD8VEHnduwCkMV70QUWHTFfC
Yh+XwxKnE8odCMZBExzRlpdtEmHNsCSe5XjfzgO59l3emKzUQSuy0Q+dS7yrwdlgM0dLDVylPlsB
Q+2xG0ZpSea5T42hFZxwj74QtV7DxDGyqx2ysiD1eFEzHXNsiwO2T5gbcCmmWoaw++Hpt5mrONx4
UWx83eezte4FHqb6lMNohK4a1vQLbeLgJTein7PY1xyNPhYHHIE+5s2+m9dB3EHxYCYlwpvi3Oaj
5MdqCYYbXvVtlZbluFF42Hyg6RQsqzjHTjuxyylGA5EtQMzGbGq1sDjjui3P6jByPsXDOxXHjuUM
SNkqzFWt8YvLZgibMjXWG/jTSq14LPpxuUFNt5Z7NjKAXmUb1MPl1G9QycK+2zrUncwUxxHyyJbk
Kpq+NN52zb61uR7TsfZMpB5Gij14Znl5KFCjTLiabfkyYf3EENeIUAdaGgBThdZrfwhzk3+OuQ62
AxioRh0Cx4d4H80Etu9WFRbU1rC2qMNc0ZXpUjYRlMJiHq5sXDKzs5UQM07AZbuZ5EzXtB5rWSUD
9wNAkx4gCjrojpQXA22mdQdqBjsHqyY+nm/dxBzkryEed1HupE8bvFbsOFTBMZVLN82H0YIVQ8dd
wxAsOohzKadNX/I1seAFnkznT7pR4LlPZTeG/qKuqAiKRPFa42FqIr9dh5Lb6sDjRbjTlkIb7DI4
saPkO9j1X/CjJzj0D3hUoaSRMQkjJgVVaGIoWNkf4NEWG2TbFBRNVT7gaZjGEFsTG/bcBX2CO2nO
vD389XsCfv3xPSUREvhriP1dgoM9Aa3fAash4yWkecMyLhtyLxVUR2YtkFTTjXvI0vm+1dxnBjci
XcSwub+5ZvHn948YFTA/GaeSsJ+uGSpesXmB959su+3DspjPJPXgJUixfv3rS/1Xb8WJjIWS4IDl
z2zutqDw7IueZSEd6mtK0JAHAOYyo426/+u3Ck8f+4evEtubAo8MMDIC3iDYj7dVl3i6Z0iuKDM8
SFsHRVFbFJgiy21AjpUbIXyZASWQx+bbQ4JPHIlI+tcfA9Dzz59CcQUpmuCwgIjw06dAtd447Bos
01NDPxsUpnO6mqBOelu3dyPase1v3vFPS1jiWqNYKgoKOpTRT8sJzXFe4pnEZXZRkXTV/BXwDckA
Ab8WA7mzGoDgX1/jn79VJjgXTLII+qGip3vw3QIemrXgdl5EBlumzVCSbgmrAQkROU9/86z86XYq
LpWIophFgjPG1Y9vxWbwboubwDGHlX0tVlVdbI6HidJQEro6Ds7++tKAs//49eHNeCQp56DdGY9/
ujTLir4SukVLoCyrdoEtAcCt0BbV33xr/+KNZMhOSzZW2Hx+vofx6nDcrB1AgYHMD2Bii+uVz3L3
15cT/vltlIK6RwWAQS4jflo8331VzgOOXzWvdm0j2L7tKnowITc4EsYqHSAdpXpQW4IP8exbne9A
crSJ4W2RSlWcOoIVBrXM9d+soNPX9sOziqb2+4/109famhwXO4tq59sC8IcBiLC5RuOxDEwqNjFd
Ga2r2zqP6d8sqD/dEOy3+FrxyLAwDNmvN+y7G9KX4AkYMzVEFtYeu9zHt74k8m/e5ecnhCts7Ioi
GoFVi8r5p+sj0CtqmGwhvHsQEoMq15sOdV6iqrzI/vor/vmC8PwpxkOcKTTCJ2c/rdiBgW5H915B
dg7hlG2RGQDtr71c/mYt/XxNWKnIV+DkkBRol4jIj0tpJKBfRuuKfbh6OlyJbq7uebQSwD1gTubf
Luu//5aBuf1tMfyW9PjS9X4oNQrSX1Mq//zxf179I1vzP04v++P/n4I0f/x0039tH6bh69fp6lP/
87/84YX4+7+//ymD88MPfwrkfB+Y+b/95Q95nE8fTdlmJRqF8sv0fboGaRXkaHB3/yKU88l9+SGR
88/X/B7LkeIXiZIezREWmsIKwGH4eyxHyl8AdKOmiSIq4C59F8tBKoeqU+6GhCFlhEd/xHLIL9jI
hSRYq7AMBA2x0/7jFvzwZSHA9PvP38dy+K8byx9PuBCKMC5wfOIjYG2G8qcnoIC9nE8nebmc2/m1
tNJ9RRikORchMkyE9uUttaw9F4q3T1YF/F2ebKVQkOrQNcW4g+4pjrpY2szE5baTPVzpDBc9fKs5
TE+Yu3zvc1q/DGExXyPMUJ9pzbdUR12Udr1jDyv6jH1RzO3l0Hb63AyePwZwD146ATGti2X1ZC3Y
U9pX85sPOfr7cYQxHjDFHs3agDkLO/a69G2ZARCq/Y4ztzyGiqOOrzks/6iZw7d25dgycaj4ZMGB
ckAFHCXV0rsCTOqiz8OWyTsDbEIjFrSNLKGgCz7LfHZ30Lp74FZbADWvhuuJWgwPEsS9ql2TiXi2
V9HmaeKgPE8JqQHE7icA5vuih1OTiCBed8q38DlreHDvFQSQDjpMCEjQNHMMYiUw/t0UC/6oBQNy
zYeZfg3ajjzgUadXOTbpfd2P0xXobXJbi2D5wr1VbxAciuM0rLFNYx4NJ1l6W9Hx5NC6FtMjxMEm
ZctErqa7t7HSn+cJnuWZmnNyS9AqQgkqI/Xayk6Bjh+GtUpxh2Gc6DE0uxWBHbsfVB3Lw+zmqMs4
d8ylumrQESmNIm5f8shA/o47ksmm6l91HZHnqOPFxwQ09SyPhTt3QTOkg2maEWya9V8WB7n7MCxD
0yelbgD8RDF6z4qAJgLGBosgXBx2R+JFfufHvIM0X4j8xoebg3rSipOF3ASjfW593/M0zhf/qZu9
ecAGp14BHW1necjj11VP/achrkKVaF/mezK38VWrldmXloXXnTbLJVIPdh8vnIArqKPrhoENg6Re
HdFwwKDnZqFf+rwC1hIhPZTkPQj9BPGGqUsCNdf0WlsFjzwCdnXToj996kYJgl1389VSmeCwKDre
AmJQlwTBo0MnmuCSo0W7jKa83BGV5+ALRJFBAqquO8eq/Ziz8kRucmB7st9V1kOSw7rYmXrbUlvL
/MJ2ZN5J0DigU/vgVQ1R5hEuee9MEe+E8mMKa4OBMBkhsDdQ/Vzv4/NW8OmKqqFLcw5omHloTpyS
8tBs4bqbTtp/gd0Inh+6aQbKe9dtzgJ6N9EFG1R8K60pPzNFAaL7ToE52cJDO6DXR78ISS8amv1K
B2iVtTRHuZbzHkUnGrVZWZvYpivPelbSQwtC6I15HVwToiHl4ouHkNnURXOkVVfBATK5O3S0LiFR
gxA24Ke8hJbQCNXClu/qIG1rR9+9plGTWlnTS70OK6j8KnwhCxm/nvDgW6W5/ipoy7+UYbjs+sUW
2Cvy9Y1Jh7+Q40ascRngNjd+j6xJswf5GJ0BO+5SX6+g07a6OVtgMqWKzLBMrAGtuM6E7JDD1Klh
uIut9eudRBIxdWQxS7J6xHo8zNpkaGT9TIUz58qX8gypt/YJdFxzxSDMXtOuC3YmrssvmgbVrWR1
9Yi177NFCkDCHSFn+QKKTDDbp2Vr492C7eZKBdtsE1NadQMcDbV9ZwmoyIkT8iEqsCL7X5VpL6Qv
4fHO71WeF+cV5DMQEgSUI0gNcOeBsOfUBuWUQiEAOdnNYImFguiVjzwENRmMCEn+KmCT3PJ9V+nm
WpClvHILVojsGDlvg1hde23s3i6K7NZV10fnC4g1geQ3cwh1gkYeFRwvxNsyhXHWU2QhYO7GUBRI
AJqu0d49QxaC5IC0IWyQ0EbsMM4SLqdvJvwzBEK3OplaIm7ZVIevTcHsx0CC4RphGlFnohMsTCa+
QcOGokuPK1JOAMYLOb3ivLNvpBgFsmDOnNDuVgbISPiTQidEDCFhojR4zivbQPkqw3sdvlGxlDcR
39i5E1AVoJ5u30pimg9Le/LoLDibSjhXZH5BUmfJq+IgGla/4qmjU1YVHRhaRjUU9dXDcQj09OaG
CT9PCJY8LQJYASDRtbid4mH+JKsyR5crTYxPF4vtBlGcaQ/npXvB25mboWibBwJZ6J6CgkhZDBxC
yC7/1K20eYTMBXB2JcMup2vwBHFyjc+Fg02SQE2TZ1u/RPtoHrqbMtfTU1H3tU+ruR0fg36cL3BU
Bw3ucz63mV59PiWcIfSKKKehR7vR9QP49AZJ1M+Pcup9eYhzHTWZhrr2LR8seBFPjEzAsk9vuW2m
g8pJfgcGQA8JCKNg73I1VdhFqvJBhtXJXkLxm0z1WF71sHYD4JtkA+q6cgi6UQSqNgy291KPQ3WI
AoowEkrc+NMAPwL7Thd8Hg0rzkyeQx5A8mrnpV0TAROLnmid4qlrZ4IyJbc6myDEu6QPaX/J5xJ8
TOun4m3Z4vmAjq4BulacQmaeIluJOrwKHm2o+lskKeyVV926h+u93K3bxg9NlbfHsS63Z2cjtxcs
WG5+LRv/fxX930ISkiim6Ib+8zL66uv0QxX9x2v+UUaHvxApIVApCCghJyft5B9lNP8lZgzFMkdT
JWIIhP9Mt+M3kJmg3SEpyhmNQjTV42/p9vCXiIToL/FSCm0N8t6/VUXLU0/1QxUdKuS8kHyFVHiq
6X9Sk9apnBeJwG4G5JaTjE0SGMpcGURC1ChdnUa1Gj7Zzi7BbvA0uo3DgnwrOkRygSgjmTjnqu+n
PSzV6TIamb5du3J9acRUfSC6l3+i87o9+oa600YFZ57wfkFl5uNrB2TFZ7yUDVj/yfo0mmV1AdNm
eqAhbZF/HbozG85l1hH0moheoSAM7Mj2qK7yLz3gra8Kcf8dy91w06xsutyKiVwEbbTe9P1ikMNB
NIpoLV9GJ+W+LFV7M9mo/BwhkQsBfJ1eQ2awaXadTGfJwQSVDDx4ojXqsrHk7ApFpr/JO4FUMY9L
gJIcMFzZDIDIqm1Op6Wuz2ctqjOUFePXhWu905RXTzjL4IrXQ/G+Ys/duSIHIICy88q1TXRfVSCP
We3HtyZfok9h3cER7nr4Zhua4/M1DqJn40u27RpadMcp7PllRcv6oYJPX8HljnqgllYfDGL05+U0
RBcBtvsLzQUOz34h7Vfk2UYAwEC7dxivgP2oRtjhPiSDvCpKucWJo8F6WzqU8TAHnLnyWoe3TrbI
y2j0fBluFruIZ9Nc+kW5D+WQPkJRU+eXiEE1hxqaAGINK0IXsafXrHT2OqJgSwLX27d23uidRCT2
qcwnBcCDINvfAAPrQ2/eMBJB3zV13XyYZa4vtrjID8DT1DdemxnB7i1GOe9MBb6obcsXGUQxQfQu
nI+Q/xHXyw05X13Mzstw4w9zgPWb6om0l0hLxOdczQ7u/jw/4EbgmGgnspyhwQ3vt0mAEUAqXnzx
YxA/gN8rYeKOtO9wQLmZpPCT7CNZtmVvK9kfuDUgOCnyQIIv6rnVbjEZZc32IFVX3SHQ7m8hK8Jc
NK1UdQJOId9BuaWA5YcAZu/SBw4ohELk20aDeGkg2e2k79tLtGvNmQ1iUFktytkE0W77gm8fzgoi
ab1LtFoHZGw4vbPwg1Gm080i4Vqai0AbfW9bJU6FjoQc7UOErTkS5M1FUyzhfkWu7CkeY3WjurbF
okHTA2S+OyFAQtzwkaBWbKv60jeSwWiUgp0pwasGBDRdM7YUxVnYFtN1Qyf1oVY0cUYTebl5zRA0
4VpeLjmWINcVY8kg4PMlksA9xRVrR4aiv9hMPeyXOZiPvUdCIqB1eJljWYcXXQi2f6v5xvdqJVWZ
Ut6L2yVQbBfFRfgRtkoC3+rwfO+3BQ8LPTllqdeVqtKJK9FcAEsacZsQiHotAMEVKVg14KrUzm+8
RuIOLlE75rBzwqkFl1+vNhk3D7Z7UxNyyU2Hz6vhkX0MUwTcFFiTe0Hha9c9dgNJk3ot1/cGFDfo
qanmzy1h45GMeaGSGld87kW5fEKl2Xzlnegf8XXrMyTrS9AKY370SP7AeilteFeA7wyxnvv2cx7Y
5VID6ztGQrJ9GOjorR1EOyVsDnsPZgVOWEIFHL503tZ8l8+cp2Vdi2M8oUBBwhTaxhSgFQd8lfVA
tVArObNAyPSAC6PldaZh8bBiakKG5EN3tcLNvJx5Jd7XSrK083x+R+wIvSxahIi+Vr7tATBZjpkZ
xosTf9Qu4TstgXYvKUqxPnhE9MjO6MIt6hkll/VsQJFWXYNmQW2rOnQ+mWSy3nYK6KTN9Ai9ZBoD
pFqdKQDa1bDA7zAlor0c+9WWGdbIeD+rKLy1IIhR0+dV/NS2K8B1u5bodgNQGSv2la54GpewDAG2
18MOBXN1tdixi/EcTNiHulZVt/nAg69s2FAilTP8v6wwFo9Pr8lwizYKYxyGUBxgxVIE+vvcwZXW
L6hb1Z0sy6bDZeU4darR5mgaCcAhPHOenAhtthzFaBQy73zSN7kcwKvCujxX/VDfhOBqt8yHcrzk
uTSZcENz7x1jh3pb5A4Z1GiXbzAg+WYQga7QkeuCgrUQ4CMuAhTaCbIH66FEt3oOwE6dm6gCrxRU
Y7d38MXxQo2oJFKRNoOME13Awwwy6EXLkc4cgOGAtPZaTOYmHuv5EAn0duOUY88IexbssXnKC62B
sxZtOZ4BOzMHW/b2rAvrPrxvayllEve+M8kwNcBLW07jY7v4NjiYeh01wrNjhbglEjXg/CH1icQS
4tB59Ho8gh7o+52KMS4CCWpW32gUzG/t4sYt6UdFV9DNY/2gWFffTigB8HwtBM/o0jLr94EpwhfB
aLEAPbGyPViPyGuCL6I9dNIo6Faj+Yxb2MZZXZYOe6yHHSwaTBlJYuu3DNgIlm1ej911HisQL3M8
CvT/tavuhnLFzu0M+lw8j1t7JowlZ20TIyvR5/g+x3ydX5aN1cjZV1ac0MS+mQ/5REKTIe6NYydA
IjMhukaZAdM8BVG0nEdbFLpdSGZ+PzuMsEgiPcojNLshxHAE61/gKoRNajChAvTUELMOFLPULkNg
3V2beuluKxCKEd6/B1ITN3mvd3DtT6xgP+Eg8S6/baHmxalZJ8xXscHSqxRzBdxxiur4FS2D+axL
XHNYFNu3kwmIrX5CFJb75TBiTsX9xnsbpDIAOpbobi0u9WYQ4/33y/3/anL4b0U5Q+X7nxfyCER+
+vIf/+t7Ff2Pl/1Ry8co1amCjM1hhZ4K9j9q+Qgl/MkbFhg6RWJ0Db9PqpK/EMEVi6MwBBvBowg6
9e+1PP8lOsnYsOdQ/1D4q+LfquVPCv+PtTzaDBFRgp5BCvyHXuN7Kw5BnwBNYeWyIqTzK9Ky8RGk
B3kWCEjH2cRRIGImCdSSeQORlNsuv8bJAuC5/vVs3TQWeYJZSoylQztjx2nz6K6Mp0esSJjMIjCo
PR0Uo3PnWsghkWzsYZVMTUkXquaLFOF4nGqG6EDTzcUBYU9CUtsCussEHXR8LMuyfsMQnt4eplKx
8NCHQwRqs/H5i90i8TrjmWRZMHmGSHqMbjqd51btTCSa17JbigshJTJpY7Pqcj/JKhdJHhBa7Eqo
zA0Mau+vQ593O4i+wWe9od9OOw5J9QyHob4ecOMOXeTUsYgb4H+208We9VsBxRI0KLLnIIqQ1BZt
jVvA4uO4eOTB7bgvFj2kolkxDAK+ot11kIzvTWjmm62PaTqX3WDTKYdOx8QaIW6LMKBPYPX2n0g0
461Aqob7MYxsl06rzC89hYa9QIAYEdxZ56PiQBSrctTnqhP20yhg1cb9MH9dELR/7OnKr8Jyy29B
yNoj74xYd1BsSNIFmwFaDR1g306Tv2oW5DMNAppnqPokDkMXXDQAqHZbsU4Y5SKj+aKVHg1APdgc
xCEC13XSbIF79KYvFowp8ssrQmf0eo4b5w5m6ukeHtGIoQpzPVVnLqRFhVFEvfgG3h2BjbAKNRKS
ENWwEYphvBoClzcZOkdUywgwoRoGtogJPVsVH1VVTCcAX4QvOWDxtK+1vnZb1x1MNNDztgza9zVa
l92G2iDDoAiegbJyj90qw9scSt1wFgUYKZBaZ22WT5bMiQ/BRCDyW4FppcKjt7JBPjwXXYGQtKAc
M8GYbz7pmZojafnyhik+00NJNnORg7j8TNoJEPfIpnKEYGn0zWxH8zEB1EeyRU+vcLHVU1c36q5Q
pd5x5CmglK4KxQZpwLQlUy7y24jCXdhtrg/izG+W36x0a1N0Fd3TTGoLjr5FQrXY2mnfQB89ryEk
X6K5wJO0jFH40a74TdBKeVdrgpAIwv9DEk+OvHV+0BeeaHvEIYog68a2+Q74ks34ElUQqLFpTUCc
2/olCAt30ax5V2TOOG3w/dbVFeRTehWgoMxypDTPECyb71pApqhE4Loifdu7yidzM8gcgYBm+Ea6
cvumtbVVUuebP+0T+XUpWn8gZWmOBSbA7F2UB88z8sHXqLvcVUQ2vSXBJPCdNgG8LhWj9mvGVUAh
k779Jt1cP7WkiO7lZhBc8lDG0yKeQVH2ZPKQcguPnBII3+msdnO7m9swfMFZCeVQeQUVdigQRE8I
xSyhrQv0JUbuVJfSL0gqhJFvv8R61s/4phEM24K6fgKIUMC1iyfYb8Z2/syOaA56jM65oC142IN0
mAsHo+TXyDG21lRAz4QVOLQfNQdJmGDkhu6T2gTFIR8oxpBRKV4pZEXEAMWCJxiGkOnQTDTdTvcY
zRXzgqA1sa55JGDOy2QZZHVJINQ/bwbnxkFUTiKoULur2nh9XmOcHj69hCupsX3vJOZqPcOAXC5q
TuYqM2sZfBYN2lVIyU2xc+MA8iYOtg+FfihhQysw4afT9mqFIkyzEe/x0ICDirIZOz4GEsSSn7eF
WLH7IAEfJStaaIswgbAPtW3NvfCeoX1zbREnlQFjn4AJLl+UK/oXhNwxXgMNXIlkeNg9lq4IHqey
MFWGpHy3JS0GrqHiBsBfJ3CLa6zF0hbYKTDKcEujSW97T/mK7KTFkCYdku26kiE5yALq/g5KqAMz
HaBU3eZaoR0IiSLJPDTmVi7zKR5L7S2gR4ukL1YA1lTQ9niaQENCEu+rZ0ZNhG+0JuN1O26IszQB
Md/WskfiI45q2H523iN1ZC5z3mDTqIkzt4u0XYLhY1ECTLG4YKjaMddwm3aUDsVtjDlq2YS++aKp
ty5bNGldhjhPfde7SLfZOOYRjswBFZww5XIt6wCDCxejMZJHs3VcEoDZ5LZEtA3jThbXP3LsLw9z
XAUfo7AVsHtr5P0kkMZJnfvVvkRaZF4X/YiBHeIs35q+34czj8Atm+q1mucZHt9q+MHVo4ZuTipU
/Hhk0Q+sLP+6kKE+wlVi33QUl5hbBBX+2hdT+O4mTa+xDW1XmKWIYXFwtxEoxjCZ69hIbK+8YdF7
0EfTO7bX4ECDoduj0Y5Pw/Wa8D1H1uxoprW5LrDAHyu9kAs2ckzlmfl8WFqVI/Wp4vMZQ23eyw0y
N/JHNNKZIU5gvsjcfhiMMMM/KkNo2Wv4OkRYE+kI5wfTKZk6RpKj7hewJ2EvBRe0as1DvEbsbQyH
GCZE3Yw8BXVLo3QCKP4tL3OHWR0lDMgBc+MeRiqhD+GfnQF2jfddHa3YTZZ5uTQCWhQiMsU9AWB/
phoO86+H2Q3+P6y6K4f4/pg54JlAYUHd35YbR9DGjlDky4UXNmGq5lfB5OwBA7R6+f+An/zXrKRP
COt/Xkkf3Key/Y///a9kcbzu74e+SoAiPARCwhnIPAiNqGJ/L6X5LyDMGORqxUNGFKay/rOUDn8J
I4CmMcgTTgVmtP5bsjggkh9L6Qg1NMgq1Aao3IGxyp9k8XmCao9pfAQAOlJi/xi0iUE/9tIEOYZ7
1B7jXWD+IIPAFoSvbRyX12UVte8eKYA1hWIZ8CTElCWKKs8Fd8Gk9b6aGHufhdF1hpGU23S/bnPY
JfXiNmS1+gCyUVApdtaPg78+JefbLOwkocBDOHI+1Uhw4o/1s5y2NpuQmph3kOfF4bfxnfMgthdE
o/Nr6pf8Cb6Yef9tmKcznkrMigoUNmhQ3vXeYVzF6xop+YI5ddNjgIGBzzHF9IkET7m7rAbLvmzN
/2HvzJLjxrbuPBWH36FA3zz+iUS2TPaNyBcEJVLomwMctHPyKDwxf0ipqiTWvVVRDocjrsPPVVQy
mUhgn73W+hZEK6OPyXNj2a5OlpF7ZBpdfuOwdzikhm566+pxyeLBBfBHPEUtnr5DQYGZXU9NrqxS
F4qjU2jZRl0IoVOaklpNEI73WSryQ1JJbyEkFAkbA6f8wrc+IbeiOQseVVx67VwcAd4wfP5bfGib
YydkJ29q74Yj6msrVbPLn2miusJDaq03PdYDr9Tmw9hl+m2ococzyqG9zO08v2TLkTwS+CA3mXMG
egarGd3oRjm/WxFEXv87ejSae8L6UGLN+EgYhfM7gMQwRTywpp3kuZNt1ZCjzToCZxv7EfZkeJFh
T7hfNDm25NKZSejqWn6beXP3ouZYl/mgs03adnIfDcx4UuH5tJlHjRFaDwHhVR1Mg1LJqj2zevw2
Th0ElLJyAvwb9qZhk/xA4tzmF5JOMJAFYmNHPvY1IvFyNRnMHwpputKHlQNFq3JrYi6kQmeykcnc
PBGQD9eOVnXfpjYFe6EMcf40JpN6FOpIDs0DB7IhtWkvKXUVihz3ZGBKrEU0zcveR3eyNyPLrDuS
J/16lARLfNUO3ZtOt7IAG427ncNqfI5h4imrKVTnwADSt5ngDElcAi1/3DEEdFkWTI3p7MCJSCCL
mGJSnku5/E+x7LqXdlbMbcI3dwsfyfo2R83MsYxTluf2xb3pxhZoHllJJvnJbI5DT8yJfFJbftOh
Ie/UVmU540Ko2DaNnPdu48X4dWrevNKVS7inaevNTGZwa8GFbVaVYYgLuyWeQBA0O0ZAIkAM6I26
VUs7w9JuhMsPhcqDSJrkS2XgJOboqFQpcVTXPvaFzB/dfoy3IwGRp9wo8tveHvONsxgqVnGk1myb
MifxRepGazvOk3vRFHkLeBBqjQ8xXAMqJevFObQIQrUYQs6xRHXGqrP3XoiDyI4t/UVh1Nmk4GRa
koqQCrx51vlOqqP2YCoSvqdSE8BWI2sPfRKlS3eVJ8xeYe57btlvLFkUNxWEzBddM6anhlzBRR2n
DpgICZhqxcUd+90g45dYzkwejVf1azEwtK/TwSDuG+aQUPJm1P1mSJudzt7/3sxs78Kw2QjAfUhu
MHkBs+OigeNTgW77UoC42Xa1EX7RdKEGs2nVW3h9+slJ0VaCUTCpy7Qdnkf00CU9YWqH2tXaIygm
rpgsdvXbCXfKqarx2a7ibk4/hypb9dVIQvQydmPlje9NFEz8EvtFqTHWVsu41+PK2s1kED+jsmTP
Tg8emTkx6n19cpfbTusi4cTpG2CXSIHUonUPZtdzW4rkQmlUh5EBU46vVpfaJxna882Y5nO6CpvR
uLSkN+6MXDEvBgy1z5NXlke+kPqTC1voBGZKe5ee0+6T0M0uWjfU9nDHYwY7FdaW29naGnNdeAqd
Ba1lhI7vanX/WPek7XxRVemV2yXzlhV3dxdGoX2oRltsOKha9+3UDwYi4mjvNTzI30KgN59TLZ21
oB/ZpJK7B/5MxtjixOgpnDCLxc3Fg0g1APWM4SNz7UkIwzfSlhFO0YdtnqWuLnZI2wAle6VLWRPn
7sF2B4eEftmV12EZmrdV5Xn3REEz31Q7nmHxjLNOJxm2Zd4enzxDIGcYsrj1zDb8yu0lPKSe2iC+
2vIo0BkfmZsrEcS27L5iYyPw5+S53BphG38G4xw+d7M+BRmRszWke0xhwDCBDGvVC54XlNNGDtcK
H99asfrhUpCUfjLqRN1yYw131dSBasgt/DyKkssV/5XrK1Olr5H2OHQQpe7zYpzuZ0/ELzP/VjCC
m1JXDcabOmIF4wIhftWGyROrOYd2veqnAlrc2CT7zARPWVR2AZ27ZDXQhc5F2WUJQbwBZqBwqwNU
O9KVIp/u09Q1d7NQomu7nKor6Nwctlo33ejSyIAVeWQlZRF/y0u72fatjokIvtPWZPeor/TGBp6t
DfrB1ab4Oi66fjN4qAXRGNpYAKP5qLiW+GITTd02ThSvh86bb2Oo/r4wZHk7Qgvf2J3hHQxUqVNb
uNE2VatogkJBSoUTvhlEsepssGr2B+LY3W2a6dVGJ0AUYDxFqpJVrwqeICn4WqW2BlBhlWEzmNis
2bRI0QAsD/Y2isr2NrK4oa7sxKw5BANj2hS2Mr7IJPRgkRSKBDvoYFybrIIFBKSghDS0mqY24d6G
+LfWsT3X3XQ74yhel0Pv7JQin1aaEUfQ2bQYlFrrPbYpFPioz/pVDPR7Nc2zByt8hOmQI88rfaRs
nZl3SbJwSk9m29pBTOqQB7anbE3ViA7jKMROaxuIUURK9y54ZfYCLf4ypUTwg7A2oj1bpU9k1wsK
xXauuYEt8CtnWItmTgAFKQiMecK753GOPTQnY0azwY3biMhn9qixTGoVOVtMjUaZqWt10IatwBm5
kcC/1w76/0YH6sayxWq2hB01XzSt2GDNYEsTzIYhh+qYZk61r3nXJ/hW7cZQIGPrIjf3du+Fl1Go
RiwC9fLK7PE+gCpPdxE0wp02S2f3nWzPnjDeGt2sksyHNJ9aTKq9Bn5ixFK+xzIZr+2wKEZf4bAV
oWHM3rCOPCiPvyDwhTDtN9GE8rHgFL3mmDy7aFwLEd+q4fEG0TyireiGYj+Ds6uexowN4To3y6gE
/zdbF2Yx5Q+5bStvfa20Bup9wp5FiSptPyl1djOAlUl2eFFCN8jzqXzvpq7iebTYJXAy1/VDNDvY
58bYbm7JoyvXTKRcjglfym9mHLn72YicW6S9/sugZvrTLMN22wsYJmAHw4qvft5v0KtZfbStUT5w
kekPjqNUu8FItDtP9SDZfafyp9AcXpvMxIPQs228aXHQKviM6XHISZQWfix7cVuaYwp8pkasGirv
zEVQ2aUk9uxpzF+DZaxYV6P9LDx/8g2SQOs8ly+lk84PWBPTaY1J1Dhi7F9yYwvk/3wM+/9Orf/+
Q6khl/Lvj6V3r6V8Ld/em38h8fCDv0k8+ifOnCZuKNNZ+kb0XyQe8i9o85pqmh7yDzrOj3Op+0lb
fBjYaDx0IYNo9e/nUlIUKgdTD0XbQblwyBT+g9ADFvlfz6WoG0t0zLJdDqWkMpbf72eJp8OBj1hR
zDhenXzPaiquYb3YEZYhNopVz6Vj1Krb7VAm3JuhybLjfF5DqstG0j0vJ1nwQvVQQB7kvQ0qXxj1
VPsxR4Zhky/7TWXZdMJK5CGG17GGl2GpMKuIp28GkkwcaE2hqYEh3PyknfeoMuzTw1Rame91shh2
EWSt17ZI02SHHJ496OedLITO6NFCyP2aKmr3BibSPU3LHtdlLgvEebmrW5JqA6oE8OA2mVs88pgr
A6ggQEfO6+GcsAYGrfPa2Kw6l8OD2bmnatkru8uGeV52zToBYdLjHNJfYydtWfcyHIyxQj9AX0lm
F+E0KNkLHs4W810jBmsHu53N9rLjJpsNcRXcCutvUr32O0kT+z13DYFwHmLAX3VpNSKVJB1m+nDQ
0faHgYSJ4pkEzvvuelYUxlU7dN45lkJSDJfd/OTWACas88reXbb36rLHjyL866tJaHR+OKFMnwm7
ZzxqnUy9qmK3v3PSTm7GRSFgkSC/ys6qTuUiIGg5/8FLbVQFAm0QMBepwR1BdEiWp6fprERYZ1XC
YsN11XojgJF+VF9F2/NsBh7IrTcfqygAUO6ClB/dB5pg5GfypDx8LE28aKZ0b1w+ytZXQwWVRFkE
E6SdjKd+rPbgMJTi0ivi8tU8Ky1y7McXm/PKDcF/C3OE431pRQIesMI2jVe63HHmF4hZxQTJHha8
54Jwmga1u8mNtDsQF45Onozy6znH27GytdJ5q3Io3LiavZXBW913ALO44YabZMw77th5cuTRMe+q
pnWpL4qzIyqdAgsuqdHPq/k0c/j5zNkr3WVd020xB4ZXRjoKfqFUflNLL9saaa0A7GrrkwgxaUWq
wjG6r8STJYD84J/KenM9wRrYTVMN1p65VO7MxlDWJXM1Q2BhwGVpiSmDpTU4tKVaVWZrgLEQkACg
c9Bv7Uq/Meu0Mzlk28MbXpT4JWJHdEiLOfuCgBbG2KFaUJnzYhyqR1j1ODBS/UTfgviKBzjj+MVm
YGF7d8xAWE9wYQ91BvJN2E5S+bkzMyUlts7fqungR7NOtwlaxJZ5ocahNvhl59kvgjuWXIVdNaV7
+IretVGJ+kWzwuHE/iK80aeq/0yWPipWZH0z3Q9VCoFWDnQivjx8x1c9RUtbkXXmE/v4noYSzrOf
OwMRZxVh3IFT7OnZvAIHI46j0+MWTJvQMVd2VeboRHExX45ofwt7VYmv66qI7hNNzVGsmjR3l0yO
+i0xqgx6ulDmdwNr3oWwxlKDBGw2mAvb/F7iX3usHSDeAYA454qBLn2YmYAfKqvB8NJwPEZcqrPH
0olHccizvH9q4VdUaz0qrdeyl+VTavfFM9ZAmKoJp3/SO3ZMuQYO8wH6lmYo+xyMTnOwekvAqKtZ
9Vxi0U76NTQv1PbZKyf8flEY8+VWk+FJejOSZ+YO+h1QdAQBPiMr8p1uBtQJ86lxVxIj11GjkwkE
v6NuUjWeXN/qzEL1M8DS34rU8hSoVKn7ZHOf3JiMkmDo8RwxVpWNJoBDlC3mto6kAEasRYtpz7pM
vEg0sWsqDxD08KljQzeORlV2D/ybqOxpRQqjNeOu8dPJlV+icp6vCX8vwN8h8RY4KiKRkTudvRGx
qsMSRkJCFSQ0sbbZSN4kZNztNf6f+Goc8+RbMlTfzLQcKIOhXyJUchVEEFIVMx6qFQsQ5UusDEO6
HtJu3BGuSj7rHf/kPx9v/kP36YQk//3g8l/Nx6jm93FH56d+26Z7n8gAExBTbff7zvwPY4r+aQFQ
YDKxWI8DaP19aHE+McgsRnLL1HXDRiH+fWixP5En5kBn664JacDFFP4PhhbdYfz5xZeCSx3+BaA3
m30+LvKPy/RlYT8NYGA1k66WwJxjJEms0hWjBf0vrXLJgY3CoH1RqiOMSLOj8Mccag78RsXDrHJm
yIu9iuZu1iN3/ryynuvaK07liFukMuJpNyRCv8WDG/ucZXXfgHG2wuA1AnGkxCJHHDp6tWG81Zle
fFOUoT2ElQtaTrY0grhsrlqWSX6qV8NSr9SEHGHm1FjsEuqb5PTG5tYSb3Nb5pdJH5r7GUc5i3ty
Sw/c5sRrKaBBs7WJTrAGCHaaYfelVZLBH3lOrHnH05YdPD7fSQzYzDOnzHedIeIdUZGWhaaOB1Oi
sWm9XV/FsRddJDQY+TNRVEqhpuy9ZJq4Gnsbk+iUl+HlGEXJ2gHmt8OJHF2wIGoPSHfqxssEK8UM
SbjgYSnn68mU5WVVWc46S7XbpvBuGkv27R5fRnjTWhguzu9jo9tQ1bjb9xk4fm4LV9NYIt2PybDP
WuHteu6zbyicHMTVXLuZdVb/K4N87etsTcYb2ZgBMK3Eh5kSoz2gNqSvk1NFFutKIS6YxYpjOnhz
uU2A6jwLHDePBbZYmEyiiZxoNVZmwcA12FG6js5Wk+UmZ6xCOTT4TZzK3naLL8UAf/dZjBpSKKz0
7t6bBBaWsbU83ApKmTpYvvMWnvWMd7WIQi2QSa4c3KxyYNTgjNGruN9bTWZsKo2IADRePd33ajop
WKc6ErOE672nRB2Lo9Q780YWGYfPQaO8jcYKfXzXUlZJJAKGQm5odbKMgIQC+J86Fsoh1pvmWoEK
07KlbIRFCodLcuHXo2ecp7oJqT0Gz/4SV2OxZ7wgNBBO9kFEZrgWfGcvAZLBm5vJpoKqNJ+k1sMw
ytQiUHlkbT1PGBtV6DlZszjpA1cO8c2cl9aFNhf9KR1IZcITNIOcW/zJGz3rfWxI6q44bE47clzG
dYize5sZjbHj8DzSQFHqmwj21Lax6CeaEboDSfrYN7FnbpNR5UBrTJPYOAkbDgBAM5QTRk1IDg3l
QpoHJ4jPA2hTbBPcTPlWZbohbzL2OmtdoxxiMk3n0GMA37iOmb5a+tRb+JfT4dKrBpY+sVtj2rSL
5FkKs76LAQGAltZbsS0yoksNWZMdx5D5olWL9tZloCNx64Rbd+zSTaZbmIlZ0rabia3+V3vIHKw0
pb7NvZL2ITVZgnqxqdI/aGXyMaXO7NKox27LeN/RQ0h1j6FN0YYYcnVgxS5om2koj+JiyvY9n/6F
QHMPGqXFYtTHhrdu3ZbFVofpZttXGbIIPCnrgkmUV0v1aI1hszxENZ7yggXDLUAl7boSVEhZsgHM
bLCI0UGAfnG6rLljf16tq9yRNwZn0ruksIZX/obmIRQJtzQWmAlh7NDetGNfXNEK1D21tWf5Xtmm
N9lid7Xm2iTN3HvafVnzGM+Hsbso9JoPtIyVL0oM14kt20hkrIhcbdeKSe5bItufjdTBVMOsryfb
eVKqLEgGRxm/8yr+0fbhP+3xvJzmefr91dMZ/O7//B/96y9bhd9/7LelgrGgFMhA8sDlSXyGIvzm
G7U/aSjWLBRMHrYQfTjv/1gqaOonF7oHj01Whcvj+6fHMzI3dicWCpbFXs77R/2mGqL5r09ndHTM
rAu8xcV4bTJX/LxS+ANIExsUSkVxrfmWJaoDx1a5HmnO9DUrsrdekXT0CKBuKHAhf3BrrLyhZgNc
msZdZu6Dn/6U199TaP/tp+rVBSzyczbNsTVmFssi/w3Axl6aYX/+zYz/s2gey1pez1UX1IlG5yyf
xq+vNxedhYMyzANrUIgIzAEe/++uj1+YIz+/JVY1/+JNMXPxAioAINXDFPHzm6oJxpB+L00exnO2
z7rK3rthrb5GWslaOuuGTlU2Drt/d2dOinyvz2eYqpvFTmEYeCCSlD1Qouhc9Zyt24B8sf7sLoch
l3AYj/blhJQWfXvhLccmWKM4/K1RdWh08AYjSM9nLG+aont1OXhhi+UMluqkLdatKRLDz2RsshWd
C3EfTzXB63hg6YPfysxuytLNkrXJdPWVKtn02hKh8jkq4q7ymWjcbBU3YXxfs8bQUWqSTKy441jw
iNmyr71RowzETWueqLhfMY7iq+S5IsJpgcd5clhxOpcat+sJqbcnOkb1kGNExXK66l8SfLncvlRF
PmvF2H1rK7CJ5NfizeQmwKHByhTXBrIoNS5lgkt4KqIru46Me6z38rl2SnFIMQYEsurydUfX160g
sPLZwx97TbRJI4yM5KsnYHbha5jP0tCM+5Ek3z4b8mLPSWnsVyU8kluNQeTSIRONR1fRslVhxsMc
mHgRizXfKIqASH12b6RZmGimirPkGpEkf511HZtyXDVILz3jRDCQaXmu3YIKC3JD7UnvPcp/MZzS
p5Na5p3amfDbJ0Q2mab5s0X90cFix/La1uB+LXznV7AVpj02U3opdOnAOO1YA4xGS6tKlwzlqRNj
SHSZviisY7XgLw5SUIEsGhX6G9mq9KJKuyYmlUD3COKOUd54U1s/siznvGvIqoAtLyPSSLlQume8
w+5WHVymGY0gor7mbKveheQtrhShAXkd3UgMa1XxiuZa1crkDTXfoDKAU/W7vbSvhZjt+hWau+o3
CVwvpuE6PxQlZ1RnqWEyvSVZqXeayQYk6m8pmxQH5usREnDqnsAJgvU1Zf2VbtL5wZy9+utgeepD
XIv4Vld7Ki5MZ5SntNElIkLtdBcKJnQ4s2Z3NqWn7EpS69Z2W4jng0Q78ykow+UdwXy+dsaxglaN
Yo2IWNZ0ABd0bg2KLIMIK8TeXjq3Jqtv388tWy51cwRkZC0cNDR6tSRdPoiDGoB5fbC2504tCsls
0jCJfUqjkZJCA8tQhcslaFx4kedSLLZ8rcSHSPMVrtVmXU1j7luTGT30SttA0v6tuMqbVQrG9N9K
q7J5sPyMu0DgZmn+RfcK4ddu5hyBQbjHbimbGoXVXIepTd3j0jGVIjbfnZulWMOiV5zrowYkJvo5
ACX4WS85CAC0oJmsijUYqpp5mpeKJ3YVFFQ3YUmSDntLaYbhbhpVYzMMDkyopcQpmopu9KWR0g/U
4tw91zYpc2geR6ZlZ+tRrXfSh7G4nd0e872M87vMyuJ7igbbWyogsFUuJUsyckkBRp1zmQm87fh3
f5Qn4cBg2OIcyC7XtCkWcvEcZpep3YZsWqYMcqqqFuKrLsUcrqxI9sSH8JueOi8vTkiX1npEeTyA
zWm9bcdnTZ1Sx+1DdgXNSmh+ID6JKeRan3/DWbJki/os3Srp0AU9BuHCp5I6+mqWSfkZG0KyN9jL
knjuqZyUiXmTEPq+VuxJHkOhGxeJzL2DHdOtQ20YK7QwsmDSh42zpqt4fE5Gbvud3Xl8jwC6+ANc
z8cSLutLGEfdIWzr4X1uai1wZ1vdt3at83Wt08tCrcxd21rq1ohzQpzk0/i+OG0h8pVJQPqLAZH7
Dt89qqjFEfmyQ10PrGm2SWsUkwlpog+br5MZQuEfK5CQhuR+vqCC4z7FRINJhT5PbWjBGrglefDB
SdTLKOvsk9Cl9rWRYUxznj4dLdVKgiQ0yueKCXPtAr/+ik0hPA4tPq8dJ6qO8840ZZ9jQ8MmFnl5
/W7TI3JFDjwlv9gQo5q1LENElrkM2qKoi3XSze23cJA0wUYmXb9W5Yx+5BldEDYLt7KKomNE6+t1
nqTqjaY0Q7zGG9CcmjhzrkY03wssLxRGJexQ20jvdRwL47w32jQ+pC2rzxUJWoq5PRJmqzwRPDGa
qOeRA8KXOrRxLi7LphA3uVKn266cI8BxXh+W63FK6msItGREQm280KPG3RVTR2xswlDrl0DNT6Wp
Kbeai6W8Jo1z33sUToHaDZ8GUD6Y6Cn0WtUJ8WC/TwvvijhddVOXAJE10nO3WOu9ezHQiDw2ZQSE
GuTGXs8dXD1DaxaVT1gmPmLA5TFhDKGyqeiQ52+c5/YjeiLitUzN9t2rPQph42ofNzq/bQvDOfbt
SC8uWwOWNqAJ7S2pELTY2BZKwKeu3Jk8xmHDqGCXidnUHZR1kEEUQSa2AJpVVOE1f1uAI1wO9zhi
pptahcg9lCK+JDyrHpFq2q+60z2EKZfZhis9O9pJB494QGS/JeRWcETu+veclvBAo+SP7XzbUr7a
ZPdNVuXf2jZGfgF7Zj54ZBDsbTmUwwUQ+PQ+bsf5YFKQqm5qjafKPqwN74oNdfla8TjTVlNaY+0i
nXoZ1X25abROPjjx418Ppvqysfo4mf48xH1gjwE2ViaAikWAb3uN3a29fHHJjQZ0jB7Zu48+jJq1
n60dWuyPh2ST+n/9C/x5aHfovmRH57qMXn+eIh0qzElotUXQrGknXoNvONxHp97X/Odq4z3/3di6
yIp/vF/yZKwVSb05PEVVhzPHB9kxqSIZKQOQTO5yIBDEynIvBXD7v35Xv+4Jf7yKTSiB4w6AuI/Y
WPA+uMPGjjrhrHqjbXfdKPUmr5z7QiYHrry/mcV/ncSXl4PEiWqrsjhlb/rx4CNhByy+2TwQzudx
+hyCwcUTt/a03V+/rQ8f1o8XAvVhepyyNE9f3vdPRMiYvkA1VmQRtIGWb5IdKw2foNLXovDVdeMr
67+7PD5cn7+9Il5pVq6caNQPr5j27dDxZc6DlL2TEuDr4TUo/5DrUNuqARVia8fnwTsG1TreOH4X
nsyNuqOK+a/f+q9nyz//Hh++J8LGQJt6/B6AEQBuULO64jnxN8dE7V9+kOBUYUeCK7Q/MkwaNlG5
HfFtlGtto62TINsREL52gmqvBRinsG/v//p9ab/eAH68MdvlSjXxm4Nk+fUjRWiWleYURWBu5b6o
/XTjrtu1svUewy+sZf/mStVYA3z4/rE1VnUW+CzrOfF/eDmKQsAMAlYLGKyjXbkJ19jYqhVL1TWn
ieDv0LEfbAbf397Pr7d8rj9dsbbdEXc0eb02wAx3D/5/W/n75Jiv8bn5SF6BfYy5dgArkOn/m9vA
snD49Wbz65v9cLNxoRDO5gQh1+5qkibyFUbsUm9q3LU44Va0V560pqVIryyMv3npf3G94u/g0MT5
HFHEXT6Hn943yj5lkNDcglkI4eujx+xh5P/8SwHlw2XVYgAGwn3664v8b4J5//RWvAVD67DaAStD
7ni5gn96K3+Nof1Ha73/NyGqP1Q27lj/XpvzX9vX8rV5/7OnaFHT/lDnXJZXrmm7UEot52eSqgEd
ytB52pEdZ8+n8VX4sf6zP3HX1giTq5RaLjEULsXfY+M0jLMChCvFj6HT/yN5Dqnvl+8bCXTuK1wm
XC34lKCzfvi+JZ1rt/VsNevRrPF46mccSdoum+7FT/1MealJyTzkElzKC3bSLL9EZ7AJyA/tJqEO
wVi7C/kkUaR6nKkQ2Qx6Lu4Ti22+QvFbtMpSsCksSQpI0LKlnVGdzMdCAxK/IuE4vqQpJOsVcr4C
/Ze2lGfFoMJDbzx5JPXdvLlw7Yi8RR0gDtUWTmDQuyk4YONBptsrlSH+0z7MfEUz+2ePNcQhOpNh
YrjAz1nTo7zbpZXrByFs5tvQ0LvY1/RSPmQF54UAH6xF7edQiA3xZkkoNDUDThfWtVrHlgOcQ+pE
NPt0vioMgDiHmeH56EmRn0iD5JfFRPAsmboeZzdO001p4/BYydhIBcAcmjfhszZbq26aGTpp02CX
0nQSasxVXfqMA4iSTrWuQmBMpoZdla2fQe3oaG9oi4CYBGr2xTTy/oVIEalpoVHcsFYQs9K1M1LC
sadDduIAmtbaVRbpsLdJxVcP1sxCkMSG1ZWB4Lz5uec0Vh0VozTeJeDZO7uozfuh8RzImITRxQpp
WD+qlohoFMwa3XqlpSW+5e2IN/OsFMhFNMhGW+7hkWo7QhxoCnhu0BdoAKM1ojPVjUKx6kW1CBEU
LGj39lmdyOJODTQaRk8xnboBF5N+rY2hzqmvco5NkSRbyZHRx9dOL+NclAX4R5QQdufWXb2oI8Wi
k8DtFHfGop2Yph1tyY8YB+IK+deRyNZ1uagtGIlHKNIoMAspYG0uqoxY9BmiOCOBz6w7OCKNHllQ
VIg4i55DewoXf7OoPPMcCgrtWM+ORBM5AC16kNuxE69Np/TNRJc7q63xh+qNyzJRelcWDLW7ZNGX
sixbpKbRtal5SAj+k+8d8IigSuHWQ63NhvGtzat0YyzylTqT+JeLpKVF5gSrD5lLH+Zu0y/Sl8ZW
BhVsEcTCEMpKlCwqmTVQOZMu0pl9VtFaKdJXjtbDdoxjZW8sctuMRzxQIODexBX1H95Zl3PFLFZ2
bvcBtVXuoSnpbMYrCwixT4zp5C7anrmofFOfIvhZi/bXLiogXlrqOajJ2yRlqwE3Q6GleADxsKYb
BNu8cd1gvd1NZ5XRXQTHYpEeS6c3g2yRI2NMiSd1kSib1B6PHXwDfyxzdcQVlA1B5qrTttcFRyaT
sVgJ6ckhWhJuIdw4azkOSwt63ZycIc23VSLsw0S6PUgW/ZSO6fylXDTVEDrwUdE7/bY8S64onbWF
Wkk82Jfkha5lGisH7SzVNh23raBqS1q0VVAPcTAQOPtGZIqVpojtuNt2Z9k3rm3zJhoALXOzHl6T
s0AsTLa8AGOs6VGmYjL9csEwSBb+KxalPZGiUWQ3xpjg4dNBNwCXWiAOMKobC7CDsyAe+Pby0XdV
R8Iqci6iMkTxHBcsBCjoEFoWGGL014wKUKpk1nWst+9g1TLi+mRGWAiq+MzbBTkRYc3cYWKjn94u
3Qnmq1PcRHixbvFoUnoq28x50+C2+3VtqQcuqup66Li/15Wd0aZFZolCizMGo+LiZ+galQrLT+5e
CEcZggpowQ31sqq5i89Ijf5M11AJLBHK1i2cyypmtFF0lMHWehZZQVV1+IziBdmR0SD+eVgwHpz/
G3jKdUgI12kYW9bNAv2Yz/iPMwnEKaNcbIHL6pd64S3KJzAjUM/LPm5QQ/cCLCZvMOIO+jTIJmug
CFfxtj1DR+iWbi9KzS2+Sp2a35UhBYXaPDPYl5R6vICwS7fzNfhZK3VOZppXIhvkCeRfhwhfmoAR
Thk9KZdS6nDEH7VAsfj2Acgqmqz1fBx9Q/lsnSFa5cLT0qRu+N3C2PLcGp5a14xHiRIY2JOtgUSt
3ge7jNhl2f2pOiO76HsDh6GFdaCPSbqzKqXdsreB8gWewU9x1QfaGQJ2Hkz+0aD2n6a/fh/BDOaV
fz+C/Vcpk0p0yeufZ7DlB/+QYIHswJ/HwU0nwweavabj0MY/xYNVw/P9+wzmfoKNCeLeYFh3fqiz
P2Yw69MyWOvLQcEgf0ZbwT+xSH3YECwQIJQadVFz+QX4TT4M6/+3SjQ8/Vc8KAdBG2O7gcUZnxPQ
COPDIkFaRadVdaev66YowouWb3Dki2mSNVQvdBdu21gdG7BXpzEeQQtpvXvqctM6uqU7gDZs5y8z
PVrHHhcCxtDZRm9Yqu78bB6hMOAHsx7LUEDM8TrqHaOxF5jTC63+Fg1puxu5rQdKTVu1qib2S1em
9UbvjP5WmxT1hV3LeCGobLy11N4NqPGNNm4Tkv7Lxug6UUhQwqNQk8+NismF0UatH/SeQY7q6jNT
wo6bayOyqoueSqZjNWcQovtQg0TRnakUkC/ptkGTbJepTYkCFUTMLie+oW6qqXRB6et9iMmRwfAb
2nGp+m2CNuH3tM7vgRUUEPJDZw6QI7GhlGcfqJpNKJ12rueXDQNoS2gO02gZESpcKWqIl7TTWLMD
M+rTfi1tiICo6xVED5D/doNXGI7+PgqRbNEMuvQkoZ7t0u/W1bONld684rlavK30ykQ3Wh+TRIFX
3nwlyZd9ob6oRGSesa/WPuCz+UsbR8jQUZPtK4KBjwTkyk3b13jdJBvzAVMK8b9lySrsuqe4XGj6
LjZ6Y9ory1b2f3F3JruRK9fWfpX/BWiQwX6aZLZKpfrKKk0IqSSxb4JdkHz6+7Hs43tOwdeAB//E
gAfHKEiZymRE7Nh7rW8RR6zO7qjL704+ZIc0EmQVMAtdWYBrK7dbu7pTpWXPY5N2F6aq3TmWoDKZ
G+efhO90J6Vr1aMDBd8lHjrNb7RfzeOl8y4RHaSPYu0sY1ROLtSyC44b+s7KrbLnee1FzyNgpB7D
xBQqvcTr6qoIpFNUW7hLzaS+43ahf7VTsZoSYrHQ76LzjQG4Dcy0o/DxojgLfL+fi0Cs/XISpZCF
4Wmnkz5irnqMR9TBuRmTep4tMPamX613/NHJzfSrIY9gdrXcrn36+VfLnmio+DSufXxn7KP7smrJ
rVeQN7wxdhiLyxx0HbjmKj02LeNUyOR4VI/SjXsdd7bbzbvSbs1PkZAV5uo4OXYDmZ63qNnHZZvO
DKo7A9X+RirVfMbKM69Zz1O+hs2L0KMIfB8QqZHraRo/hswH6DfoFdHtZoXkwExWLx4A9e8+17+f
ptaPt5rhj7ClpXMA5IQeLsobH2VeBSw7RauFQ7K5iTB62BuFx/8rE7P1JJW0u00dR9V9j0mS2Wkz
3C59o559t1pefLrYRwMbK3lKudndTpqfI08zmxcNc/QYxN06WwGj3j1aqe7kZOLmafdDi1a2aUxO
+A2zLUKa55SplZ/b6dG223YzoL8DY2KPb5hD5tCxF7knsxUvi1hyG2A5IVZsUGMKf4lhE7KFUdPR
GZDnm+YjjZ04brZahNt/k/mtve0n4QPwtg0sWareAwOMA3A4aO2dqq5e8qnl1xWiie+XajKAkxv2
o18VH+Oy2hCjBa4WJZp+KfQWuFaKABrhWgEUBq/ezeRYE1nAXXHyB7ls+T7nYPAHshr6FJO3hrrb
LdlJkEkwwINVxj14TGYwnyoPJDY4tjQSSXVkckkAUit5Y45DBe25GGhRLt6Zc3olMfE+IoVv5foU
TCJUh5+5TYxYD7LEWX6mVibOOdTLpzETjs5N2kof2cxi1Amxk12xgRfUmTGBJAHoJwozeOX4L824
IfpjNIBPtK7zaqed1l8EkcnHqsDTubG7jgGo4kwLWoL8jrmeRziOPONZGIOb3S+D3YwnoMHGxaRn
5++8gS/Rweh9aGLZXdQSW2GfOmo3em5kHDQkCBVSOmTBBKVK/5QnY7N1zNnYcA02b7S4IC0wtt3X
dtIfELACpczBTmWxqXNrEfl35kXiK1GQMTxoqWHr0lfQtOwBV90MD7l8BpaFUxY05/NiJwZ5VF52
4+Qi4pKTp0dtABMP8cojxYGR7ey01o6hP+KZZadwzCN2Mt/mTIldK5GmNils3KE3ySsZunuLB3Mz
2d5xysTFIumFjJot/A65dzr7o8jwddjJG2XqawnBftNP7WlJCp04ivraltkdjLh665GWDqqjHUIj
twzksJwvHAQMzapZ32fVOIL6TdI9Qn1okbHm3WVe9AqbgHXJjr4heFWEs6aOQ6LunKzIwwinSqAG
wrA86fAnpAtq3jmK5galjWJhZWtq/FI5uyWxxQfPfI9tZSjOEHATIEcma5br/Y2WECSY16WNKV7b
O8XKZ+JCu4xPZp5tWVMPrWBJDRoyZwTdh0TyBEOSuxFR92I2PXHyS87sAcH61tFAciL5YvfjgIPy
GvEUQYGdHO3e75drpyQ26yl6zkw6I5bocaVpdxijuLS4kxd0VhNtmFLus5TM7LToLwMuKofmwk5N
053hD+/12B4rknzcpHzIJrFFHb+P5/mR7YbdrGrQBrsYsDnpj8aAP0kTMLWreLM42hvcbDotYjmu
EBbmUOOprcFSzO55dubbPtaPS+JdJzXTIypeukIcjLQIW9EdMb/vK+J4GTtU22yNocReQ7iuIQLX
VbezxTEQd6dymW6LTKK/th8YJz64WvxCy+XLtotTXdEgM4lmyVd/msirfbYQNjK77ZeY4iFw+v6b
tagQI8ltO3tbEQ38LWOFwSx7kDOp1lal4UoeNtGS3DOp+GhYDtqaPZPCLVPy0NUkCvnE+tiQirO6
DMdJ4F2y47OPn1Zg/hqjfrtM5lHEznqi3CthPRXwTjeWjUplyR2qAO2SRms4B0QUw4JwounfCye5
y2d5GDo21MR+gf7XhZiVZbBMfQ+Zybs2AypxDwqUKEcdOJvr3DG8mTe0zWpWPlmxBCKIfR+hkh01
Cw21/YtQ3nyDzUGATd3hA6YgtCSh25m887LxNCxD0NN/oLK88UcUDzKCBw0Uw7Oamxxiu2UtDhID
Dym+5AycZg5yVu21ZBS5iasmhlFlDYAEkqOWsXHbNfh3te999WIUKLhN+Q7G4tLr7Tkuhp/p3BOw
I4rnHPZwu1jbdmru0K7cyQKe9EzO1GjaIBSycyN02FbpcC4mFB6OLENUY9qGVCvY0iIB3Cw4XxXN
zdJJMazJO4hZ1caWaY91v/2sR+7v3lTDmx/pAZTsUH1TorFy3qcueu9zeyfj5Bkpyxt/HjtZPF3S
ThxKa6B9Gt8ai3pO0NxsBoyClJeOClp3cOFxMswnIPiooYVhNO9X2iEuYDCsBLH7rLTMBwRJC89A
A6qrXqtUZzG+L8ZgPRFFq980NfLorGTaXSNu3UjQSJt4tNg8q8L88CCSBFOWJVzj4YG5UepvEaQ/
57B1wnyAEzeaaLQDdDf9NU5jVmpHoryJwoyKd/yuiPZ+QInwI/ZoUxTGZJ3g2ADa8+wGoZwOpJjM
9iyU2fgtirxWDzQrUnd203iPfFjxdystoseE4JVhM9qoZ3pMrfukr/AyeGuQj2o1lF9sBIJ57XLW
ddXrAV4URl2W0jlPkPnUtNfwFczsPKc0IRKe5B0e58h1P8kPKHH5qftJ795Hy8ULFnnyadDVjMfA
z74oVrJAGcuqsjCTW+pFC9Oot7aP0r0wO+hJOTWNng36JsWvf/X7zPnGpjwFiWVcah/1CGXh1e3l
GJCaDg61W77RlOdBsdtxM4oaTV/leycjsu4khcdG6fq3CpEgw1ZysEx42ruE8/kAinShf2G+Mj1F
hIlHOcizpLhx4CuHsKMhimskNGruwAnCl77LMbreQ48xN9JOryDonoElsOjB7OMUwfMZu6N4Yz5Q
rd3EId3W3tIc66Un7nzOvCOd0viu8YqSV1wSQNKjWrSnLs+9C5qGKTAVW1Ceeh7Rbap7LBMepxIJ
wl7veFCrIva71ZFCJ6VexKVp0mHYcHtszp6yaY6VVfYIR6Y8TLVwHmyqeBLHbHUfS+GqTWzr4omq
tN0SBV2GuXS4TMz18qvwlXcJ17GDb3bkQkxs/5tSxHIjirrd02Gv9g6J0K+9wgzhipmw00SjVi/o
DYQzJ+U9cIh225tQ/ploTIyae1X+bDALk6kwmDd9nFZ7P7O7+7RtmjMYP51HaZiXc8tN591oLBN0
c7cUgUdG1M5L4/QIPZhHSZ/BMahMGy/50ovQ4DnbC2nKm547RpA1s/w5Qum4caFc37vxtOYVKvai
KtV3Ctn52eriYdvEUf6dvUsPqLn712jy+6sNuU9tVNGWW0YNKfTbZTp4Kp529tT2Z70YZ7g8bpcf
7crNf1pmlsLNkB5h2IAj9l2vVL2Z26GNg9LomieF2/riuTMds5yD6jpnGoMaI068IHf14oHcuicR
EfJe2h3ZvyiITq1Yhj0K3GxbGkuzIzMoj4JuKJt9QdUc7xuKjWujl5wybaY+aLj4ezlkw0WAqgKl
KsSx5bu+IX2PEBITsEaNDxIrMm7f7NBlYqFCUrX9Ec+tuqkGx78j/bN5K9Uq3hsZoCS3FVgXusJL
vyPsth7AsibZe1GW7ltRpt7FqFFLklDWI2oBuzltTM2F6InN/bWEsEYQktWEbpUwFKmipTsisNR2
uEj6Ww+u/e00523OQVDC8oTYNF1sKRpOWuiNC56PQ2sl+U6CDF7hI3Yakjqq349qqs6giSGkO14E
BbYFew5YwsTGHdaMMX62CIkPSZlZBO0ZEfjKqowBfS+KMDTwS1fmU+MNx617qLxEf2CTNT503vMF
HU9MHmHXrEe12YZmTmAaZKN0bxlz/1qlriiA0FuIu+c0sa6DEP31T224+7/P6/+sdF+lHX+d4nvM
th1g2EwxwfX9Ziv4/xnASvQrxzayNYeSzlyHqn+efGdcOskB4NicDMrP9j2bb//zXup/89DbRpHw
f3dcz2//D8Zjlrb/ouW6/uQfLVeQjNyYsbvg3SDlaI0C/cP1Yv6NrwaJBX1Fa52Mo134w/UCgMNe
R+JEj+qr/YNh9D9arob+N4QZK5rDQhsGZOM/sr2sQ+3/fTxXr4dwPeyyAEZ1KLbGb41NSr6iwhka
b+v2McqHQO+46ZAZ8qdP5l8sAuP3/iktZZ037RKu5BOX+jtHsnAJElh8Xkb18dbgVhDVZG5KFWRx
wRlu7qN43kWjf+mr879/6d9FUb+/8m8SntqPF7TbU8wqOHd9SAOPOgyXwb9/ld9X+e+v8pt2wOAb
I9GOV1HWZjOHuN5DP9R2//5F/vpd8XgYhs/z4hLeg2WG5PO/LmiG5VU5gWNEjeTa1Y4LwDb5/Pcv
gdriLw/E+iKCDCy6+jxaQrgr5PTPu0bu2d5sF1EU6nbs7lFB7uQoBxUQP6INBKx39JwzJqtY7odW
3/aRn73CYChv8tKSP+O5wy2lM9F5bjUyQmYevDNpn+KLaSCavyRKbiH4UrNl1bwcFrvLto4C9sRx
0cV3DvRqSBdptNy6xMr8aGSrfQfi3Z6HSKQnQeOGIwvyC5Exphu0hTJuu0zrPpwBrtimUMmq58Zi
eKcK2e+l5+T3lYjtfS88LvzmQOQgWSuROdM84a4lo6Ig4Wjq6xPmioK008h2XlUpRHwubXJCybOZ
VSu/1uOi29IjniY7MPqoAF1gd8T5lcW00/0oor9kqXTXREq3d/2A/HuOFZOv3okPXcFTXSZCP7VL
bW0l9VDQYWPeLKCRGc+BTxmPmSE1eQDSQS+6kegCOLHiyX6WmhitAyegfpo73aq3VsSxFTjwzY+q
zinL9MUnVEX0yFEmxsQ3rmyp3AezWTmEtW29iKX0b5WknQIdfL7mdgdJTNNMiGFE6vpfU2mC8bB6
8xAnZt4Fi8b8HDT9OC4kaDj2lh5F9OQWpbnD/DaSP2jCTx2QkQCe0gyEo9gjnuZkjF+LvqhvZWMw
/vVHuS+mQp5HkJ23Rq6pC1Gp5V6JugmHBrRn7YMAY2RbBlDm5oBr4rD1AKpu0I92SCBy8D7ahy0Z
HHqGtEKtgwaJFEY9a7E5P49KqHMNd2U3Mw09I4ypn+Akz1fXiuWTptv5jcqIjNlUapHZ2itf7ept
8ZHrcX+jWfXSPAv624e8AVXZZ6OL69sp/RMPHV+/Jeajp9ftW1tV1gGpgQotLxKPOYnFP+lERseh
ctILhlLrXSU97Sf6hXeI6YxHQbYZ6YMAigK76pr7yRzbUKLDbi4TmD1YM4OBGL8vrD6YCjt+my29
cPY1nDf7tpydyTjpJRFq4N4TG8zIiBLe0vXH1jb7p6Y1iXWVv0zQ9UR/i5A266ehxxN3Uz/vJeN4
worCbsz8d4DUKd/t2Lvz0SUNqw/HoeCCrdy8E/TJZhOKUepr+KhGGhPnrDfAU6Ktr39oxWJ2oZxm
8y7iIpXf9j2kxa2O4zjf1SYQtk2ZwrdHgyNo/MqFHnxFcOaIYMEtnnwjxaIE0JdUgs4P9cKCkeP6
ySnGew2rqIsug2XB/6TfaV4bCU+GeKTkYnfp9K2mD3PPHczbUcn7JzxQ8k74s+LeDH40aGpz6DeG
4MskiTOlMUaV2KzkSWQLgSZ89C5maoeV45pdMMb9/OD2mfHZeJ34dME4fYBTJaAKb/1WKQsyaA0Z
+DR6aXpaUTwIZfXS3yVymCB+6KJf7aCrETwBoGKN+sIeItZrsJY+G85Stzu4bfY5T+r5iJiyO7Va
lh4Tmfj0H/o5wcRjy8CzI53PVoziKfMX99PQdApwBk3VZxnLj18b+X/1nJtqhCPv/664grfi4637
84D77z/xR6VFjgxMMIreX4NoRML/W2nZJEmKdXiLQE78XXv4j0oLMhmp7qBBBCcqz4PHzPmfAkMP
+LVOIA1e5f+Y/8FP/eVoXafbDqoxKiCUhkgg9bVI+pMUNUXIIyzA/GGRA1fv4TUTnj18TJ3/2hpd
ddclTrFFP+fuCuaBQd45xY0A5LDFWKWfFhytu8gvqsCZ4wRE/AieQqT83yF74SQYXxqQYrceCZKH
otdIZTdcNiH9re4z88IvBCEJyBrLDPCnynugShMboekyYL9uGObqpCxwfb9gOPnWpDQzlWgikGM4
tGyfXJO8Kx5SL3+wKw3181L8nBs5BFqfls90F+Sx1IgPjB1U0VPBf0TIyrrynM52d8S0eJDN/EMC
WQyNgiZu3dRPZu0ddV1WdN1oaDq2/MKUhUrPK1/ylhQCE05x73HiZ1P+atHW20yx/zKp/s1WLg6x
BPpma2JXMtBG0SA7NAMNYNOsyO9r7J2tT22IooSuwgTit3cxHfhR9eX05V07p9+8NAEwGDc77LXs
UkUk9mncH8gkOc1KPQ3x+FayK1u+dmO2hE843c7Tiz0Sn347LDi9ULCEXo63VzHNpZ1IfqepqtUn
nO5hI2RBiY+JBiiTvsE/TH13tkA2BrJT+ywGiVJ5mGKjynOCDo4DiYHGHS/srhnzWJ1sXsLNIwIf
OUkxkyn6PBNtfsIdfINE80lRG3i7yCquWdO0YVy7aHoMQiaavMdNUQ7HPG3nE6nYzxHxlLWsEgKp
5csYLW2oCmAHnNjfoVMQT5fbRyLrr7qKzk6aP4E+/oiMdDhonnPfGNbnxFyiHbuXUURP0P0iwsZI
Umqta970TChz/XYqknYjZ/igRFhYF03vqidRRc2tTkrloWsVmjXzlLnMj0GIXcYMTMPQ89cmfuTz
DSpj63oZ0iI9verx0m7hx70x/wO7jCnroRuTZ93QoJEyqCJOzLnKjP6dCxSvnW0R2uOgv5HdsWyZ
48YBci73R5WSX96QnUG7NKpuaOwJcl864NCxjnp/nAxMYz4Jn91cnzsUUCEKmASnto0KzJXzMfMb
62C3UE2JgjRPrYcnlbabQ6jh+i3IZAlTKxFbaZQQqCP6WVrrAoqW6AUZckZbwgPjoHAKtS18RvNJ
Vr1i1iY6KX2KYW5iLDOZtUJ3pqxJmOOYGX7DVczB5AQXbV0/Mj53NmnD2NYe+nerir602P0U8Dc3
kdNdBzKVd8q1PRrtwgFOiis9o6EXzKtgBKwyzZycvMu8WJn6MVF3mLfpsBg54wBGAU7lP6ZOlZ/p
DjXhCPNkg6Pro3IUvDN9pucHlY5Zhyy+NUuFnC13nsH1DmGFLJPF1Rccr6kWmnTbyKpEz+LkBcDB
jjfcaEkdcMQuu8UwNFivWh32eoHZeYwJbxa8/KBm+siJMrfM6e+YPoKak8OLTVUXjDMXiVFXBwvY
PBLc5OBneBVJBbm14/xUDoqBZk/gJ1Pqd3dub2K1HKMEXDQ2bMaVz4nl8WRX87dRZ0LptDwyScKA
bzT7ADTQCY7PQ5f6j9FIkKLqgZpbeWnAnSNSyjRTRjxE7uwaVyK87f0A7Yxxk3fT2+Dax1gv+tAs
e5LsemNmilU/4rxkTm1k6sEnNI+NKelvE8h3m3z0azJ3JzNIUPv6anoYhkG9pF1B/Q2mLpQ6PfK5
acYtRgva5q1C2eEk+IpnlHiF6beb0mBT6xvSPrFW32qpyHaaK8/kfm8RgG/Bi29p2xrbVreZbhja
h891YIP++RqZq4q6ML8KV94YYrya8YTjarlCobQ3BH/eo41sQ7F2ttuim0PTQwoJGQCxekdLbka+
obVJOJXtD5/5wmSLJ2uwoJc75l0/gp1PPe2Q9uO3wa6OedW9tHLC0NUyGSqV8xUz+dqA9tu34xIm
i1Fuq4zstYmc8U2uK7SRbTXf6/qEaYjqMyD88CnDyrHhA0gDl2NCzx3y7IuOTzdj1C4r+wX1wW5I
Syq02Ax9TWhhbUgdCHx99YqZzNgut7fsVQz3euhIsjDoOkj73mW2O7WNvmfr/SKuZm+Bv0z85n12
yge9NM64pu9RcpYh5PvPIc+/SBiOsRhNKZFIyxULIkJdCyQhkZqo5FFQqa5SB6jET6Vb2DtOquZo
ewaBVanVHBNOrbBcxFOvA9ZUGStlMNJX3cjuNWbwu7jgb4loiTCxdzaRqzB9a83VaIXY0djmabeB
Egsn68OSjGmtnK8m+t0g1UiNZWgLXK7xtP2IbnPHR/jMrvuQaEVH7kHyvHDyXhkiNTtvnSTMeboF
tcE5noBYR2R9344N+Yx0a/dLOmoEo5mPKcPLHYjBeu+3w47kjOIgivxQwPMLam9aAl0bMedDO9rl
SOYC8IhZaCDeD0cr/bQdk9uesx/pHfB6SU5siM5umZli69uLs4vKpQkZDEgWH+xGGukZg4rR3DFr
/07TF8t223yfZMcwKFM/Wi1ZJ8WausVuy1B0Xt5lF93DKNxJspuawjlzxDIUiYdvXl+dNMXxk/r+
k6PlR89OWC12/tNd1nQ8d/lRR4UfFHZlcqTWIkhmqgVVgxhwczfe2CT9Br0ykqA24y+2VOvAD10r
F9N2bWhq7xrZMzclJhnZ9DlXEyyEqXnD+I7L2FMfkLzJvFzWwzwlyFOrPx2p+j2qDIz4BP7tJ68+
A1e717zks63aaa/H9ZOstfd8RHFP0imFTCwYBkGTOIiovyYMFjb0FgkZQE4W6Djkw9oXNW3z+M7U
SdAjsCPfwj3oNmOz5tNq7UX1C+Q2VTbvzmQdDMLYoF218WaYYY2O67pasnjTaVm15eZ1jcdWkXYc
++CQeEC8Vn0o3RgObq+ezIacFZQv6bZRbERGxeCRBs5rYQ/WVh8wQ6uBRkHn4KgE5saGAReBleo0
O0YxB0wpGeNNjmQxWN1eLxjI++V8M8VNtu0qtM+gOrbzzAp0u2+Nmg+xrI5inL8noLcyf9QgvlEo
5yXGGbNu7j1VkREhgeBBy4i3EZoafPnJxaL7oC3lKVM4cqvcfCyg8R8a29ZO/kReIhOj0PCa1cAw
/iQfCj6IxflJDGC9H5Brblus8hs9ZtUO6XxvNuo8LilMBs3zTtGwdggMdissLDSPmJIG9RKBsWzl
d1FqSJ7IU+fpiS6VzA9mSwfQQVEwR8RaRV5MzNXc752ZE0vrfqRs2gikT5FDiRTxTTUNLHRM899M
KHekXpzRgH9xSr7AD/2ir9Pcumn8Uaw7Mf7zxygSDfV/TYKKkb9MVTJswdEa4DJMLbAnH15fazDM
JWSFRBwaKMqEg2A4fhwky/JlGCi6QKD/TIh0WhvSGziAUEIGeUqJ4bYtcg+zrPc3rh19dZBAd4P0
5TZiFdOCaqZbEsl3JqoZQsS+u3X7inCKo9wsvg21dijdCFMKmeAIYOdseYyt7nsy+WejmR+7RCig
6MNBJeRZoY95a1Pw5gmGlDKvUI1PZEo32rgbLTG+kgHibu3RYtyISSEwNf+Fs/s5aotdZSTnrE7v
M226tQmDyGbv5wIMjkuVE1ZG+zSWI9vF8sNwvZsUa0WA8MwNqmlCWhsJQhEmNj8SBQVPceiI6YsL
UbbBYk1S3AhDf55odsK/3Y/zlG2xZunhpPgQ5zWYbc3U5e5SkENmtvrejsaaafnkX2LMUkFflCdR
YHtpwNnvaquuSapOLbQwmX6Z8/LFbpxPUsu/6t7UQ4loFUkWA3YMvdoNqJAvfco0ZPTIM/77uwHM
JWw63P93O+Ax7d7atSXw547AP37qj5aA/TeTsQvSdXK0DO73f2oJOH8TDGYsnTRAA6XVOpf5Z0sA
sDjuV3rszG0g3vNP/2wJUHo462/zaRlwBvwncneOv3/REWDysv7Pt5C9/9YR4HrB0CRzdWi69g8j
Hd2LVaziQJP7sA3y4Rgt1j0piEUw+06yU4pe0hxHdxYci00nDTMo8cMZfkxSs+4Wu05HS+Llg7sv
+847dkkO7aJpQd00UPLGuboOa9ehGUqx8RZoJZWkx4uyJ70CPSwDp/YHHl4eTlyDX0bqfy7rU7s+
vlGlD+ybSGExe/3sRmJei8F+kuuTbq7P/MDDj5+LM5CcGZjU3xosNwdnXSGw/XQmrom+cZxYJzuE
lTSva8oudD1U6zrT1hWXrGtPsQiJLHJCgj7ZXFmg5rpS8Zq0OLFIck2B8JDMgSaRdZ39WuEquqlY
8oqlrzvR98G2xjBnY7A8+0e6bhZxfGYcsZvd6GkR7susSNS1fu0vTuQwtGHPIXZs3EXrPkRG1Gud
FyUk4fxhbJL3ad2ziqg79L92sU5/7Dromghhv2uDDJ1UnftlXKf/x5IEqv1o9682O6TFTqmzY3br
1onYxTlEvSm3uTSq3ai5X+m61foNVKps3X3Zhet1O5aZ+96q+XFIB7VZZ1cULQpFHOzkcd3OJyBN
obFu8YCmbFIvTbb9AtdjTjAQSSQu6Jg+fSHmJA0JaWsCUWeP5XqEII/6Ga2HSsPp0nHKCBTvkMXz
s0tfv+IYkut5FGucTBpHFKY3ruzyXCoJ7yo/dbLbY2TtgVdbMpjZfq31vKMbfXA4AOmfetTt8Rv7
uqRxyi2OYEI4TuvJWaxnqLaeposHCYgorGRnrUctR24nrRY+dw5AjMJqS8Oj3hOMxLVvPa01jm1o
lXjsdS6diVZ/x3CmnfL1lC857tP13E+9+sId5TLJ7DIgmNhka40gfTLv86VlblC198VaSUTpIBg5
2trZiOtd25gPhidPWJdOzF6e5nTiAkB9gqUN0TeywEXizlxrF+QV3V6t9Uy6VjY6tBt4C5A51qpn
Wusfou4kDXZqIs8jfIx+L8QJCqYEou2mXmsosVZTWNv0MHfzrVPKA+fZxp+k2oNu+yjWGsxcqzFt
oC7T6+Q7reRqOw8lv32t3oQkVlhwOWOvo+lekJFH947HhbFJQ2vcowRcTEoznDykzhDAQVsFKl1k
p3duXvnIuvJVz5SXEO8qa5OtxSYr8xMlNNOeIS9ouSH+bKlL+XyeurVQjf3kkwzXe2T6Z2MtZTsN
baGwFp2bj3ft14K3tewgWktgmVqvFcHFgdLKN3Ti9QbB+WfSUdNrNHHiwaKU9lG1alTXI36kQ0O9
bVOIMdSiBI9MOkOxq3u/bMQbcy3Vm5Q3TYapTyDL8oN8YgeZeP6zrTviljl9M2r+xfKrwOcWUEj1
DYIQ74T7Qbo0mFXsXcu9oS/Fe7VeJDQI9STodBOV8uy4RxYKfQEaoHtN5/16TdLflOOIOCsxjpMk
M6omdW9nOylsITfnYUqHHyXFxVFL+iVk0PbdnXtth4m1Pw2TxwRrUm8z2lYwcoW4ma3pSfQy3w8z
ek9uY/NmIoQvnMc6OzB8yp6xOzZPfurPP5TStlEnGmjMOq02JbfCN40d47pyn9JrCLKyzrZ1ps9P
HeL2HR9XTsyc/WxE2KgBdK3cMPfFleMX9008kmQCxt34nFurCGYy38ESUfdYxVtCl0obzScXufUG
fv7PuXdf7an4cqnZxiK9tRJPA7fK/T2Zyl/167DvR88PF72uzg3+530uGwuonGwfGtlTDqb6SGbi
kt7LJXXubIJ1NlYvW57peQiJBde+8fkNlypP47CJvZSqlKBh5Egfnj4S2F7nTD9j990nhxdoizke
DZ/21VQ6hIQLlo3uo9H2s1yifF4qBOHaN7PR/UvZttR1OkFzuK2PBi3YjWJIGOImfZq9qAvwwk3b
Ie/SgMFvGeDYV2fSAtZuCZFXfcdqJjsNz2VEwakYQwZZoept1NQHq2hpJmNKLXvf2aal1x59gUZb
J9Ip5E417wdDpCF+Enq/g35tuDYjXaN9QYrwVmjtTdPb92DB75q2CJdW5ZvOsI7kZeCnp7xOdfVM
1AYiwni+ZY/iyiBotzaEKXhe9aqkWTNHJEcDOo9mxTeWqg99g7VI5fIGxdPWpYeLObS+1fyUO9ZQ
GSFu82qnE7EBQdot9pFX/xjt6YMt7DVLxXumjMcJLVfAu2mCaeH5z0WTHauseJjo0uwRNbZhVsgr
0REFAk4azU7+I/G5w8d9fhjS0diyi+xiGFT8EdWpQtHmDe2TrVs3tdWAsRP8uSlXVz9kh9rPYFNp
KDK+Jx2l0Yd0Q873pRu9F08UNzFzSB76nVEtT5GmwkZXW7vuaBpOe+XLxxFFOrsWr2Un6SmnDLKa
5YaTD0QXAEDXwyectHsyU+8tz78d9Pigem/H1fTUte3eqZxTpzgUekIdaMBLuoatPM0NrUBzrF7m
gn8X2bmrCzxxkfOA9N8NnQEPHnSuV6TIrPkViIcJYIOZnO+ZJBgMDfpGeSo0SPfLK80Ih5xLfD/I
n1ZB0CewWeCjoCNryw1HhWEIDOatiJk6Dov14Ud0HUwPOVs6TPGdBeEpcLSmv+/qqsacbOZ/14/8
V88EzRWc/u9uAc810IK/XAH+8SN/XAEsoozouFmQgvkX30S684f+Cuqw7sLihyHsrsZTtEP/vAKg
l+PegPeastyBu/vPK4D42woJXsN32Xep2r3/5Apg/hr6/VmAheX1f9g7kyXJrWvL/oqs5qChbwY1
ccD76CM8mpzAIiMj0V9c4KL/q/cN9WO1QIlSMlUii9NnbyLKSCbD3cMB3LPP3mvDHOF/eaK5lvuz
Sw+1Mg0a0xy59y3zSWaJZ2wdo1wLNlR6GcD+weou3PRZa2ztzeR6qzeqTQgaURbrRZU35yQ7RHsw
ykDjpFhMxk0uavt2ycbmPAwaE7/HI/GCF0I6oNULeXYWXVzZaavtmzb3wZl6METMwTdPlNGnR92b
012qmdUJzTu5zfXKEfS1ZdrdFHvpMemn/rZ0m1t4Agcq1q8Kusu+ZB0CcV+OLUuwfs739Ooito+N
kI9pnVbX3jIju/edG1qN8yu63b03x6S+MvFl7BXBl0jRzvqMStbbRxws4maeDeekO5SnSoNAwcaF
1T2Ho+OZl46tkQe3RG9OFr1tz5Nb67egyqeWNxt4SO2+TnBEZnkbAqBPuSHWiBs7jwlla2Sy4iEi
TPnY8O8+U7fmnknAA+AvgcR/b+eOSo/CSUktCA14XRNseSP2cZJ+FnNkIskWWYHH+k/IqYDRKn1Z
bSaDHSsPDGwsu2ryVJgNdf3I7q95DGxxLJdMu0WT1GBdIHPy+YY9++dPN+9xiad6YodJllvDBuCw
fa7cYbzrXG4VNoh67u5+m8H+yDiyFIoCVVvoxWGkB+HFFP5DzE5mn9nFQotO4D5rBhp46iD5haWQ
PZTaTpw91fTnQizZztadLlKIaScip/Ez0Nk2avV+/CBMPAQbocb6Gbdt9pqVqt5b9LzzgklXXIQg
ZWUuJgXltsvy1ZyF9sxchsjSl77YsWFs2IYWjvYad4F5TZ6NonQBnbn0nOYhpw9HRJo1zu8KBe5b
GufldY6XY8vTu/xSL2IBTuqLp3xwxVdTb9HOKap8kvmcfVi2jW4JvS47xySarzMIpydkL27YDZaW
hExH4X9xgJfQM5Br26yLEV7dIehAP6rYOijNaV7mQp9u0Xt4eJKAdK69ThsOk7d4YhOj8mibSiti
Pj9WnzzI5AWGZ/AV30dy4URXvTtgKtpthkCQRqzy2/taFXQPBlBM7GJK6byIzceyZ5e8LQIv+3AC
qaJqJB1UKjv4VBA6dok/W1/syubV1ZXZ3A1e38+s0XMmhorxj6VH7QZPMd8XhGd3sB5aIkt8X32n
us74I8BcVwMAzn9561mZfgrIjS60JMw0SNPmo1P/K7rpsZ9r5yTmwNgXXuvJbWLM/nfYOoCq+8W7
aCXC17E3kwBbvIY7h/MzIyU7Tt/bqHTEd9CN7vCCjI/lnPDErrSN5rmk/tTFzA/Ck6TYGNZDae5E
DAaZp3qdvLt03t9njmNQBzA0W3omOD5MVnfq/NK7G2pDXSgyiInmykVtbbzjIemN4nlxRfUwGY11
SXqYxEbT0AXtWwkdY4nePtRaI6odbnXGJsGVel5whi/EbRZaaKek/iQjZwIecf0TRcz2kW9/cWOx
k8FZmAf0bxus0W0OOUBfLJMoXNiLsnqP+dnX5B/1PmQ4ArvSdEV2UV66fIMVVH8ASkmPbQwMFi4r
54guHXAV1tl1CiPthjLHdteOyroaDS8gutnpPsfOTr4Hhh288mDBisET5FUMM0t1vrGvsnAMLeSK
gilbIP1km9j3spc4G9fUrmu0NzgrjK0045ie225cD7X2vJ+Sbnm16Fh++OvC4H9nC7eNffU/K4iP
/cf/C1q2/qF/nR6I/hkwTnHL6/zCkAJ/Oz3gHDIIUAf/0Ah/OD1g0ea8wUEzcEzM3WiM/zw9+L+Y
uJAQFcnbYuH2gGD+hU4h1+Ol/eTfxkpkUlBEuMy3DXf1HP3gKWp4ziiPuxx3maGmwJbRhqsmxXnZ
6VtvsY29zEFZ67SaHWjTUQgV461YrOCY9S31wkv1RlqzCo2mt0PL0vIIcCzyfY0rRAcCuNFK43u3
pA35eoNl/zweB+FaW5auBGkafIYZFX+RJpfmXV8WnVN9ZUZ2Sy1MXoy3NKlbIQU3mMr5JHdQa1+G
RbDl1fLbhRsotmJWjFRkVzd53GtkMdksSkOb74sc8CmAHoSROrgbJ5NrE09NlHZtvlmkoibV5la0
0b3gi24yt+kU6onkqiW2yn/eGa8cb7zJB5DlhkYzPWy6Yw/TPaydYOFin8ojaHbnxDkCKUIrYEaz
xd/0nmsRROuxIQED2nh58GxWkAgoAwOknhvPVSJqmu8qmmXaNNvaJfnbpZzEN8eU3qZNTW0rSRY1
Zv1exRUc8MS5hbiPJYm0/XZIsV3GOdyqAftGRMfBqxzV7eDmvPcCp1VP9I+1UTbuZE6zInGi4FR5
En9vy9a5TPktVW6X3HR5r2Ep1ZIHKuWmx5ncU+ROYoG7wW6+6+x5JB/IYC8cezybPBL3ogj6sIzb
S4+8DRk+9TfZDPwHxqXc4HWWn2VgufhP6iksk4ERyyEDPhCjsfQ22NdINGG+jNd9TGxpFPqFOfQd
okW8rZ38e9UtJlZmhOCxmCgQ4KumDQw4GjkfAADjd4TgmHPP/J5W5S13uydh+cvB1Fw/mmct2WmU
AYRxAccAAEX5AY/5MTUc/A81rglqsfUwnpAXC7mKWIN/ZxWzve874qRMEAunYWe5Kjv/u51ZH92C
JIfhYNV31gW6Dh1vXNs9c0ERoMN2j5OvMx88zR0iy7OHUy7bIDL6HIxoz1oGxX45+ChhUR/7POuH
+sYxO58qrew5SWv3umzcF8eiPUrjvLdpgwkvjZN/WEHyknQKnBj94GGv6nkbOxxHp6SUu9H3FFhk
rz4PrX7N/QNLy+xf+LWcBt21oymnFiJpkxah09m7K6wcVzahppxNu19CCNBNzT5pUslNMicBokRd
Hpc4E5suqSGCTvKhWd2pDmSRKCF5GNnKfuk6oF5Vat3UtIuHWo6rB7I5aluqA8IXdnmkrPsJ+jaV
0G0JNctd35E9+fu4aB782XssKi4FWxa4QNz5RK3fCYKHoEeANVo+ljsp4RIw5OzNLk15DKIrBDzh
IvB1bIDt8sEJUgM0RBNEczW/awszjvSWDzySrI+9+MmobZ9zOltYV2VvfK2HXS27T85paNa92Z8K
g6LpDLI4XAg2DB4xxrgvbsdJH99Exxxk2tO85wiPyF1MxWPdFbfJ5B/TkhHe7YW5WQAtZkvJJaVl
+LRcS+zB4FwtsZ5Gtr5QMdrhHVBJvp+1zr4XK8ae0gp9a2uDuVf4OldShnrqqQvf0MQcH/Eow2Xt
aueIGzA7LNhB1u+NHurBfA0Qf9ksAL6A81d3flaWYUWH+mdMSXnIV70lNTCOYeGirlElwgcOYeRQ
rtR9p07bSFEnZVEyhcgk+kdT+kcz9u7dKb9uUN8+SM9xWalijHEwdF/GBPeUPj7PBkB/HcNMtGjW
lUDJoXy6NMJ2rq6bGduWHDmr20NxT20rEvuckcRLAh1Oj5McFptYAxPTssPvjXaurTgKdxpCcyAp
bWU+qYJGAxDjJfeBEF7I3WzcBKqzNpXfGfBxPEpwCpRXNTV2cSNMU892vcrwo7Q4QuC6bIfF0fmY
m5GOE0/VpyqxlnDwe3UqHCs/0FM572q0/r3wLKCzg55csUJqjrO3yP2o+1R715U8mYPr7iyezTvl
040eLB4MDtuy9qWG1dNYlXqYMDLsZRUcJ9/WD441kyQvdNx/dfvm0EF3Ts0Gi5nXjiFmFxkxo7w7
WqIi+Cu0CY+6eyL8QLVXNbU7Xva8d2o/u5LAikKKQdIt7JAyGswMfo8ep5uR4q9DLYf4nUdysoUd
ZB5NqU/f88RtnvW54DsQm4Gxij6xebXUzUTm3kiWK+mpbu9k1RGJn6nX8a7VAu3GmEtty038PCxt
BT8x55FH5jqN42RnU7BEDYiWfudaTq7oDIBspIw7Oo0/WQoFESHH+tkrah5dMaxNrcZ+RXy8Qqxy
2z3pE/IGylaRXAs0YPEC18lji0sZW55MuVFk02jjql06DtROf15kVh9oFG1xfjBI05f6tbQ6azfM
co/geVn4/pMZYhDJXftzUOULAZMWmg/+Ren0X5zCPAaGC/yJTEqoqBHbYGuqUXW7fmubEz05qf6I
hkEfr+cZkWG5T9j1HgOdd2a29GiaY41X2VN9lOUGnIRxLG5L2ErSw8eAX3neEqC9xjfCPFMY7sbP
movvF5+a1eCKUcUNzI97YOfxpo8n0AKLqIm6ABmQrrjrBzlFQF28zRRjFpvE0G+dWedpl/kkNVyJ
8J4w0QrjapazC23FMrhXz0XU9iWYmLb9Vk7sX+hnf2aypEgsLbIdvQsMmvVcRyRUpxt0UlTMIbhV
Zv9gu2MTNUb9vQAUyxK0+0LM+6NMRxFy8YiNXWpA94h1PwxZAYymMDZsXdkqKR6tktrurc9eD1AL
NzCUoGLfye6SLuNNXBJ0Hvwh3s1F0uz5eNKwKDkY8qmUO13w6gUdNCxajfmYVuYXNdUv6eoHpnnn
Pu3n7BB03dd4xJkEppWlkFmvHdToDUVDs7VvH2s2PVv80/6pBqF6ErzZC4XUb+gX6VucaztDh0rJ
8TnZe6n1gYd9tTuoau8GOND93vtCW6e3x+xFy0Rl8n6UCo5+03OWStx4p/to5PUypViaeERMrfJ2
ySpTaGpdY/Xu3dQRj/HgGB6lR1UFcXArlKXJx2uOz3Vavy6+PRy9arABV8n6tW0T+JbaBAd+pK/O
0rAT+u4wH/o+s/Zekw4hcgRPG9e8IcyR7b0VQNlWNaRxkD/8Mal9MzhFbykRUm+eW9ov7Pjyh4kl
MLUt2F2XPn1wSSt9n9zS+HTqkXvc0uf5l1j3WPIZunbXj0t9BnBls16dTRRk5UO+51l6anvrnjxT
S+kmDnJjAIuBT2w9TAW7BHL/LUa1IYxH3wzdrH3SLCAmBs5yt9qFoeku3JSreDtWSAvwEZJl5DON
M57aE2d4OoU5cGp4bWkzxreIfRRlXR1jbHdn10yPPouNY9yiBCRVRZGI/6y13Ysu9IdsIp6VzWTj
eRGYD3LJEV+r0nPm8fVUNipQblcXj+PC5n9G024+fvvf/8uyIVb/0Vz6/F6Wn3/79ln+Lfy59PYf
f/a38ZQZFEcvrQ2o2NB//zmc+sYvLi0A/H3P8y2T+rgfpG3SxEjYRDdN0wHdzz/6h7sFDHfA34ap
jfQd2ATX/8pw+hOtf827rPFknz4CbticfJiCf5xNXY6ysz17VjS8MiYelgMNDJvy3Qr/f7oeeK+/
G4TXH8ZIrTuW7aw/7qdBmCE2xfAKrKtrBLyFLB0OnjnnW1unbuuHX8bd38X5HyP9tr++8t+L9rZu
wCPnXmcj6a8o8x/fGbdulZnjtETdRLV5QHtr1GqeRthgYkZq4wGNkCUauQJ/2yY89NymyL4mHBNu
Mz/Xz2Lpm63HTmtr2hxxO0fnibLEOGtnAmvlPD/yOwVSMIMr6IHQhQk2pnCYxv5mkHNwDFQugOZh
1VhKcJKg8JhrYSIjgHnGwc2lcWjY0xbD/L3VKxJ9stZ5TXlB++vcMyRys8KGMg9RUrr+blR6v7d5
qO7GLM1vxglQse5l7NW6mBEXsfYsnUo7+5qu7xO39M4wUqCtkOjeq2QeroXy/KtKJM7FQVa+1aSP
+B77SIM3OjCJGpMLAya0NYfTT5tOWA7aYvkM+gm7bcnocQJWgdq26m5uNmUXXFCIcdPQs9dWvnde
8b4kLHoOLeQXvreKjWVYrmJeU1MCC9LI65NQGQqjycTtEKsCIiCBqOCUm4W1RV2tP9tVLBxWKW3D
+jzlRmxPKxzaTeA8rSKjGNgUbPRVeiQNgwg5WdZFowDpYTbl+FQPGQ+1VbaEgAbwqDLL/FWPy/m+
gmuzG6lHDiBMlzgC5gnublXj84fP12hnBv1lOLAL7R9Mne0OPUtJ/JgbuXxqY787Bo7W7UanFee2
mPDJuDhVvsy8YIp8R/eBZHhx1y3kmRzPjg9BGRffOCBrBwmlsaRui363hkPlvURJOQjaZqftQJjc
i8rGVj7eLCzwITTN9lqj5ynb6GXrRHrj+Qdt6H3cL0b7DlNDvCxlhaIO44+uP+mN5zZ1p2/0JWuh
ZQh9R6WrjKAA8qCQ1RRi0zIJTOREMtF+t625rjYGMRCQKYNdL3rSpdJ4DpSM0JfGrSLQ/eAgr0Il
zKr4S94H6muepNpLYrKFrydlfmdR53chVB1mhzLv5XVDC9ijFQ/toSQl8yWoag0ydtBX1o2CQ9Nu
zSKI4VPGc2NvfL4NLG3nONjqeuxShDTp3Z7lhiY39WSJMkoVm6gNNr+a88civwojTl68XsUOyKY+
oV4qMeyI8a350qQ6p7HCrWmzytI19STQN5KgEpjEdCicYV91ycXIVc4cNHLJhcKrUcO6yr6edem9
9QUHMVTuOF9CMDfBHYKUPPeDJg6asJx7xEftJoW0KkBVLu7jIkuI0+5C6GPXLkbn7Wj/0u6nKgP/
RKGh/j2fVPbN1zz1KNy6uCTMDo/UhrseZgN7ZatmrX03x0ZFnJWRBzObGu7SePZv66zG/qQv5nhp
O8GZmW6ukpY7bmb3xeyC7ObTzo/0szrnwZho5CqKdG9rrvmQLb08TdgAT0BjtOeC7xa5JfZbnxr0
ZgwAS4JVl3Ue8yqnbGBwVEjHnYNFiaFX3gflqD660nD4TUz+eRzN/q1xfSFDRlAkR5WwQfI5agCI
FSUWC93dl/3R6oPm+6jhJWry1gPi15Q4+e1geos1W9uy+3GhpLb1PtcXhsVUxREJPQrlOEDjnzAJ
vMD424pxSE+9Xhhhwo5ui8xW38dt7O0ha3aIbS57CIWbnjhdcmB2EgcG3uGK0zZhvaZYwXIph/Ki
YO0GBjiEE1ieHD9HPVjmr+2Au0S6/gSuklSibWkyBD+PX6kpg00mpM9JLGc6roZiJwqogcSJGItB
MUVWrJHj4iFKWrthIi6507p6vlwjPNtbUSwguFEB8Hwi1fB16L5UAiSmBH64g9DpnD27G647MFSc
5nX75HU2lRBT7JystMkepNUvRxnMxjHPvYSW5LLfJsMEA8FMl6rAjU8ee04ruROJosCmRPNhfUMs
tA/0e0ZsZysqs9/OEkCBYgygiNHNtKu27uYneCd2NIIVuFm0xrrW01GdrGSo95NElQjwRkBXzat9
QhBmk5cZ1mpd+hGIXNCCS9dGVe0720UPhjN9DmC+VDw9kLYqTnHG7YYop3mYRDJc6UR3ofTMaUmu
OtW+dJ2pb63YHcluN/65nzqajkobcWOuQc07HqfuQm0sYi4XjEbzM6D1bhuk1oKPySflOoi2fZJ0
CGx8lRBv88pZbZj57RsdwicDm0EMrEwywq3oPqTWh72/1DkBLHApbLyD4CwGLGybcVism8xyGlx4
pAGxZ462f3GHBugFinh3TRpQHSdzTgiE6BjgrZJrNOzpIrzj5uuAwWyR4NIu6U7Emqyjx1MCJFwu
pmt3GKFDWg3uTd2vNn6t64fBcxS8Sx4wTLv5Ezmv/I7lVvZhzr225e9p56mKxf0ypAL7Z+YdkGqy
EzfDD62qq2e3Q6wORG2BcKip00sn8MrK11Q4F4G/LbOOOcfluOEZdhIas6tveQzD0iwKS6M/IIA8
WbuQLVdIlLkQCkhJl+7muJp3pHbZnnIxAsJYtBCc3/xWj0D50aRGBnxhf5DfSD/nolN3y6irz2TK
jRdtbKerKbMrkLqIU+ztDcCuE5mPEI8t47JpC0jQMwBsaGHYAAhqNNSzE/DMn+ex7/fSGKz7YYwn
qjqLkSfL4irrvgqW4K22QNxl1pAdtLnndaP5uifg0/1O2n3wJ6CZX+vL/nUo9CnVsH0qanSqqSy2
0b8eGn9YxcSyjWkqZIVKGfGwaZ+Krbock4O9zbZIifvgHjWPhMlRj0zaotThkO3+rCBrPfH/cDD9
x2twTcuBNsXK6ufXkI5zmZei4Q7MLhilcl9R8hK4/KU/YluuGvh53UegGdtEQk2lY1fLlihR6S7O
8vsKqaOvL9K+V6C26mTEsndlSblrTFKKzgUl/u9D3n/sgf63hq1fP7QfXvDqkP/hQ1OjO6d+wgu2
9xgfp0d1cW6rG3tb78uzM4fbjfZeH7sbZ80tRei2f4LUMf7sA/tpbMBcmIt2/cAQ/etyg3i7Fbv0
1j2WG/FcvoO63PeHPx4ffqLc//svaX1NP7xnv63EiEWu3MbXxo4vLGeSXUabWP7Q3tQ7IoJ/9iEz
XP77twJFiIlsJU39PK74eSOLpeCb2UXabUdz2m7YzVu6U3a3xUGFyRbu0mY5NcfyENo7NHv9kO//
+E1jpfrdSwAs7rJX52u5Grpc9yfOlEjcAXcrSlntnd0aRJ/Ep5p+a9R8/OMfZP78k36+DH+azQw+
29YmK8WbLd5fZeTuza3aY6W4Gd/ph9xyx74aIyvUo+UZswX5smhtBfz1Vfwlq91/z736SslwdC7T
/7xWv6nbbpUv/vb4Lrp38e2z/TGh88//wG8ahvmLjkOP9S93zuDvVrvfVuwA0ti+mayOVi2fn/xP
FSP4BaUcjAbTkkeOh3/4TxXDxaBn6Q6dbwG8DdPjmv8LK3a2/b/76oIYCYx1jb8Wjf0qY/wU0hH6
gOcZATgKWEJQudw36LYpVqAQjXUO9lTgzHfT0LpPwDsHDE1tTN6mq7+Q0Ki29SSXK6NtkhvTxfQM
R8Z88XIe+ZueB+rVbC8SAnpsexzHzfar389xwvksQNLdJ0VBm3dRkwfQaRlwdrO+OG/60lVXrhjl
2aesi6deWVHO5CCJdJsZdNKzWcycXHMbpDow/3J84TjMjAdB9TJ4BqXoy5yvxbKyh7zgDet2WXYD
/99ZfBL4besTEK7GsrhwT4kxyleusZ/sMXjPrVjC7kmtbaFm994mvfhcTTXW9RSzrpmlyLSlNF9t
gCHU3OO+nTUjblj4IAe3pMZ39B3FRwBTeORRxHHNpYY7RaIzOHnOpfGqd7ZJU07DUNHlGha/YqJO
tubjGf0kzkItcTgRmcLaSz13X2FLpegQJOpEJyOtR5rQvdp8VkbKQmcgXt7lZbxzGh3kVt46u5Sl
1NEcR9ffV+QOEpKzdbBsrIx9dwUmaiN1u4ukQ6m0ZsFAwf8Fk6LRx2fFtMDOYzL69iE3iWw8C6sZ
duRH/a2DwWeLPqp4vTGYElOpUM/K6RgbLUXoSgbR5EPt6mtzOgEYp7HZmEhvObl0XuJy6A2O+Jk8
Q+J3o7xLdCMqfUN/Yn3RvFmynG9cJ0ZSGYBIRYDGCUY1dHvvXCN3IlsrElLtNGe3lH9Gg597NyN4
aAgXHjCCwfEe+B0MB30J3FdNSu2tSPF64YDGjMn6JaYRpPLy/VDg0WObB2GmXeK8Cx2AEQyQFNvd
sVj1o6Qorb3jNga+q0Z5B9VU43ODI58FUmzFtyOlYjc92+nnpnOkWmvsvONojPUFCcgBDm00/mOh
t2Kf+JB5+7mA4jQ0affsJl73xgmOxYFlEIiceL2vtTLGAwv1ZKUqN9BuFvo4zzrz1a5c/DUxu7j3
eTA6l7jMCP5PScNxNWOJ3MONPTU+PQYjX4RDU8fN4xgn9teWvi1O4QyKFw9cGJRoHGJhp/nWK8id
gPOZjzbVBbK/Sn172rnsBGjzE+bz1OKF8ErBFFBZdXHt0vC1s5IRLisIoZdM+tXZy5z0o5gC67Mo
lPYi8hkwlArUUaey+tFL2+KL0QfJ1xhd7qHjqHrSnAms7RybNS0dUx7vhS2K3VCP+Bl9x+lJEARa
/E1mXt3tNW5S5UYxUEZUtuvbuKz0Uzmn1LONK7fFLdhugHPM+eRbb95TrjSRdEuLW12z4vdmrqsM
TwdhEt1QAT/WmovnMXWt77ltC0wwyFlXnSjyN7vK5L10DHa2jXKtN9+qq/OSTv33VDKybiRljMhb
feB+wdtjjKFqB/uqb13tleorHBajDMy1hB3jjMYX+cMRAk5Ayg72XZRTw+Dl9Ha6bSYDCgD9CZh7
aSdzvwhIgDcjsuFHmcn8DNKZHYqpDHnCgheDLkZd+xobSh0duDcferCIV31x7atpzI3HnJmGWkQr
JXEQsLplkIO/EU1mp21UntmUzYApScDrDcyCiTWBjaAS4AAHcaBxzEqCw8CITNawGWo/dIe6edEC
uIEa3PMdwiZh7D6I7xcRFHvTQtPkKgy0Qz0W8a01CXASZWrsjUL2b9lSVddSa+VVUNfaXkvTggmn
a77p7NaOS1ALhEmS7K7MrHt6beejjTqIXQXybWY72qeFApVv4MOXd9JvkuvCyvtTMsYVZ2EwK5W2
qDtQZtOeEay5zrNKHPLCksesJIa40ZRtMu5lI5pcOR5bwSme9R4U8JZNY7Gh+4uE9f+cef6+sFmP
LBwp/vDMQ179//xX/fNB59c/9dtBh4MJgxn/qV+xrYb/QxIh+EXXVxAsU9tvZ6B/JBHMX6hX5nnJ
8WNdo5j/OufovxAX4HSyLiFM1+Yvxl856Px+EuKYw/XM0pU8BBMK3sSfTug5RoSSYKEZdfiJSjlt
hHGM/acfPpS7f1+d/PxD2NIwJ+OPZl/hGwBufz/6iCQrE6xrVqTPxBry187Q9iQG/viH/DRgsXgy
mDF8bJu+ua6z9JXW+sOANUOm1ChxoL9wS5nLbtxb5+HcUUePBn5dPyZ/OmGtn82Po7/FVIXXc31P
DnE8+6eJLs1TGKaSvpFKfs8pbcja+px1NTEmdRX0b3/89mz9z37cOgL98P7gYOcgriemuXHGNc6B
gVCcLNwZnWgIzDM7K+1YcySIyL2YW2teqkc4asTlCEk9LCOFg9JijQTtXzz3eJMfEtXmd0HiOSTO
cBcOQQJb3vFg2Pue/jKp0omahpOMZlETWrNOIGgyFveBlRIYWfO/rKoLOY5BqGY/vUl6+ho2GUkA
uenzRD9PEzfuXKXxJzQtuVMjQKON4jz90BHSf7A14b6ihw/zXutaeYeQg9nIbKplP1AwSbq0E+at
MWG6Jte7lp/UcdWd19TIsXSc9E44FV6gwO2rncvDF0hnnZ3AmPpf8ZHRUOkrweynD9njwLoF5qxR
UwlFKxcOFUhE99XYwXhv++4t94TgTI1H/TQkgI82thq1LPI7OYPN1MrhyciTZWf1Ov1MnlnfAyup
LYA7GnSU1R8uIuoSNWpkFwo5QLuoJ2McCuwjBOcumZvUt7oc3V3Tt97B7SGEbVBhl+CIkq5dlGcg
x3Byf2T3FL+zPJmLkH2Ed6ITzLrxi6r/YrecpTDgTU+xIRqoYTggjM3K3P2gICK9o3iHzQTnVP1C
riylZ05Lurd2MAPAFyZMvRIz7XU9gZ+IMm8sHtNMZhQ7xNqe0qg+jYYmKS+I18sTDsHqG3oSLVcA
6PZzYy2nNNdoH/O7/rHiLYILGfrXIFW8j2SRKeHauI49/AxF4m+MVDnLBmBj82bqoJxwlPpz6JAC
v+rtBdaAW3Me2aQioNukH+fhvm+r9pvNquC1F7pz5zS5TqIurVH6F9EqajULx3li3SE561jwPsKc
+Mch1voFf0xJkxDIXe9W1k11Re/O9Eh0orzPU8t8aKTVhp2ynfRm6EgZhZbe0e0g3Bxllp5Szly4
n7R7neAhzt+gcwgsjX1xtpWor1cw8l3hZZ8ccIbPfkhi4CntxLeK4XA3YvemB9XWaohK2YqbpjCQ
HwfmT1zQ4ikSUmjhKfWvERzH4pmywZYulJy2EQfXjVK+K0Kzwd9TksE+wVSj/1bMzndU8fR5Sfo2
gsJGVxBhXRPWPSUvfAjiBoQoQfHJBO/mE26ity6dos4GG5HKZMZz6HhXFRJ11E98Isbo9Pc+1967
RU8OUJTReiEcB8q0X/T4YZYiv9YhBzJI2gVsWmHrn3aCP7XWPHmF2SoEwi8iVkpUoFkl+CKSthFF
C7kAUmcYSPduQojf9eYPKg3VbeKm5l02zA5XHJ0BzpS1oJ1MTdtPHU1S6dy0R6/k2msSv3r23JSh
F4POLh295JuSojrRZ2J8jrKsWC1NaXsqZR/cloYxEyuzmuvUcTDWAuSR8ANMeLUwtMIyXS7xSMra
8eX4qPFhYgAjGJ3rpnprkni+ZZNWRTym0Bb7JD3OKfg5MDYlUzjDmn3CKh+D9NNsJflNqnyfYYve
K87hjxgDAQWnLDzR/+k5oHerupqXBdNrqrAW6fOE2yHQCozFaUCrlJbi6MkI2u4tI3OODq8Wc6Jb
HEg2skQwrbp5dxR6/tR66lJpU36AWNKdalI0B1K3w0FCrz521IaxpO9A5OouoKwp5ysxDhzuxhUl
7UgeNy4Wc39gcQ9PhzuQHRQh5a+vtsHVEkuBW9lx670pqTIGiNR+iROZsMVt5hQTA1W8ri71hjYS
nJMUGqqXniN+CNmLo3cHRummSip6aXz6bovMWfN7673cVxlcLEvumynNDoPZTS+9N8+QkWFdwOco
bjvgDJfAEg6QZoy+dYEDf6AEeG/9X/bObMeRK93Or2Kc+yjsiB0jYBs4ZHBK5sCch5tAZlZWzPO8
38aXvvYj9Iv5i1KppcrTkizf2ThAo6FSisUkGdzxD2t9q9eCtVcH8a3Vmva3CPL3G8G9knc+dK+7
dMYsh8nv3ApLfeF1uedN5cE1aJcMXy3UI2SiQEBig1E1M/nqgNQ/96eiSS+wFiJgTkyYpHNI0pBT
5ZgEIBBB8sG3QepQXI8nUpyB4HEvZFMHkfDBgS56pTC0n9CaFreWUUNjoSnxo1Rp0VqYA3bKPnSR
vNpeoKbzOorFqS7K9J0inqJpTubgkhxP0okbu6jkCseShk45zq9SaMlrbpHRtu1MDJehp+VvnKiQ
oLBUhKuxN4vFT15M6WYkOmRPJp7rMKyJ7O0M4SZe21Nv7dF02t8AmSNsroKUZVrZVs4LXvn4tULm
h5W/w9dwJIw93BZsqTcWhurOp5JM/EoRnpQb+pEXLx5d0ah91kfhQitMy6tI8WmUgZ6d/rxg+TyR
NYmPhaSzLARtXRrWp+rIMa2C2RQwJ2V18GQfqgZsorkxix9T1z/cJnyui355IsQQOrZd0GaflglB
Hpt1p3gi5xhek5x+45i+4//5i/m5gqXUJuQGdZS0BSW5wMb1c+0lNIsI0ynX/SYNgGKBvrgC4EC7
ngTRXzwVpf1PVeXyVMw9ARnrnI50zD8/VdGKeFAQ0Pxypltf0uzG+pcIjz98x/7qKT59NAxrIAVW
PEXdqjpfL4nBEIP+agHx+T1DzMlbRQtFG0P8sPz0uRSJNVQg5ISvOTfV8I30a98lXODPP5jPH/7n
J/n0brUFJPgCyr6f1AHFiIIV5AdNM1xXlEmrJIJRM9e/POd/jvn/jZaXfpIP8o/H/Bev4dfX7KN4
/dT0/vK4X5te+cUyKSFsD8i2TrLE75pe8wt2Ln7o0vgi6jH5xH40vbr+RfJlJi8FLpbwdB70Q6Lo
fiGjhL+H74b5y0/+xmz/+zfot76Nnpd9rfudB07zu6wMfv6G9QplQE88wcZLqnWHs76Uh8IARZRq
fqEwfCP/d6ozG/xnF9X3VeLBsq3u8i46yg4u9yC2Q9If7BgnnXcZW9xbFOhPfZ8gUcgiuf3d+/sv
umfesk9HgnTRvTs0z9JmKoXr7+dfGLhpWzKAdX3Nju1XHUH5wxCMqe8mcnGvm7V1Ec5Jepwi3dvg
QZuRFQUIeIuoCw6l7aprC+f1hmj2gSmfN20mCQXGTDLvELkWXZ5BcN/GdfXmwhGN/UIsk0FPmBhR
7Nu2mzwnKAyNFSKU8ptZlO0LqR/jE+EMMMbiaEyujClKHzNrobGOFpPrfVT1T2hQQxxCqndYveGr
PRq6URzQJ6Mtrma4pfk4aQRA2AERYGRPJIhiMNzk5zA7Zkw1LnalHUy0+bnAe4vugxjJCKW4Nlx3
EzrmQtjRN7tB04N/L1SHsLP6asUrc7fIi/JhU+VYdrOcxEOwaGJr9mO3tdKp9a0hbz0kFdVwNDU3
XQf1wgoCe3BBROCajvTQxCa8IDKzRnkVk7F2lYGUOei9Pu/0Lg8OloQisxr1RN2ilfMi3ASaeKqL
CULbRLomlNgpSBH5EBoCyKHGEciIFfYpU5hzF8wTxre6OpZSUTH1QXjZgILft4MTn5CoJSfum9Md
LZ21bxrTRn1WJwHwsGC6zYWJZkfE7j25DsY5eoBgrSMH/br0FtimG2NGeCEKBrb1L4EJ5AvWa/J1
3YexVs0+ipR9MyVLygLfkhPWq+kB/51x2TR1uZf43B4Z/OY0dmahQEJqb5DD1d6CzHuMe6vE1YZ/
YQns7W7cLGkmVB+0/U2tRS8jHZjw24q+Csg9n1Em8gF3kaPUK5mo+QS9NVQQvN3OYVcSVOjK577P
GlRnqCwBQXm7vgqyu7gGsqJFct62czrzepzyJkPYfJGpzt0TK4GCTXPj1eB0FgpRwPYVXPhHpMck
LVbW6NtU1bewqJsT1nmPeUBQHxJAdvt8TMaD03dLJgb85MkU+QN0meDcmOPy+1ADCvvYi+te9M0F
EFXx0E1u+xrWs3mWiYAxAYgeoOtj0inb7502wGZWgfEjh9XQAdvRAbW7GsrtwDC5axDcxEQkXnmK
KJCIufaSUMdUqS/2JAO65JyWLBCBzXYwxIHtslMKoPL1KxRGw/tE4ihKtzqCg1eFuffshYW6xrTj
3gMOxOU446CdAfoECvp+ik5vVRDE9+qNsryYyftzrzy2KO2WFKEshoRfj1e4vsStAAFm+EOVaDVC
wTL5gLNjZb4TGcRTVh3MN9+dWeoQSVpcZ23NZTCVdCBE1ybnujL0r07VErgtE4utTmtNmMKaGtMq
U364R0ie2LnkRVCs0TOq+1wm8DZTpHOHzJntq6aCo6FrRJAwBpnPWpIbn9s5MG+ymbi8ydZw4MZc
jCsPf4IvUk2/8FKEwiDBYS2FoyZO5tz2DlE1TbibDdzM/pSjGGtwMrOpkz3r/TmF2GbEU8I3sRQT
bzK9W+4bYVN0mxpCPS9ntJBAad4My9N2bpiRsPqMGNDsR3YqhxZP5V08VuZzHsCv9gxZn0+h1DdR
gZqrao3syYiK+ob7WObHhdVudNaPeHft7tl2WnmHBy8kHmZRY2N56c8BehUntoLg2IuBpiCucW3l
FuxYSHNd/xwlbE1WMHjHF/bdYc6WWAV/oVnSf95tuyZxF0tBblCDoyi3vv/8d5PEwujRolQwFTof
2ZyP6+ss2Do7w6921l8JM/7quT7NfrmG4tgk9HAzrsXaWBc+bKp0szU3RAPwFYfs+NZvXVZwPpcH
VO9o9Vf9gb4Umr/d76kwTGnQg9AZkPiBGuVTues22dAyB083wxYrlLkWKeIbJpdr66UeWP2ugTZt
/vye/ckF8eM5HeBDuisEWSOf6tJS8ZGypk83GHSR3kRrilP30K2cXXRkY+/83bf5+2v83fN9eo0q
Y80OdzwFCbnyh9APro21umvXka8hRN2scIuRVeGbW3AW4Sr6z4o4/mUJpAtaWKQgv/v4/dfu9b98
FB3/xeVr/vHf/u3fIRqWxWv7+4r4t8f9KIltjwC/xXtDqUUviVTwn7Ydx+RHS6dEfbf0Wou+70dJ
DFIC0e/3PRBCGUwnC4riR1GsmV8MqdtIVNCe2gbbj7+VCUhj9tP3xJZYZYVtsmsXEsEWe6Gfy8wW
TF6SB3Hqi2Y0ruJ8QNlxxhA1zvLrQqucTMGDyCtcqRJlT74eOmuiNCnkpfKG8iWyvPhraqBtlpMs
n0JdH2JItZWCMwHO+ib3Ft9A77rVQ+miBC7nqky3uXK6LRbr5qSY+RwDNOggUeLM3TBdJjGkFKRD
s8avrvP+OyCCPFmhqOxAzQfOxcD5cnRFxPRr1tW0bVNJ0nbXOfktkQco311c4xsmbualQa0b72Bp
M/7AYHhe6Va6a6yp71kkwzsoq8a8dGVuvpIkS2CxpRnJLZWVfWckbMbL3qaTbErp7N1akhWAPCHe
2HiK39oiILsFjXV6Q6iMuxtM/Hz+bCuHrX+BHFPDUr7Ss9LbBd4QbfoGw8JajwPrnbsitVJQF3JT
98o+bzynvnaR+4MDUFp+SFqbabULUB2j45y9aplEs50R4noP2al4ZuDTH81a1Se9d6wJebW0l7C7
ubtPjGY4ZY2Yv5H9hvvDEYV2hltaP8L4ZlI1aXl8rBZAYpXrwWbqlieRiH301ZAXGU8IfpJlRe89
kgc2PuhNWLwWvYQTyoVkbfoRn9cmLXJS3OLEynZiMpiwWUHp7LSUlLaZVA9yf0T7jVcF5ZXYaf3O
jMxx5r3S4mc77YN3lSMe7zqlnxUYnndks7s3ZVL0MD5kAgnfNps5I74j7QXABc/7BvvfXfM3FxvG
7/110pT21iXb/CkDyoVXelTVUVgi2irb8N4GFN8XM4YjY7ETu9dSTuZdoIXGHor6fPDyJkaTlObV
CwRXvK4iQXaFnzZ+6lM5nbmqoHggAwcrvEsajbdBLjRfBlQd13ZNKCOz64bZOubqjFgaxvxBXxXA
CHJN455Wy13jgTja52SbbbgTNrfCbqKHgOHdOSDM0W9yu+aUrrLo4Ck72VYakcfnCSlN3+ALJs+u
DnQqdEgmgVSi03jgY8ggePRAngwLJVU3ZfUJIVlwzlAcT3xZuBcW27aDNnXRax02HcPpkEhqMCnq
AC+lPQV2ldOd5f1Nx7t7AQAl+roE80LLDMuXBmLGPcFohOP1AZemlr11WVJtba93YTuMCCyGcNxm
FupgA7QpsgavOA8TGxk5mFntMp5Kd1zThul+FCtrVyGFf6JATW7L3I0JU5mnfc57c0XO3nyXKnu+
QyJeE9hkU7iskILLDKt6JHSw8JGe+1ZFXs86tpvmCgsWazdRmJT9Y8gkf22lwZATNjGwznFcMVzX
HkiwlcxLgY2GEEn7lfRCE2SqmDNQznnwPKs5BhRC05qsTFQy8w7fAjEu9lhYHojqME/W6FuCTZIl
EeQzBDNs8ZMcZGcxX3XNHEAGxSC2n7VsOiFVHM6Q7VtXnHeZdy8BnnWrdMSvQJi5Aa9MAAA7G+OQ
ia5raoowDwXkuAXocjQC4rXAiJrnCpxquh69GDewhVLwuu1r011plRw1tgXV8Op6mUccht0NaN60
JHzRsnzQFxsgrS4MATZTKAog9LZt92yqjHVgDsmQAMwgFNYa/1LzMUQME5M2FmQ4dgnKRM4zGK00
mtm9PSpglVXfj3ddVbi38ejG7QaMgbx2cPXr5I+w/cgqXd539K3YwVP1tXTt7KNNK/AzBnlBVwMn
M/lB9KY6B9igHoIJTZglKnTyh9Jxs5usjuXzTMtmrtqu6d90MgTTtZKmR5Ng6S8ZpotdJKcKD1aV
DfcA2+z9ZE7Nvs41xy/wE/k9deJrm/atz8JKHgSJ2Keh6LMLXKI4x+s4KHyiAYFlwGPTQJ97qoXt
gzThYa5MseMKyZ49gg3hwppNSmvVTMwBFLi9RxY9HCPkm9WF35UuimXGm0umjO2NDyRptZuyF2yo
ZMqZEhB4Ga7LylRPjZVob7HG/sD09OTD0V14qmKYLjymC8+i0J2Nq5W2sYoyGBGY7ZL5m6WDzYE+
J8ODkJXzFBtWsDddIkancDT8CVz2uLYmU18Xos8ZODhFTfJVVhIxqhF0Uhbc9FbI7PBiQ+dlO6KS
/mK0lfHYs6zFUyKzK/J5591Q5AHrlwArgBPp7p7FjnfMY4zkcZ4YD0gi1S4ShMCt6lBp5/jRXL6D
Y/TuJVy2EbxhvDiiY3ebmvY+adBpDUalb+DviFe9qsyAzUwePg5wCHIsGbHYK2vscqyIVShQTNm0
f3Ud23dhYtX2qnMaZAPZmM9+2Vt8R1Vq+UMc17s+68TBSKb8rE6H5mhbdKArmnFS19pWOw6F0KC8
6+aRXJyWi3t2s1OMidHy27kBRN/P4I3Wwq2Gx6DgLGbM1ewbVFJ7Vi/uVUiPvvxLvHKIvxJ960YI
IqO5GA5jM8BFT1MDZ6M7z1wxnGnDvpTdGPpc0Pg7FN/K+1ZvilPG82KgWgYJc52nUPyIrr9urZww
CD3Jz6DqVZdFFoYfYPnUk4fdYTcPrY4akSaEsRZ7YQv5RcLSDChv40jGkLLc96xa2R95kKpK161f
hOycN6Mv2fNx+ZNH4uZI7RrN86qdS11xZ0U4YVhopaxPh+CUDrL2yeToL0QWVsDPLe9oNF4bA3sy
pkemg8s3VS9ukN8VZyTxxk9u03kHkw3+A3gvTh9lpdaKHbj+LqJeuwCFPbS7SU7Om0M20CtkFnUW
g2mgjzClumjFJE6aOZmHMA74Kk+TsL+B9zQuvDYQV8moNVciTbKDG3DRruK4VdhHEedu6rF1+XLy
1h5M0m1eCK/PUf6RTPVkJ+gCVllWMHBqtFKcmZTghJ7mfIGARDnvUzI2ByBL0ybhrDjhIvJ2YOcd
X0PQQoGhWf2FzNS49+KWUKwxR3IJI5/5RJhA28aJ6oUoCoyeAQRmJG9kJueGUJ9gji43W1I9Y6Cf
Y3eOWBIWtRV7Z4EkqqZvJPGgUZ28hbOKLtuZdN6mYRoLZBS0i0vrTgByV55mBp3IDVqZyw1Axhwm
C25dTgsLX13sFWrXwUWCL4Q7cs0gK9wV/MJn8TTrGP7yyoAmXRMY2zrOiImtdMw7h3IFEYjCxIYS
pH919TSdV/CSaKxNDbG1nveMntRYrYJoiHdwF9nGhxFGRjtwSBacIjPb6FAptx58i2TVMkk85LET
3Rqp2W6dAvXPqhVcD3iMM2Y5scM5jKhNEh5oYW5vvK7au4uDbjP2Vb5FA0K4q9fh3rHsRpIAA8SK
yYnj0CqgFMVs2Fr+1Mlxbw/Y+DmhDOekCjPdkzdNEm5pBArpqiMqeBSOQApfJFdz7uU3WTQ0F0IM
3ZWVmQnHZCKNy5T7yTeQlgaJad6orjpckBN3a/g/Q2jW9yiYraMbapGH9CaQGLftNFzXjWN/BHUy
8J3HsP7eQHeDCy4RvkMbyqN9WdrcdJzeuJlCb7qDYts8pUblbeNeam8emUFMCvkWgXLrhgc7toI7
0htLezVlufkoOic8BuYcPs8OLU7BWPhyhN5Ur7y2T94ExsmrJAGau25p9Xa97qiXwhhoniwWziQy
loYeM8MT8pRUciijXYvmaezXdhtR+B7qfprvPaOGf4P/O39HvEWwb2USPsBs2ToHODVeVeEAaqgX
tvbeFG1i+iquGyqjPiuxXhpLIqZrZngSm7Bh0BkQTPTU16yRfVyndbIz0VT3eA28Vm3wxHrDBpWs
TrpwXdfdBeEH5TsG2fqX5cZ/7tLYpeku+68/Gxys//G/mq/l26dV2o+H/bpKM4mqtXDBeDhfPq3S
7C/k1PI8y7ABw8xCkf4xN/C+mCbbNwiW+L4kQOvfdmnOF2lhnqFcgUhpesuj/sYybRFV/jZbY5fG
0EIu7A3BstowjU82mdHBvs2Bk25cpKOHeB+fKWcVfeu19e/emH+1BFtezH98JkRjUkjLsplR/Dyd
gLhpQOarAtqBtLvBjt8ku4BrnrO6UdNdgTGe2JWqJJmjyC4EJfRFxHxdJ03P9g5oX9W96KrxrphU
f0Gcun7Buii6xWowE1g5euK2S2ztgPva4e6QufkN0ARoixZh1mkQ4Y+2AhtWflRT/2QEuZoaLuxI
b7gX5Y32JIsofu/bytwFsBIjMnGpz1eJp0uiBJM8xGOdGm/0tIYv4fjNPL4yH+c4rD+EcojRjmaG
y1Tmo9pMU9uyBqvTGhKA19BsNfLDdMN+3lZOiL5eZoFGBd6Ike1KY5TxoaXqWXI4LW5+LVCQaw/7
kcaQwQxgsIkB+wVSE8zTTrtPzCC6j2ZDvniRN5/TQRnsMImhY4vZhckWQys0CiqtdR9AV6PLG79i
ZujXNJIcgYCYfeSRxZlbee1Jw0cBZWF2wFuaHlq2TeTMU7QXlBrrhuMXJijJLpD+v2OVpDsSfctw
nfQWJt7DhQFuOFhl1mBdexZkqD7V7BNCXvuk2ip9TnQlz8SChwInXNzFJP5iYhEsNVa2HoaUnTpk
7LWVNe0Rzs14DW4EPZ1H9Mke2096hsXAc5lDdQQreO2QPxbd2L8AFJtuEtDVGECRFkPusgFzFT25
CpmgIgFY1k2XxDM4d/00ybtQNvoWcGRdU4441QUaTtZ5iePlt0pV3rGypXnSFjhZ5NgT2EMkQeQ0
pYNiy1PX51KQfEMibZtc9X2n3xFeXJNy4ZDuQ2ncHYoxQc1kTanKV1zT8hgsJDe71DwM+m1ygHQW
nrehyXUSLyQ4wT/7iTtQyyZl39Us0HTIY/EwXkZWftCSAEGwanGaSqZm0+QaL9wOpz3G287YCovV
J+Mz+WIURba1UL+tCYw12JPEXnprImTjxcGWYbs86sDLZ5bSrLMyL7lAvUh8SWDmsNY6iXOs5I4h
z2InS+pj2MKUWzNECYytcisbDCOFanyA66q7Z0WUU+p0XlPMG6cYMrWt6yJ9VB2BcqsSsB6LG+o2
vn1t+BiZiXGuubV6ryM9FIQsE3yylpOHn4Uc6WyjApCheH8syOtGYOSXQWXHd8BbYmNLR2Kcprlu
H4wgm8kzbKKqAYCj4VqqcGk8ijYhbrDFyFJxfWvNgzFP5f2omuGtpd971dwsvUY9OVP9yAiVZ836
8dxJIXxSFBWENngdfNEz5L09RnowfVug3DAE/e/n3t+6P15VH8Vt13x8dBev1X9dHvpeVnPDwKD7
7z//sf3lz+FHuQypf/rD5vvA+rr/aOabj5Ym6tdDf/kv/09/+GPsfTdXjL1fv+aA22Oa9Pi9+/3s
2zMXTTzT4z9Wkfx7l/3jf/AbvX/yTvx44O/ufbg9JQ4I5KgL6+q3mbn1xbC5doS9LHYWacg/733I
SJjZY41AXYLzAN7cP0fmuvhiMNlGjYRV3sHd+bdiHHTnP9z9ULaxScPEoeNutr/DAX63SHNihM5Y
8OBNTShZV05tt/DpQEH3tJFDt2+biXFOr5F2YwScjJDTqtuMwfZ2HNvkvrDCZgnHgt3O1d1cUUFX
e8yDHLkiqely0/FlTKt4G1tsV3UPnjB5lYCcZlGzxvG+shB90ICzbGMPKG8WvNXx6PiM1SJgfqQk
zaolsYRwyehYeMqkJNeNs2AMiTGbFsRbyUxzXU+BvGqDBgMko6Vz02nk+TRU5qHpICgnTWFfVti3
GLp44kC2eHWWsFFu0MFWBZNZLeh2Y2JgsablJlaOXMrMbWSymuhVEHdsBmvYDK2gzOVQ3yzqtjVG
sAJ8UpMesxG4RlCZL/EUwecJJYv2lJyzsdK26E5t0CMYNY1Zdvi64FiOLHKZjyX6WdpPdxmUwxte
SX0qwlke43BmLChBFKF6nRnbigOzmqdCt0lzrNE7xzBcGFLKh66xXtrYC/atlOzkEfjCJdFfIqNC
Sp4L45izuPctq4bt6cyHOUmuvXqyr5TOHC7sDl0scKy10yYf0/ksick8Iyc192vdhiDZ4VIguZeE
3QJ9jtcN064X4xusH0YKLbM3MsxIupkRmeSaVWwClN3rWg4U26I56eC4drD+rXotnam70GmBSIqt
6ugGDW10iBIEPiFxDQwicmZtUfyVFlit9WKCuzjvSbMjLiJR35w5e+EAgw8W8VsrPTqKuS18CGQO
7hFGJW1YM14a4/pM67JnqEbZjgiBR6iu9g6dRXRKRIoreRy+MkJ65g6XrjPyDYqW5OrOw5Y4uOT8
ZM1wAIP2HBf1ZUsg1MoqMiI0+YhPy/5/NRjzC+MOYscGHZA1vEZ7U8M8QVOjB7uYscqVQRL8rdKL
+KsDw3vb1Z23Qf3CFl7WZvJ/0XL8v3ak/lgn/umZeuq7Pn+dfzpRf3vcr0eq/IJSj0XiryE3lNm/
+u6dL7QeBFwKjykp+tPf1pD6lwXewKYRzZ7NGs7+7UjVxBcLYSwrSDAojvHLKf3rveVHYc9t6Q+1
qaRq/lTos4YUVPkudxAX+D6w/E+r7J6V5zTSV/sTKomN1zL6RQevBlLna84m8yat3In2Xw+6dw5l
7KqlGafJ1jNE+lpaTvBSZxrTs842NnVSl4/pVNuXGsQqBvq2d2moZNxHWZQRFm6Z7rmuZZiksqKd
ji2o9fcszwekCgCtr9ldUct1NjxP38W7U6zdSXePrherR2i/A8PTKHlKyjrJVj2v6rLQpHk597r1
3OZEMypX5ds0HyZyRfRwO7Y5aeN5QlTIyhkbTDKjETEpUWYRQfFc+K8Dh8U2TlV8hv2H+XaRNOCx
8Uide3PcXRq6Wd9mrV2dQcEXDz29wCW6ZeDSReae2Xg9tx0zyaswrkNn5XlMtX27H5jrB0mt6dsu
IeFr21asPbEwqORUOGEGe6TQ03XfAkbjvtWz6OhG950MdXhAEyzHjMz2DhY8tD4Wcgyd2PpmY8iy
jjpslTQa9z5d5ZCUOpVdR01jk7aDfGltKrbMTHmFBrp87M/UoFnbIAmo8ZhRg6QlEUycoEmhyfM6
A2GYGbFJdcJ83Kp6yT0VTpjucmWaMZasqLmAlEDA7+iMTylL16+U+vmVcnvFr2iTo+Kn0m6+2iQg
PLgzsXmV0/ePiVtGe6M2wqd2ynrlL7ysW2DRxHBkfV8BYYwDjkREM4zMS6+AuFw7ihcpHSPwmXbi
HphEHh9iqFZ3uLy0CzNrjQ98DMbH7IFtMotMHTqvOBpyDs4mqwOkS2C87+YeY2eG6XIXtxGnbhpU
X1NQiCjJNG4N3Tywl4YVeOinttqDC4ZqODhm4pNrkj3OvSO3Obu9SzZ6zTfQzJrFeLXO9iUBsn6H
+2PtNjXfDntwcVSKZAs1OPabehjfMXwW90OdhrtBoWTsbG26mdGRHWaj6T9m0+qfbKmNV+zD+22X
xeoBtlPx3dOyIyh8vMZcB8CgKqMbU2QWLgigeuswjOVVgUG+W0O1zYHyY3rYJb0TPZs9wUkban9x
7APSolaV5i3u63YKD2PsivuOtvje6wi+YmsZdjelRy86MaPYT3U0fXXsMXgkwVB8K8tyblZ2EU1w
wFRrsWgrY2/d6KW67mTNrp9VJ3hjl+uK8mO61yNTI08giW26ucUTaMq4OesaiUzf9tpjoU9tx+qM
Ccsq1UPzFNsdI3sbbdW2zWzTWAGjq07sn/AiysWW2C4GxRY32k0e9uwTB72K2SaFffy1woV2jIsZ
wFlZm4Ryts0cXSbffZDjODJhq0DA70Y3KIZ3zTXat7kzuEBz1xmJ2AH6pQMNRVErHtNGudi09fjG
WQyYFdLTldawFegWe6ZQSfHAfs47zIt5M2ud6UrvZHVWmyULWKpKjos+WzewSh7iIQXXrwWpfkbB
2p5GLqiLcDDDDZ67+E6YBHQmSjPaVSImJALSxWKUk+yxDrOk3HZmzYoA6nX+TsTlDK18ElXte2nR
+0WbJw8JNPs9OURy7UkGpqgMFpay3htvlRmlZ52pG7fsPUrMPlIyTq/MpygICc5TblDetIbVLpP+
ibZ9cAhf5J/H7Mj9CL5FE+WMqmEa+DEf3iZhTH8goiw+YLcS8nwQU+utkkAZr5OI8r0qeBFDEUrI
mqb7lgsvuWwgVL4JtBL3oWVl550N7cy1EtCmdeleL4SMqwpp5U1hBKbPGZK8lFFqD6vaSCNyGrrB
3OmV2V4lyoz2SafFFI4D0xpbn55Hlc/sUUp3C8G9Oa9m/IVh5LUhx1vtwI0O9b1BEu+pZduNMHYQ
7Q1tpbgp8M+dGTZ6SUMUw30XshHsyqG869sZPOfcIIdw29k5kiIaSWAFPRj0KnWrt6E23HNcO/Ip
cktIFx33OzQK7CWS2chvqtFKtnyhwRfYrXsSXQnueerJKPE7Jefj5AiHc98BTIC2QXCqdaNXEa9p
q7vccGv0b8NQvDuxYZNhTwRCu+rNfji6bWo9O1G47AAqvZrWjZTeeAZiUzF5jlCCrDpAandJoZpH
1Kz5swO7xFwjpESJIGgN6ArMTkM7rLvZtUGcQbfS6jBxd2HXENLQGZa699SIjnSWYfdeWVLeoI6x
L2p7YEHoZFH0YHOQ3+sde6sRjyJYd64/tgl8xLuynuUpVJG6wPHorbuxHa4nS08QXA6Ru0Lqm7RQ
DirT18PKuek0U579/9+P/ygCcRX8cUP+8NpX//if/0rCxsN+k7Bx6tmSeTOLeLpxKrNfa0dwThKB
LC35QhP4rm77J8qAem75n0T0Rtih8dsoWtO/GMbyGObUFJD4Pv5WP061+bl0NHAa6fx13/9a1/ok
NrXDuTOHvnXWLLKGZy4MBMQuc09MrYs4DG0A9w7CY+S3vu914kDJrjh3p0I/1nE3PI3fxWaZ0NNL
o27cjTYsYjRQqIubN0wRFnhDtUkJfd4hpGhv9NIaHka+0rTqTuXHjOGZt6Xdzo74T9rMTH3kbj31
zHClV/U3pYaDdLBCsX3yQ8Ng+TybxjnKQP2gKzPh/+b4OBU05YU1oYetTHuNyhxPQVNNaI6TJQYN
04rMYZiBVMDFSHrgDucTuKK+k/vKaAKc3Eqs7YprX2tgk3LSQk2GVbzKCR0f/Vgf0BmntjiqsJVr
HC/JetLiLZ6GbbtMvDNxxOPS7UdbZ+aZEdCU6LZ2HSvRbCpD13zS++oNGKh0XeSlucXKSs1mdIwi
OX03EZwkv2xtsTbzOlxT/cqVblcZkocxPrk2t62WkNVV1tjFrtI0ZAml7vjVHC7p0bSleWMQ+G2P
8jIErLgdTRy+bZ72m85idKx3o3mBfyfaa01f7keSik+ho2nfstgWRLe18llwI2cPbITfAPZPG7BF
BcfVaGw0tJnn2WzU6IPipl8HucT3QjrmkY/X2xYRFX4+S/wRembslS4qa4VQxfywGKUu5FlkeYkb
xlgE2HMSY2WbvGVlfB8KET55CKt8vSnDiyKCFoCrRtTTg8hcM3iaQzeoryDCTsYrOoXuMEAeuvA6
SWZHY3R3qNZIUx+7/tDokDmpUyc/NYbvPwgfplSyGDfN3lnzDiPSQM9c6T7LzfyDGBpP41KZnJKy
FeGXntXGoW2APCyV5BPkz0UbOTjbwulZmeepc6eRt9ivjMogJxyPAGE6Q3q06oDfPMCAk8JGOo+J
RfoALK1us8nTTwBsmie7nrjpDKCPt1Bn9HOAvMGJMGe1SUvHum9x4sE/w465JUnsWyk0DDvkycRb
mTvwJHNymZiGOf+bvPNIclzJ0vWKUAYtpiRBERQhGHoCi4jMhBYODd9Nr+Vt7H3O6hJW1tVmPa7Z
HdzMpADdz/lluQmMUt8JJ+oPYDnDhbgij9ylyIkeM2oN79ELjb+suIFphzl3drYlsmpL8pbTrLwq
dR+VSunFSrtmSySEe66qrH8aZ4efu4Hr8G5MpPdoFrX7ZGgpMjQ9JVUVigIVmWlLwJU0eeInyq8V
uIoGzlrPkfwwyoqtpagZIxjwBqD2spiWpil0R0wIMcvOlZI3cA/p0m6dBzUrFjqSTZ5TF0c665Sf
Oma7r6lPou9haRMwYY/ohSQJKDECd+POimlz+pyl123noneerCFH8YPK9CWxKw9lLd6Pi8G1fso8
ai1XURHXEaHLEqNUWkevYoycbR7zTSLXi7LZs0kxs+cjn/Tymeh0J609FYhKBlaHJQWnR7qVlEtT
M90mquG9raofq5+tP9OEOp39zDdRRJT9pYMq2sPNaIiPKHxZ+yhJ72LhTGRf2fjJeeZMfrWuFknV
f0wGN4uxXSAUCDQl8yRaQUxltW6c6iOtBRrNxiyZjfUWPXoOvl930dVvMvNIKQ0hZr2q46p0sfU1
3yHgvXlN0kz7kJZJDY8nY6pohj8jaWM7YTZYLxpH7an6tjRym+xzar3oC43WpkbRHbWQLdY9Mt8q
ZovQRV66dZT/m/2LkOQu0dYCqGFjmXW08yhHv1gkuu95uBEvMAGyFExym9PDtKJzpqO7zmkOVY7n
LYWa2y78kzihoO7ZQ7qdi6yFDnix7F09rejLSvVParJGlBmJ9tQWOfolv0+/isEv94iqF06CwNmS
ysC6A473UVpusjf62aWpC0EIJ0i0ag1LEobnWD+OH8RsipRTLgQrr32iStcLtN5WK8wxLKs0QtvW
z3t4J49FyEoPWcGPreHF18nYrKvAKg7Cyvxt6rskqnpNHeKClMe2d7O1SxbhmeyQJmRtGTb6KImE
txbry1FlKgEr2paedXQanY1mOBklPhpfFXdjKEp2CFAQv8R29zqR3//TGnSKYIQi5WoUNmaogrI3
5l81idUh1wuGyiQZTpOg0Ax1jLvLy5wcCwp9E6cKcOjgXSr64bUxa20TExlBaH20cH0P7iswFD53
t6nbPbDmQtJ2S7r6qh/o1iJ7PNLOOtkNuyY3RLuLm4UqNZZD1LxEAuBSQ9/5MnbUs6zzbGrSddG1
5Z1rR+3rmJF8MtP3xceMxBPA1y37bdd18JDV0qdvyWTmh7gpPwZ/Mm3+qqS6BMjjL2ndIoGPut8i
L5NtW/FYkG8QoRyVLtFiZLQhOiwhIx3rbsm76jJ0MrgbS+itqCFmPB/adlWZMTI2t4k+ABZiXH0C
nCIjJ39qEXzPMJtny+4l1b19uknstNpKEii3aBHRZJZdf58NboJ5ku8RIa77Pdixv3bGiU1p8lTb
XuPRJBaZ3aPoHOsoFq/cmXPvhGi/C/B8nU3aG6sQMsB/7/uxfwRuRQorp1z6q4LEA8peqjjZqSow
Opac0j3pbtN9WJbotrGwkVXWsB5ofF3XIjjNyabgBQlLcxg1VztDEtKkIAr5ZEc6+lgLotQtIudS
TV3xhCmmPdJW6D3xFMVYnYjHwkZn05mDJsVniDA1KV8Ej0fo+U113wZLdHJ8tFakFJnGw2QkBfHf
i/aUR/HPwgeynb3BfYymSH8VTHDfY1NEPzgI5IsWuPkbE5h5X/M4PM0ys4+FV9BT35rGHnPn9JJR
zfaQJ3ALKgi/Rdq4VAe9a0UYzY7Y51yVoUUuBRLCzCHeHSDSwtGeotzzBe3VxN7A0JrioYbWfKlL
2z55EVEMABHZQhq/TbtRNgMSrWhjEKfZrrQtpUm0FQZDipe4TcIlz7V9Sq7z3Uxg3pr0ccAcegQo
A9JT7x4fQ007YqGKuGYeLuk4J0FHyDuuOO2NONT2IWoFVK2WlsOjg5KVHueKS2uh7mlxZ+2aFZZ1
9QnSZ2Ulfv2pK4zlubhJsHN33ldKlq11Ir8GdS7fUyXadm7y7ZuSGxYmumggJiZFnQX+x5hew2dH
ycFneNattJpy3SvBeJVozUtkLNVnq+TkKHmTX46ddmdMlsOTFVTJsw8i+Uz6wXKQSpROTwD69EhJ
1W0lWofc98+MOMy02hydBiVuB1RQiaFK8m7f1O92n43h3DpezwBvU1qihPKj3Zp/6AtGPc8YkMMA
98mhCpYWdb0S2msdknvfsZNX0pTaa6EE+eKmzSf5ydrldJBp9Aze1Ps3Jf9U6PqGBgUkw3GWhIGS
/Ju0KV88/nMIU6eqm3DA5PfHpAV7L0Y22C1BSvme+KTmU8WnfGZpkl7xhph78tvtZ0s5ENJWpFR8
KV+CyNSANJZ4U7GxoFrVuqX5RU+l/KknX5zzduQ8wxYwfzC5NzVGWjJDVuh7EeK2yikhJc6D4eae
4AjduQjXPmssndfUTnmDqk+F6HRlwViwiNH7gi0jmMnbyTg1h9U8F86xszz0yP3NzTGRNRK2xGaR
ikSYzFerjB+joeVn9EfR2SVBHmqzKEzuGspc9klMfGVg6dNeRHV/KPWcv7priKk0JCC65AWt9d7o
37KbBSVXbpTUxJeC+RLo2DIS42qkC33rmqFrJzfGzULFY/pqGFr5hnTNEZtej8svT5lTQDSIoIcO
i7Y5mTjtCsXecmadyS9p2lIzQb8ywwPI/09/s9iA/aH4W1xxwPyQIwDNxwiaNpqMakNzkL/TBjw7
PikVzM5mYn1rSgIe5r0PlaecPhUihjEsZliqVbNo7rOrTEGECaFezzvD/qqUaWiasA8JRzmJAhr/
dqWyF5UF2o8SBAJf85iCYRbT+P4fA0YAAvx7MGL9JYbf/f/7r38WFfw3iMGf+xuTRVqECRCBZc39
qzrgH2iE+xcMSHRgEVltw/Yr09zf0YgAhxPEP745rKA6CMHf7HQ6rVouXFYA7eRZkPQwU/9CXP1v
RJZ7074BU8YIken7gpTBz4d5D3kA8jxAE0V0/ZM6AKQt94yaor6R+MPhLUeZTlVMhtXVKrG/yDKN
7jNrah68BrH5FmN8XoadlVL/XbGon+XNiSJI/A8oZ1R4K+2SutwWo8v/ssxdprMo6tHHULnFPo10
Z9z2N8eLjNCYbtkGqfZMABDOgTl+O5nyyBQInaDRizHil0RBAoR5J0ksioeR1U7LhNuuZK+2msSz
S9o+a5tIQ6NwkhNIp/PcaV1gsT5jTQZ2DB5AJ7SrmzINxLdLR10/Mp3n17Gxkl9LbGPRsrrmOaj7
5JGUDfPdqQv/Mza42bTBdjmeGsPf9XmerUU8+3d6aWoPS6KKnNLF+lnUhVmqq1MzGm5RMeQZY1WW
7tvYbN7qRc+exjbSMfKqC1j3ivy1ckFLQBLIRvat9MG53dlYzNX9ra5ynVLk0Jqc6CjmXj/ZTYv/
oqfRbmXEqfkmhUjoKh7o1PLjEiwe7KL06mEnx6x+IjKzv++whL3zWBqnLFi0lUxNhmE1e5Rma7wS
D+A+mokxriehClPVsBKbojgSXWk8eJx6GI+k0A5pN4ktjZQLbSW69and5p9BqibJcUT5t6GzRCm8
1LhER2p7rNUIRWWY9TIQWfY8lbPEV8m8NanJa5r75gD6WT71ROXR4md1sOo54XR0OZ0stx6PZqAp
yV0X76zW5i7LBFpxDYPVJ1sHpaUp+SflUqDQS8fx2yZC7K1tBzes7SB+6v1O/Pjkm9HKHJXtY1zo
7kPb2AJ4zWcA1svgzTNp+65MLdg1VbrcI7vrv9vJEy9pOXno4KWBdypxHnuE1OuumoYjK3h8LvDt
Z0QeWNFhsDCYrcgD8/hiJakbCPhjxJdWecBTlQQr24mKq+lFycO0NPI8dTquJzb5Pt/WsvM2sZhj
cCcWzDtTM2BFaunPCA8MnYWU3D1U6MRkEuLmR+5ycL2J+Lt+8HbpnGsPCO/tXU9I1+fS+MFWLIu1
8XP2tbon/ANSMnvpvKL8yQsIO/wE2b1e9c4uRXId9rZWXszJk18wVdXBGkpt7zElroQWyL0+ivEN
OKF/r2LEZVXgjoeuI3cLEFA+BaIrjnKeKHzradwh4Qx/ALc964vT6pdqaJaQKR6vyIhGseGMu9fr
PH3iQDORZBrzfZBicWiMUluNlkPeonR4X7Nsz5o3GQ85B+XB0qT1e8DvceckJtRiHSX7rpy0rVFI
sD3iDa9ZQw+XUyyCOpMO17iXz19YUMx7t67HQ6w31VsRg2kOxBlkq6qYMJrQXYapJIrjQ1YJOGOB
0v46wjCFYpLi0Ffl/F73g7HLo7y9031BP1tamaHvxtlhaHLyiity0gs4+QeXt/FYDYb8xszDMNMw
Uq86PhxSQFov9zcyKiFBIz9ispjs9rsM6ljueIuI9sRIIgYB5PW+sIz+1MnZ5HAtynfMdTyp1Hpq
YWr07VfQeRBnWYr/iJEexSaEtmvpG7As4jySek6oveugrLR8aOi1cXXtqUGawojbz89ZNOYnMzbr
H07l+mIPov9G6lN+YL0bTq5jkCMdVZP8qOjhS5mXZ21kha+rsx8n7QsaXSLXojLCW9ZHjWKzyARy
cbtM9UOiD8PF6cpWbKizJqkUFFmld9q+AYo7EtKNkWcm548nzN8SUj6EPpVe8crUR/vJk64xhFHd
TQe50COlRJ1bokGAnyZ29bXWA26zsDmDOHDql1h5+66k/6fVxjcHSpPO2iKHbAdXgDZis+71I9kp
sGD4OPrVoFu5s9YK3jWd6kFESEw6PgRQSnA+HCivKD+XZz9tqmZLc5zzFEU5DOmYdxPxHKpg2DRT
YN88F8An2pKOAvPr3ETbHnwFd+EoNTLGu6B/opvNOjRloF0rPV68dYZBnuC9svvK9bEx96lXdpwx
pGSspOV1v/wRyQbsKQ6RtZ15gCRBjD9USwznwYQNoviKWKhszY1cxmGaTxacmV6n5BQO1pFrnT+N
p6vtDgZTK4VGvKuLJ20fCpae4JVRSfSn0uQU3bF8D8MW1Ln8NvvafvVawUc596jSV86oQqKGiMV0
nUDtYnsrqghAvrIkTX6Ip8rQnpA9rk2wwivNAfzmBZzod7uYCsBMc20HVYw6oZEBPptEb71HhwKt
A589JFq0MH1LWUU7StTB1WaHGmrJC/9DtI92tF3mDGJRUqoLfUohwrhN041t1NZ7o+nGesB69Np2
c0nEoURWyICb0PUk3H5XdW366ud9HEYTugk9iOxnUg7jw1CNaAJBdjdVM1hXzam5IBaf1uci4svk
+SfikL4w4Eq9AdlC0NDAhlzym8pBT8V8lyvpAw0PMxMQVek76GR7HyiRhJfJ9jOOreoE0Xposl8L
sfS1n9eHsq+mK+pc8zeaJUJm0f97J5Bg56OW3vgAlFo94ZSm/002qb7SacsCPsDnCwBFyAykoRwo
fsaMRd2mqdnDNVpGWdByaenv3iAwGyIPeKWcbtkTfmO+Zko9QrsuQhJs7kDAMDbxQ5/o4pts0ok/
g/qE88e9Z6WM76lbaDZSKVQsohDYT5RuJbtJWFg6kNjw/TtngFT5kCZOtJkzrKF87clI1Z7tbG1w
rrtcqWOsm1BmnkdXrPl1u6G8KWly37qg0eCp0qVNkmoBAxHfIS3Hhd3d5DmJUupkOZodM3eWZkVO
tTgHdle+dnVGSLMJSYL0PlOynyBTEiDdk2SRNEMs4pCo/uWPmIMI6r9ACB4zmt2VCZodysn0i0Rh
8ZortRFWS3ElGLa7EPc3nvreDnYVAZCknyqt0qBUS/VUcgowryWhzeXtrdybxGmwfUi08SZ98lKo
55aCOZzL8574snI7lzV+Bx32Y46z/KdXKqpx9BBUpSCS7zm9kltP6a08pbzqBlNUsFUiRyIjEuLF
DKXTym+Srbyehp9c6bjmztDec68vHquqHa2tiUFvr5l5dPGqGhmYEoQ1ShpWKZFYo+RiUym0T4ce
ra/qpiYTCQ2h4MKIzLgS4d9B1Sz7qbvp0DTpkfllGBUVkYGdJgyO5iLvzSojGcvWqu5kC13+6pRN
Oulr6yXRsE5b2dLgoo4xVCc3b7WzSP9a0Gn37Ny817ayYVcofIfNdHNnaykhapg9HXH2lX2bOxba
qbi5ujti2xlhYCdxAEekGa2MKIcOYI0YVUvEaFBFmif3doa/gtumcg5ZPXaPvI/s0SCdI1FZSS4J
rfZIeQb2NKCIm/3cgJVPsTlwtZvCLh598qOPLVbMceUp//oArLYg3TIBQ6XythMwjc09m5Tl/T9m
w2Xb+/cb7m74GtOv9vf/sOHy5/7Bt+Puwt/F8kjgnuejuvwb305HEgsqInfqvdiCVf7QPzZc0yZZ
MVAsPMU/8Pf/veHqf3GJg0PFyV8F20FXnf1/WXBvfxUc198WXGwxCOA8MpWIjFRJjjoa/H9ecEcQ
db8rCvqNSC94KkVX9psATpWwaK3Rm7MFmZSv8iQ3ISAsQphp4DnFGjj5KsUjdbLrIOACK4qIEbnA
UbPiIOkfmQqD905B1FpBQjhPY7GOLOmEs1fUu7o2llOr4O0xZ5LvyYJTng5eAPou6xfRdxyODgbd
YzOk5SvHnbYNyqba+gpPtxWyTozueM7pXtyneu6ERBPQptvmtGtSaPMxFUN0xwhnrRyMLTs/B71v
4no6zgrRdxW2XyuUP1F4Pz9cd2UrDgAnC3V1IKbhGHS/Iz/osEcP3cWg+uaiFJxPDbjaGwFg0apf
ovxQK6qB/ZTezAnNTL/FI53dGbhiaYlSFIXf1vbzlNg+l2clUrWow2YERba8gHvAceik8SOr1/Qp
pKQPFqRNDUsLKZ5EbqaVqGi5TDQqWNokTXg1Tv5mxvSW2uxsK6kx77oGRtEuqKq9vkgCJIS197Ul
OfAhe/tSUTdI57RNAAFEhm+JJFKJ5dpF9ptsnEiSMSGA6LwffuKs6F99RQ/F5pjsRiZxLhVFH8m4
mVSZJKQSQ3uy9aAf4TpM+b0Mo/HoKEKqU9RU3be0QMloDgtiObZAwcUOAg+K8UZrKYKLB5x0GtTk
+9EmtttUPFilGDGvoHF3dmDJPMWXNVLX1x4jyF3QTRAVtk7bFT6qbRVFEhOzokl6RPu6IuGIZkz2
w6Tr7yr25lCh893JuCdcWtb0iQMufI6ZWNBoGsm1xVUVOlPufyJ0FLsMS/y+c/30brIM2pTsxt/Z
MypOIg/lliD/cVUBZR70nFeFFIyeF37WvLexVJkOFNYaBIm4ipJsiynacbGRg6AISxVmhnYDRq3J
JA1bU1yE3tDz0Q40QhuK9vRoT10nigqdl8pYOwQL1HmbhWDb1caoy2aXqPYej4gKvmhascpZ+4A3
4k7PXWZnyFcWOIE5cvBCJP7xiXDP6OrxOwMJqosNimo+czExyWpccs2N3yUDAQ0gmpZNp/hfpG8T
zo3EA76Wfr2dxqXemgO9g3OM/EDaIykR7myu0cBxVXG1jNsORuLsUdF5Z2nuvG2YmJ+WpJo37GoN
1gOITeHFycYbomgXB474lnUjjwlcDfNuVe/9NJu3PFLeuRsd885ipjjEmBHY3QRlPFNnQiIGebwn
5r//5TZWEKKczPeDZmTbsho6jNNpclmEFj+kNJ8dltJpoEj8ie+xo+HULKcjMqglNKaieSAgMg4b
UTt7gIFkBYbn7mbTpaci6cuAMTMaSWYh1haHDSJWg+3yN/QB6ke97acQXVT8WZZ0XeNRL54RyxbX
1gzEXZzQMbzqOlmAjPAd+HRC78yMXu/UXJw36hOni2xsqp/4ax56Kt8UWlZ/EsrjbUo2N6R3fodW
JjG27Zg3n3Mn62tnl+aOMxtlI6zN8ONRRteT9JoNxzzQ23daOaK7COr5R7N61IR8rGGpD/ObRWTU
rm4Q05PYQl1LD56/bjikn7WKaEazwtKRzr4rCVJkUPRmqqNQWdNDx5DFKJhSWZXs577sjv3oxL8S
bP7qQc6rQ8SmdQaXaDYVIT13U+Mvm7ycs0OdZvKL4jvvmeojzsDG5Dg3JImpAFzaq0neyP24tHmB
XxbUXuSFdo6QZ/+W+GBQOUnSMvCj+O266gIVCt/kd/BgFbxn6r24SgMeJf5Lk3IHQFv2+S7HA7Gb
yap4INnHuYsE1bLs6Hwckxy7U4pv90NQ7LKSWJvfLUuvEFT2SCIDHRI7XuyLVTT6jsGaU3ZwWzKv
ZjwEa1oB7X1rTDriWadkvFq6lqnMiTOL48BL+l/+rNOvTYM4VWqkEl5yJbAaUFT+apAJX+wpSTAK
mCh/WlU51niOtZelZ1GtVWXFsaNb7E7LR/2CBB15Oq+F+7auqiuV8slu4pWu9QJ7MqYI44p5mVW9
kxOVD7YpY4bZoiAfcGSLbSufVw1NFj8FppPdeZMpIbYd4hhxe5uP8dy3FHaUbHSaVws0lTQXXIFW
SUZGulODY3QoPSo9fW0R/IUmbPB9nPhTH9bCoTqayI4E3ikiNx+VSxR2ehfgeXBsMGZo9uUBH2f6
aFmoizyCORGr2pP/Cg/v3k/0q6C015sdmowJZKoTz2UwzfE6StzmY6IU5NVKtNQhjEULrvh47R+d
9YsCCoJpgWc7PFvsVPA8o+0fAkO4x66M7P0C8rO3Tdu5RnaOHQ1nsX0NuDEPSVS0od7n8X0Ud+Mp
QeQxrMaZp4T3Xq9JvyLrhH94Zv+HGP1TjW6wg84p7oqiKH+hSIofCWfIP4oyWt5nDdZc8AM5MHEU
L21QmY/wiuJjobogbO1MXIahNi8Bt/CVap7sqI+YNbxepJuZJl8QKQpn8F3pEfFrzugR0DHYe8PP
028rkOTWVJlIdxq25kPP4/KL9jjny9E1Urf6AkeXh1roQGRGQ/21SewDKjO3QGqoZQcIZeaDofTv
tdaq9nOeGqeKboor+sz5AiJVPVdWK07KPk2nQDElj50+l7jZsumUJZrphl1d1h/zpBJSvSjd5agy
EIcUqN1Xi+bPT1h97ZVJHfQDmlznvvFI+s00ZX0TLCtvtjdNGy45UKEmrwH5rd7aVnUfrDyqF0nR
QdNHuDK636CGQ05cf7nvtN46J/G0fC0YD+3VBBmJ7b/GhdsAzd5PejG+Wnj6N3PSZN9pudjHSm87
duvFfeMXgJahmXK0b7Nxv9DLchd1Q3/0qry9Dxh3Q+IXyt/SiaIfwpWsrSHhaEHojSlEK5huxJRk
V/b8+I00o3o7dLa1zUjlXjuAUHIdOV28bGbiAsgJD8wn7BHk0BEHEqzZurBa0grz0ppN/VVgF/z2
EvLDNIjv44yU2XxZTLw8ftjUCACiG4LpKjCTsC9wzWqyJ+J1tY7hEuP1WxTk8ximMCNp2EmbrkCM
4ckn/4L8dtk3H2cjJjlalWr7SFw3noJYUwW2yhvsqgDYSkGxaPXm90bBsxmLMZcbkC1DtGoAV0Cu
vGG6pYJ3m2iyvgwugBUhCiYtkePyUBt1Gkpo041cyIrMFEpM7nGysRVyrDHirYU5WB8jhVEqphzN
g8KabYU69wp/lgyevzOFSbepbzxIhVMHQ5afB4VdF+oSmKU9Q0OAbONDtUI9GtMnQ4+D+0kh4PU4
pZfFnJZtpvBxp4+AyrM81olo5LIYcbqufYWpBwpd7xXOzng9Heob9i6i/h2zzfjWKmQeYWS0IhRX
25sKtzcUgj8norpkCtXXJZE2rkL6ufWqHaBa/LUoHoD+0mVH1WS6FwQhYZWBLyCZrPwExrfRAGvu
2RyJgnIUw+AprgF4BdrB/isFcaMjIJihJqBAoCkKxVjUUUWlfHXjMW6UBiADdNEQdNW9oTgPcKD5
2afOw0OuACfi1GjxyP2GKelACp/6G32CjyY6MAtCqugUCJ1KswnubOSnG3IF6oeimfw9nVnFpgK9
fskVS8MxMd+3czztnK7v3zUJm0PyFVcCj846UVwPcoPhyeV6BUbUu+G7UqyQM4BXxYVlvhFsXv2a
8qq50/uq+Q0yF3ximXGpW6Ltam8OMt4ZioCqIeKP7jy5Zyx+1td/CmagGOR/jxnsh7Tgo/h9M/Ir
hvmvlLj6Q3+jxO2/2IbhwvgQiG6aGOb/ARi4f3GJZ4HdtkHEdSjzvwMGyhFqk98AHBCwhuON/zti
YPzFcRz+X0ADXOtMI9b/CTD4F2sngAE9BmAGlunZumLf/4UR10goSguGzs2SSonsti32BpjrMcHM
uTZi90/bm9cEP8h6TMyPKbU/evjqi6jS9iGb6uQd0ix7n3LNPvO7wxw6+9NRODxWLerP/YIAibXP
JTYe33N3srrqj9+Z2o42nX6N9LV8bTiqNp6f6vcectNQwGI8FinpXKs59+twKPX4EknDfq3lUH33
/uRsq4E4NARwCes9iPxG85EWQami5FwDoKUXTSTjz1R03YYWQPnSOY64SAlAaIE+XsgoYNYyMs3f
9kEfbQajsezQy2DHiGCBdLAJBFszn00HPsBh18jEeu7FXO5B3omplEVDeWlA4EW05AiEaYj40EVq
hyWFW/lqofo2pBip25pVahyWxUsgiAvt1Hb0/3RxZHzp9C+GZGtpuGy0EUlhJghTaZioQfORoKo1
1nCIYGvI5ORW3dcmYt7K7695Ly+pNf8Mbf/EzVpckXRph9Gxkt8Cv8c+IOqFfq1xODZAi3yE2oxr
wNbWvhT22aq66hp5zX23WPKiuQWsdgwxw2CJVrMd4i355MGrTszwbqbGoV4tRTTVaw/m9XtqO+9d
ij6571xCFbdp1dQ0FpGJDsk1GG86/CbCnNJ9HLRJPwdOJc7D0HIJ9LXWbbvAiU7U4PGp9VG/1VKP
G8SqWr7h2l7XAYJPk/gGzG/wUI6wunvT7pYdHit/XTW0exTo6fdanfthD8axJ3yMaq3CSe+NNNW3
tFDQAUglx/vosi62yfBeEjQZyoxoRkuXa9ub7fulIbA3Hsd1zqr02AFqbGoYpnmVJvxbQ2QaoRnU
+hZrcb3R7Vqui7ptD/Q/Q70VbrQhNl7sqSUgjybCb3GuObEB8KnSbbKsy9aDsCnULALrngRjO/Tb
tnkcCUe73D6D1qja04zN9cDUO90tNe98FkGzIRmNPIPFd0+TwcyFgvCU5lQjTuP8nUfiFRDDAt8J
DiLmW/UMesUXo83YyCggbkqmn2CM3qTtjuvebus7fXLsVWLx/WA+7tYi0smm6eP6cdQ094fCNXy5
U0blspm8cbPhIsPEcjANU4bUFxxtv7f5bNuBsmOk5NOSgdgY/ZV552tkWOuS/ILgXf/WHRZ3Z1aN
D9SDZ/ovuPp8NwlI7JhUmKARz7XA56JHjjwaBgiZU+qouf10GxMInNndIzj3h0xgfQUf47pOh+tS
E07vkcyxJoW6IkB3dDekEHhrm7QECPro2C2jFUZEyNGLUJ4qGr0wfjp/2PKZ4SHkKdFTv2pUsyI4
8aDNGxqAH928z9YLJu/1wO985fLiw3gwpy3c4RUX4DHOO1ybBlmTNieR7S5o+vLoe/Td/UwGKioc
oCCQ4XRTSut97qvl2FQo8BEb3WW9eZek1Ued2MdMmMxFxbuv53g6vLZBaWoX6PfKaA1RyaTHIWOA
wnhDuQuQHRa5a+1KwQEgzPa16onumutMhuQzm3zHFpN6bgdfVMYerWBeSMTt6dJs2GLHMTnHogq9
PiFz2OQdo9ScK/PcFM1vpvC7Zcz2pOM063aaTtPkH8pYO7hOml8ie7BJL+FTKnvbpXuErhgiluP1
aEJOMyqUq4GWdkahuKAHhjzFqcCOXlQTGn9TF3eILG32Trd/Hr0Yz6GR70kEz8KMhMismNVpZjxo
wiKAEuh8Iy39mxZkYv4BOjd1MNPYQYD4OuYcAaWh6w6VbnmksOWXTaJ2WTufRdwxijkOB7M1w0hH
Vr3GFdvuMb7ZwHiWu6elBUdQK+mT5po5GPkwrGy27S1oy3NiGyZGHERWC2LQDZV1tHIaaHDHIArb
JK9xFPmAlqZ9RoaLfYJMFhIYsy/Ttj8Zp6gyLScgo9SrVl6XXHJyiAgq3ZKqeV9EnsTkP+M88kS9
SQombIxFdwN8F8OujCA1aeuJVdeFLOIXj0OQDANvSzzoA/EkZwKp9ZWrJFDT4H1lhNHDSBftE2P5
Q97F33g+HngqD+1iY5UxnnRvOWW695tssl8tNGyD8NyRSb2udadYm1Qatpmx0SLz7ATlKxTpc5I3
Dtqe5oJA+yTr4CiYRDaek7+ITjzOZXGxotkHKxHFhhCq47BE9+bUtMeRIssd2VnX3pVQhzQHBtEd
OYgNv3VMZKYLRNfqa73jS6brEJoKE7XhLQlBIbJfWWZhrhPe/WpAEWA65sUJCvJukNrTdXT1o4la
l3RQojfm3cwU7tqdI2/tJC2FlA1miy7CAm/4pDrDrK70ibinhujona4nL74F0ojp5WBBeD8MTn9u
AiZ2xy2Ira9QH2dlGdKmxsbHs0fspkOkT+TjtOn4EYocHIK5nuLAGUNfPFmPFeaC0Jp5gnrTJzW+
fZ4jdPeLJMiCbHcvjCkMpLsefUAF8ic6/Wkgv201+zSmlFnqhJ6rrBk8+8WO9a7idCdqYYh62v80
FcfAy2ON/ZMEDXnwZHRt8yl99HTSIbN8xkzED3bTzVHJptRUSP0TsgtmUkwn3aDak38K9LTdzKTq
IwsgPoYmL6pwsZoZY30O9EaslkiC4MB4t7alerPcYYuHm8jJhLziIIMESLIA4VzMSETO77RKoqHe
BUSj7uMKNJr7stlMaYbTSvacvoa8ovI0w9Rz/pgGLrexSgHqTFxEZZz6qNYzfT84hNZXzkDuav3/
2TuTJMmRLMlepS+AIMEkALY6j2amNrttQDY5BPMMAXCnWvUR6mL9NDIiM6Iqs4iidlXU20wPcnUd
IF/4Mz9+4wNl+Ri6yH6i+vInH3Ax9pmF1blqMYb9hwsEYkEii1IpNaidV2lqHrmXD/X4IfRsr9Mo
qm+dUQ/4irAYgaXj1Jldi5Cn56KVOYxGKPTLPJ/zw+Cb+Hi6vOaY5pGBEUd9AYao1zS9ROeBtKa9
nsKkDFDKEOb7MOEeOtUJlHnX24SUZS5Sn0FNFYjQZROHxxDpaFMjXyxpnAk3lsNFuXKI4CT0ZXFz
neZFM5YzK5me8ygp/KMhUq7WXd3uS6peDwlwusfoeiLmqsE1Vnd6L3O73Pbj/BPRUKxduOKrsKui
bU3CdJcEZX6WIsQq6jTvOCbNx5blEk3CY7x21HQq27hetrql0bhltds7xgVgLOeX3+P4TPBARE61
YlYKD0oZxhp2SHCAONsvh6ERGxPGAOh8Byc0MR1HJzT/jdmA+FNyo5ftxFyZkMvilrj2uFRDe8Kh
qYc4XE7cxy+TUU9vUZWy368YdN2Ig6Av9R6JXCNFlx8pe+gHmGRASnL9ZVOdTF8v9PxIIl4OGXqW
U4U+PQoEGkNSylvdl0W9ceYhXceTO5B3rfhlezbdwtJDmvXCKtnC4G1PhYbY2OqJHWJ5U4Uyu8na
QZ8cgkNPrGAxyQ7hd200dz0+EW4SEMODztvH8AMWQwUTPO4tnEQiQd+urlm/Cu1qMqxmCdJ3XM9p
Ep1xeKbXdyTbN1XmXhoytow5A9ylwb4Z1bCvZ/XNUX/d3wC+aVPzY+Q5fcvpAfC59hyg1OR5er4b
WEqHCcxe+17Z9TuZRrWci6B4UJXs1pPhFesqxMJvjCgXAePbw6yre8torXDBc8BaW/lAR+xU+z8s
GdIYhYC1YJFg4oIzxdKEWrOtM07Silj0GcgYF/ggR4aKOFh5rhIaDuLokF4n8oFZ+kC8kxKHAUGS
rP89WKlLELEXGceif8V/QJjKI57FYprBVU3hqonKI/HMekmMqr/LTN0gKzrpGtUwPOWVSH66g6oQ
r8BN0nfcP9Y4yHboj8WW+GF0Z3WpuzGuUHKTjBtTjvGqnQrXCrXBEDTS/NmoS7X0ZtqeDMOCtGI7
snsI2sxbFhKp2BplQ746IjaozdH/rjqXx+RQdAxrcwbVOM2O7N3JMZdm8pEG9rBpZD7vEmMazsPk
kZEsp3sxJu26ksK7cVgI+GkarVxFiJP1UHMaZHxJlXphMZn9SBhfn7Mm+FuT0/9qOuBvqgWGhX8t
dVz6uPj693/7Jyira+T/d7XD/YU+CObmf+CqfndHuL/4yBj0Lv0RYgVI16KINsD5T5erD87q7zqH
8wuWL8ABkAt4eT70wL+ic/zKOvyzMQLegXQ8HBPoMAG9jX82RvSO2XJ1MuYVZrD0ZF5v+bO27uYc
NIEGGo/HCo2ytpJDMarPgRUHBi9W9DLjfAbKNiwizodFNjUvo6k/qhC6u4ysbI+nKXgZrktSN4H9
Bn+ETmis8xhzyJ31xhcM2W1ommw3AHqsRFToxRWhhpgNer3TJabZMeNREGNcK5ns8mla58P8hUGM
HzlL3iVr8R92xYg6Y6bzxPBYA9hbKMsbQFyVT2bERnqWUPOw2NLUExRnOyDD78p2OEQeMcbMFj+4
h3e0T4CVJXZWLWno/Vk5AUbaMWI+r67oHD97NGqXCjofUZnuuac67VMsflmydFt0bca2ty4Ki701
V6eY28M6Smb3rHtApHXkfsKlwsymXWuj/Twn7uvVu0I2ECs9Sdc7xWMbDGrB3qahfNH6w6sZtdHO
tHJ7G40QTpKy45ChS3nXCSv9ihwT/EGIiQETnH7N2/SbnRfWOcP+FkLby6FyX40hL7bxxF0yd7wr
bNu6w4ZT7QX3r4WbsQAYCqu6Y+N5N9rgFLqyKA+eUXV3bsayIunH6PYaocI+71EAR1/nFg395M75
ucGr5yu8JKXjEWRtVlh7Ttrp0w2B6s8hVRlrTtdcWWZ70uGw8gUNiQHnREE67aoCcUSPcp81gtKl
InvD3sibXHYe5R7OBUt5suis5DRn8gAc6TmkG2EJIfhQWt0rW6OMJ1oKwNDt7WLBmmcvGdzWgN+d
M2H1N6ew3s0wAAgP6iEP28ck7x8DCgnBzrgf2mDKbc0R56ZN0ft1G5YVxwxjLdMxHZtMTxc1k0Sn
YOITN+MxgWy0iOtkw62IdiY67xa9qzUjh2uv2DftwBjd2OzJNzpLqLEAT974Y7dQ4CX60DkOMJGr
UQMjU+obRs3a6EFPYkV8bGegD0V3DC3jMnX1TcF2kC5A7t96PAydDJYGOw5UtPGIyT97Fb48ToPl
LXpVbTurvTZ8R1TIB8HOGOZXNJk3rEfFKprZQrqFe67M6JQqGPgG0RWzg2XZ8stg2d/zVbePtTJ2
Get30QQbJwrug4FZCPPd0S0ZA7zwkOnkfsS4uMxbDt1gCF6jxPmMyA2u7bpw1m3Y7ZKeD4qSSeA9
BW/3yK1rlvmLplV9z4bowhh2VwfAN2PKbpaO7fxoRveoYuvcUGTDstii07T193wj6aousBCXbbum
SoFYNGlw7i3DfWBUL7HnP06x+yMLeG95UdwNzYTMu2h2LVuFG2VmYjuxllknhf5pdeHAdwcto6lT
d0/xS3Hu6shYuYwK64qk88qL4vYiVNIDIjGmVTa3p3DE6YyBtnv1ygibV1cnWCarllvFdPvXhf9z
TM6mLX92fwbj/prj+gc1938m/vF6jPzrM/NvJN6u/D/L9yru3rN/singv//97LR/QdMX3GQwvZuo
/1j3fj88WSIQqrM5PD0KEDhC/74pcH7hvCVt5pNA5sbgX9GMv3kLbQ5X3xT8XxJ3IX/K/CsnKFZE
Tsg/WQtxQdmsMDixsRdSSPLnE5S1U27MFHqtAM4SSwvD/eB4w0Yyqa5cwLh4mVp8PZIBGyM5txPz
TKhrWJjaBtbWG2ufEjZ+UfPdhMUJX+H0A6r10W3StyDQx6GzL4FD2JzY+i5NceAT11w3XviSBFzg
oe/eioaUC6n9527qUO4C0GKCIEnDjSl3ZhegBLZmz9cDaqE8WjKu1g5ACUyDEDQ0PTGrZkzsU1Lm
FxVSOUn1zhHFBt5LkF8arfBbNGmNCQNiLxGM7EmQKt1PHI4YO2pzmdUJ5SADa4Qiz9tF2Nqn2cm/
INbMy5Ioylldeaz9oO8QXurVNItxVVY1e1MxrzKrOTjY91AhJNv5qL6TzthyXvjNbuy54dXX+SJ3
Ox4USl3MrnieWUYv3BjvgpGXd3wsgNzjfpc70QVV3F1wZ36U9HLgDAvKgxbBmjWmXMRFFq94r/Ot
xxp15VjdczFytqixOaRXKAjinVj1tL6weOCk94KEwm0dOBevI7WSEAncWC6vVMC9WeS2rYHxWw9z
x+O1xT9mKWPrhNNZpf1lwoFHS06I5Okw/FTi0apsIHalWDkRnTIjyQqLCWpqQA55fUBLCokhUh3k
6cBB44MxjWc46cegCqeFn9kvaT4nx76p32eLJ2ltNu0q08wpeez/6CKD21w8m+vJhH3vDRIFOxLG
OnCTT5IachWPzQ3e3QKYhbnuKfSFW178zIBKEGnPh23sTP0a9kyyFFPx0Jbps5VX1ZEJi690HL3q
LG+2XulRmTwFMUpMAakHvOY+UMK+dwtTLeMa2BD4Q0SNargJBvNzjphpMLUuzS4ayDYAigbkto4U
H1/iygveoQMWK/Zgvq8XpWd4t8JXei+cEOpezqrFmOO1i+d9gRf+qdfpcxXET9xQIRyBZ7evR1cD
omoF7yhaxAlridxNyfiV830M34I50sueXI69Q9/YcgWQ46gq6/PKYDRByG0EPp11o9FBy3BaVQo5
OFQURJFx4h8UNjc27O4luY6WTu/+zcZquHA92wIV5N5yyKqlisIPI+lfON4RU4bmc3bSTwqWiEKG
2Vkb3ovX5D+hlA5rDRlkC/EI8J5PU6Q5xsey0k9iMN4bZMC8pwDNi4duPQ80FCqx1YGJi6xk8Mku
OSfhMrf9bOkjkbll/8HzaJMTOs8KL1yyj7ubq2TX0XOuIjZsAFOHIeXUU4eZEMfUq1ONq6aqiocp
cY9JNvA9VkCuBeC73rK3Yd6/hYH1bZJkHevp0fP5ZloGN1AKEKDYFCdALbzJuv2G89iSN+m2ARlS
mgWmR6D2L11r0cFXgErscO44ZnLvWDaxqzxH++dJVXrDh63Q9JM4uBm79JzCuaiSDhtuV/B9bW3i
WlH6EVv+o+7an45DWjPMoE978cE1hpspKG9jrzxEs3+GznrpVRbgl4WhHfkMln4xnfxshAOuzNd5
9lhpBB4tFQW/P6O8T+v0KDr/rYnlBw1SF2MMulXkN/de4/2YvOGztrwLpUV3ddcf2KsS93B4BECC
BT5zE3blg8uOKhPzvAMTUh2cmBRCZrbMZIK6AMkzUrOQ6+iJrJvzNYcwTwHepRjVkVjTksGwbIr7
LuyP3OuwgI0W1kaykGgZIjTZkCXhzw4m90A53SI1qk1eGXwCG2PV1vWRoC0+oistLHftt2riIWXg
y4trDTFgxoJn+cHR8ymcDGKiR0GBpIv/hVydn/OEbuk7jUNryS9cLsekuiRmEO8ouCPAXcU5pppr
E5lRucsmUEfPKulOTDE/m25+GQpU/jRDrLanO2+ajZU1t++1jDFly/AhtLq9iQpMq5HUa1RlmFle
62M6l/cZFJlDgfHIoxyhy+YfmM2feAjSE4RSlcajXsDpCrmcmekhn7pu49RsEKfQa7aEHY9u7Hsr
UyTbbMCNVEZ6Z1eheZuzdqUaTMy3SnXupjTnJ4v+84XFN4nNLG9b23Crwyif3owJOea0HZdQRNNl
MGRi4XFbWiNKTsRl80voifjYJiajcc8rkQWaak+q0uDgWeBCSDdDU+Ie00pz3kyI+HYBzzH7mTXd
LYBewm+D65zsOeGq4n2R1Nwqy3iGOVnzJA7n00zwEbQSD43S2wGXOOI55LKMh98l7AXtdBO4LAd6
thNPEYLMWz3R+BLY6pZ3CyWemlgMxNkPPWDvx1TxluKsWvQa41kVu+xAyDWtKiPccJis//+c2k1/
cKQwFv7rOXWJBygu3mGHfP4zNwv/7T9mVAEL3PKEJe3ruAn74R8zKtOra/rXC6j3t2KI3+IvSD/2
lSgZSEuakK9BSv5xRr02BwkT8RcWY/CX3CwYpv/VjOp4MBik/x/iLyNg/IrYAwOggyRru017mcdi
eOzUCNDZ8qfnAR8HkOmc8hHKt8iKrFThctpkzLEvsRUJGu3c/n0eQ/2JO6fdycYjryFC4bqEG/hR
Kqd1AVTFESxfs6s3Qz35W2ol6ejiun6OOEXvExWNaycsGS3VtdDR1/WDCmd1NsFRt6sYA3kJ1ywG
sGpjE2hXo3STvX1dCxsl4Wg6i+dzR1PFBPStFidKLkFf186PGArhOZBUHPLmq21cGeMVbh5gK+ep
2gINXISWVd2XrBu2uDh81kqgJOzJw6JcOxLrvrIe8qHTG9s1w3dgR8ZDhwkNPGE8rcfE8ohzT9O2
SojShAHTAkVu5XaWkbuWYmiYLVLgZdceigr3+yGAfHMUVWXfmLMyD5FO1MpCtfqMZ91tq0rg5kdp
Jg7b9u5r37q9h5hRqss4uc5SExral2MnqezxgRdpTScv/ZUvZhxYx8ihK3UZ9yoCXlirRwyxxB6S
YdxbSDkScYwoPzsLs163qtJngE3DpoqHuLrA9aPQjSD9abaLjFk0KtZmQ8rYmCYGzVqY+Qdk4eQM
KConKDDO01cUg0xe+UAXT5HVZeuSq/etF4ocJ0hoZreuMzV7w2ucE1eO6JZ3jRUXfAR9iqYMdKmH
kZbBoa0J/xaFw2dncz8hI9t2091cJzcyZN0wCqjVTj+mrFJa5BSaJprHOhIN6ztFoBR7AVEep5mT
Zu2MvfldzRbNhVkoWHfxTwvY3MXpmRKdZu0ndWIuHJulKM6SHpfA5JhchorrlaUOk+BJluj5i8Qa
zDvIX+09VneKwGDHz/2CLHsVke8WIzsOF+EILTauV4YKc1wgxWgHHObz0OBCJwh2I0lAjzuypDsT
jXPpKfdsl9a19IlkLxOtcqzqh5GLrn6plHAPgszNncJ8n62xeuZYRsvhNetMFDOFP3FL0499g2ve
qGHZ1wHA796Tn43dV5fKaqqTERPMSHIwlssx8uSdz0hPRXY8GW9d3cWEiGPM27Ue9BG+kvaWZR0G
G0LM+a7DSPRSlGHz0CRFsuO8izsMnDOmzKy69pTHviWxKOS4C4gxh1C7e2ks3YpLrZ766CaY43QT
MHDeDkUIM8iPglNXo+O1UnbR0h1G8zWMYvOYGh0ozWIovtLIgtGVS4AWEU6qe3cSxUrPyuE1mnH5
HkZ+sNe1CRBxcIZto8cAaqQWB6KjxWPWjflNQiHyaWKb82apxG4XttGUiGoebjnVdm+OLOWb8sMg
WfWAj7DaFumSsvK+XGcm1I2hiyy8YWSjkrlrbmQ84XbNRfFmah9FkAqH4xgOxqOWMnmi/YVCKXTu
SFMEkDpbQHH0efcyTV6VOcoNZlNIYix93Z2Xp9Gj5sayHHp/OFWFFmSiawgoM3++4oML0g/N2P9K
AUD1KCOfi8+cYv7AtUGe3WHhDD4E6D5G8Zw+alzSct21oSQ5Nlp4PbgJDxesJ3TPwu0voZiF+YFd
YMw1zKxvp9SyNo1DI0APInRnX+cpJZL0zrI7mLGg32ClMlFtqqEsGCyL6M2vjX6Jgg47a4Sbyipa
tDcWGY5n7dndJS/Ih4Vt3sIAapioDFObpAFaoC70brxds/ukTXqP+kWVeT+ItEdoZAEjZtPbPYRA
P7/3M5NvVKI9RQh6Sp4mwDxrXDT9yTaNng43ZkSiWn3/1aeOw9aVpTzqLHbQrRSRuI0IX8lFW8XN
8ZonfrnCCuwdMUJW9KwZWfe6friWbtFt59Ly3qo+I//slDnCsZqI9+Y4sQETBvHRs0vuLMTL48/I
MGiIsa2m+Oi1Lh6jKZjOeRakb5S0opqECVV8PJe/cPRM7wWoePpnYsu+raAWbDpVB8dSVslNWTXG
a0W3Xr3A2VxsZCeA1dWVNbyGesqaRRj45cmrhH/r8D48JaomhZTbfGX5K9u3nDqcZ7gQtbNw8pLC
S3jDnB5dFj77RqgOwPipNyoh0Nh9rY+cFsWR6Hy/5fidan6t7i0vq/4eXSXfjasVBwv0upP1xYY7
/6qMqD5R+h5fmD+RB5S0GurE8ICsMzJad32WzvvMC+djl2fGXakEDiWXCAUumeaqfFABeOsoitSa
tC9v7QY2SV9ySg9l+YDTsMWRwn0UBblyxoU2XHmH1dDesXkZWeo6+jm+2ukoaMvOlVQc3Gquswfy
3u5/oxznf7WG+l9T0ONP9f71z8bSP1DQvV8o47wKo/heGFv+aLI22SOCHQN4J4mU/gpI/20shUiG
/ZoNo2CUdWxTMiz+Jp1av3jX/42yMo9fO+en95ek0+vf/2fplBclPeG4gSfZQorr2PoH7JjCZVV0
xBtXDkayVYIaxabKGrCjZnO9y2k9v81+TdlJziGAUGF+Lq4hvLor6a2nG/5sWCamABlk536Y4nPD
BXAf/Zrla1sj3WWjzZ90GslVqYidpcQ9DPCvvQNpczvP5kpjNbfXvUtsiYE3cu4aWETonbwHnPu2
GfcgWxxJKYxtZPNSxB3oRsuVe/pQMMAZRKAfq1HWGGdy74Dg1VAB0xknJ3WDV9/GwIZH2PDPfjrV
u1DV0YvwDXMVCafa1vTyHqqynTZ5Ek1bkh3pS0ON1WasU/POwZt9kNQDfxOKsPbEH7FkXP1BFl2a
d1AnxI5HLCH1NkfK6UM5X2SfSFxP3vguhR5/OlksDm4PKWGdKbN/KiMvMhauU8yPNsfFobas/hSq
jsYgPN7dS9tV8KtDxtN+tKYj47w6iMQGZx0bbbcLxpYGZ/KPAEaHcCyXcQwEiIe53npVbD9ih7MO
aVjY9zk+FWOZRUZ7jGvHRIE1LXxcSat/dINCwUo8DOxU/VgAn6J6KywatsO6DD+QmrKtU0ftR5Wp
ImX51UjMDzQMXhqSRSc3lcHJ1hzWdtY0u7QhrMscXpDfDpX49is8hKsiZ58cdTPnOGw59dYEgSKx
PTjIk+1ogl81uFbbpj29lIHSb7LL84urey7k2TVfT4l29m4X5fxRhiNpGzGaT3jQbCCUjghP8Vyg
vRpdPu8xn+tHn064pS57uXcZUZZRH4zxiuwjNiwG8eBMc2edLyHApccAoOdpAIb9hWqZtfj6svix
AtO+6owUL1XHuhl7FHZZBo4x21SRl94HXmS/zKzdtlSzZs9NxB7QqAr0pMIeHDzMPL0/7CY0noYu
tghgAdQgPTyR+wx63HfVEKRHGNYwNsHinkweA0hSIXHlEhb4WWsr/wmXN+PSlBBbDYU9nABtCKw3
CXKnpq4JOJ1X/NQhdpWFb6qWzjkS8CwEJI5W3x/yR0AxcDaiZgZ6bbPFGAa/2A4J8n1RVy1+04m/
FBBi/4Udp74Z5jy76wuKcfG3gHTpkyHrF3YTmRcuZ1grzXE8O17utstYSG+lcgligdXy09DgUOVL
g8YzO7PGsmi7csPjLP2G+4R2zOy6vTpIjUWD12czphCbGkb8lCTHJI4JNK0XeIQNKKvR6X92SDSr
NJ6bF+2yTUSaregOsfwB+29oFli8JjsFup+I9lYiab0TUh0HwFadt87iRoJHTqOnytdyI+naXPO8
6nZTMquvhuI6EvpudpBVj0FxGiEVGlGr3HUEUfcoqZM7cG1tjuQmILdl8fAWUy93nxQe1apJ3bCu
aA1qbgbRO9WlT4Vl7j2h4LPBMqp3mtACjbX4RBgipWvfD7UIb8giYlCWYoQ449GoehNXkLv5wF1j
l3Zd99l6NPYtrEGiXJVRzkYW3tdlyAW0h/Dq7yWWB7qVqAJsO8RRcP5l2wT2OphZxK0zupAktgqE
8QU1C51e9rVZ499uLO4WaFXfQeEW+6TlquI2w9CvZ5Pb2BpkVPnC+248AzfLm4VZRMMPk6WsuZmF
1fq7Tl+9XfXoiqdsFAUFNKknf9ZILvQjosx/k9ZgxeS1pfnidUDiNrAkhdoqEfTh0rM0rxw+Elm6
2EdvVb5VfE1tOTxVBQDalXRTtYcvy/8lSpxpi9gwii/DDot4JbWQFy0nK1z2ZIIObastSOY6COJl
xYbiHOIr/CznEos8TD6oYAIotwY9VvbeqjC4sQG2AcV+OyRD2mFIpcayCWrz2cfwRWOHir7ROoh1
s9+vQrZFyva3rsxHxuqaOKrlFVw2SUG26JI93100kuaGix45xTAf0zsDVfKNot1xpiWkSfZ8/jUa
Bu3JFS7guP+ZBT0L+NLkCcqJVbVf7Wj7j2ntzFhfdR699WNgwDgrKAOCqa/eopy8AkJvc4fHNN9y
VTFrcpu+Oic9rXyLurC1oGnArB/C8soNwsDvKSIm5iRJxvddh7opq728RlkWrmj1yZXwg5l/XetH
mRRRuPcRX+WqpeSU5ky3hDdbtY47LEO07m9OK/9bT1ennyhVPB6LaaqwhLPpPVY2PZa8WdnYLybh
24+qp764iR3rGwvjZB3EFCj2S4pzxZt8zHqtIYoncq2W5Jpfeg8Wt1o6FOQ0iUMNDoE+MH+Ctegl
rXuq2sE3ltFg928ev+m3a/3Tj8qtmjWksOo82QkMpLkqw2A5XtOnC/QjNhyhHYRibYKpTw4R9pV6
nRYigakRGbcySj21tPwefvvkYG6/5roQ7zvRqOpAP0Lp0tmUBU0crLqo8qHDm0nww8HQ+9jJazLf
9EvZLbwpyS6CxrddkurgKTB5Pa2Q8RbbLQcaRW72zovzb9xEzXPwKxCgc5A8ZGoK/l0+bgWw6Vso
DOk2C4r+3TR9QHxWPC+rajB26NXWpWBd/WYmBYGOzodHgD/KTmgxoKfccQz/iyvs+N+Y1v9nehns
/9L/t1Tl57//3//sYLj+V7+rw/IXIf5G9/3Vh/C7Muxh/bMZ41yWCB6GBObs30Zw/xcJYIAnqGfa
uBsCweD8d/cCKCWwD6i4jo1s7Fl/ZQTnFPjTCO47NuO3NB1+VAJCE+HJP4/gjRYum8vaopOudZCJ
DIOS+NJxP62cb9cCiCu7vqi03UueQDOxx7g+enEU3HEnT1m3xiPb97a0i1dicMDrvdJcocr6wdIi
9sUgkHfRU8kSDo8rcABW3K1RL2dOQezwKSZXGTYjzdVJ3LyFBRUnK7600d6HqeiS/mrUi5PG9ccU
GOXWMgb10xA20cTUZYxAIy7DYwprCKSul4ZrAYOnWujEGa4hDhtsZxq3zdrL6xI6XWWQEO4QYXje
jhY9EXlQEDdkiztWhOiy6UaBIvgqUohn8IDAkbi5G3x3TMMdlSJlu7rmKVbzaHlrWCA2CmavZzSo
rCTOkmoOhHLGas0jrnN2djkAP6SEMDu3Bs0I2O9bDHYDr7Lr9L02Za/OFuo5EEnS7O8MkOTFbaGP
DqDbO2EI99F1tM3C0g6SXTkZ7FDpALYuXuoIFv0iP82zZe0h34BLJ/N5tluL65PON9pOc05OzBF1
HfQveRcISp5A7m6dQNFkpODtc3eJK0a0Mlm39CriWrPJ81Gvs5W2z4OwksPGGtx2G07dYCyla817
v9PVM7P7nC3LIvVvCrPFsN30DdXwmZmzextyCtQan/l7JmpKbscDlFfb8YEvWvLTTECdYhTP1gEc
wO/M9IIPaxb5trKK8AHQAHMPGIOAky6LtiPf2JNzTR22QV4f0qhuHpiY84Ml2mQnOt08GoAYVo1D
nKiB9XKAWthus7mzVtLizwG+xQKRSmKMfGXjPTflbDNTdJEt3aa0fxquX36U4+yecto2ksUkzfoG
xdR/ojAyflRQOvaqZ1vZUgB7yoiuLgX3tQPRJPc7oFZmHeded5fzA15VrEPWPvfWxx5TGwnXLvph
qr44Y2awWRhwqfQr2sMJjLXsJ4zQQzIu69tEMz0s3dIOdtRJ6y09HsWHE9cYIkJwF3dm2Lbfaehi
1dRxuYdpadzjKqAg2pgqCqJMYl0o0tZNzrLiWGYRP9fQS4PbtmnkYWr89r7li7hytK53ON/GJcGc
GIM6+5WnrtaE5hig5HtX03HQRljxKorzEE5H4+ACOlsPCK3FYgTs9jmAM3j2qc0Mt2E8G6eKqOna
AJmJ6X/oKQRx1Ixk6aRHO0OEXgFQysUiGXT6Eok+p0hM+zXCIS7KnTWzMZ5tblL49+gIiKsm1i9E
a1kB61JmLDn6uaWtLNN4MnB7vGRxOQKMKX0RESFoIjhJ2k1/jqZoP2ZozD8aoI93fYecyBDRXP3z
0GRvMoMFsJtBlcKyYFVfcWBOr2FW474X2kQzhlmVIF03CZcbxwW7tISvrZE1qTkgrBrWFZZGyc+y
1NTwsumK6e9h15PrIX2nHgOGjN8HTxHy2c1oT2LPBWbwN2PR6oNL4+NH1FnT2Zo7ZijisrG1ojIx
vdSRb51Z7LTcmIR18AqyCh2r8fOE6n9NLaSfzjCYS7Ba06sfGe7enWuJ46qsnZO0C+8Bbsh875TT
fLYz+ndVKyngdRhVH4y4N/cCWi1fbNF80otCXEDXVzNzAJxiE/ZiJK+eR7u687tjMI/mj6YhatMS
JPiCvlaiw+chEW1tMBFH8hjyAwLs1fdnVnberh0hRgx9PP00fK+9B3DUDvhvCnUqiW1yz2Z+e+Af
opamcKsTDDJvGWC+vA0iGW+SQuivvogktbONjl5m6c+Xsg36DVP19MS8OCtYsEX1FLj2cGhyarsn
yqCPygwosJNV/dx1RkNjHY0qNm/eOKGmqjH2n/IQR6jr5KSnHR4DsYtUXgcvkZmp7ey0xSlwU/dN
NNe6dsDVm9rK3e+yjouTb/cme3/sFFlkqQe70jEY0Xk4uJYBtSzJgXvIOXcXXNKtbxnOzirDb3FL
vNplom9k6bJpCYpDCATjYaDD98bsjfLYBi0XypYurXg10zXznTcKu7o2QvERNECg/TrAtzUoXEcg
ce5kptxtAT10bed59BwB1jxRcK5o3LP5wLgzVFTdma28cTNKyYAeOXdY0JyV1rNK8dSlPIdjblB8
FxKdwTLj5Vn2XHNbkAolyAdax5wKzTDu+os14lQjul933DAVXVN4vXlAYBOezP0YN/aKiwa9WmOQ
/GyC2DtNdmFjBWqLe4r6ipM9lN7BLicS9vBEflrajo6DOdWX0CSNtFBx2vKXmoXDWM3QzWejuJb4
0bhPITHucTnogxnWLk0WgXjihAa5wC/NfLXTXiyzCnyZR7ntTff/uDuPJcmxK02/Cm3W4zRo0Waz
aGiX4R4eHmoDC5EB4YBDyzfq5+gXmw9FspmZVV3ZXM5syKrKyIC+95z//ILYJeQC/RCgdW18Uamx
mOfz9eGx6TBGzJxVtiw19tkpPbI2wrtJ1VbCTKHy6UuyC4Iz+VFr8UJvUAjvWqp/P74h6rO6lZoc
enJgQdnmzk0BcLYauWrewEQvBrvvS8+YDfFyZeNZq4PYalaMJMLpiaipiTq5goqXYbYOV9HKXkk0
fbYQDQrGXrH8lasRXdGUtXJuK615xd4tGjRnVrHNucczahIsgDnEfDMKCJqZiyheJQM2zZC8ir0Q
PxZwH9080ojsU3CVtvTrMH9GsLqdDunT6YatmZ+LSC6Nq5w+xRmi28pMhT2vbOOuDObHKQXdnZTq
w7HW5hTOZYk1FdVSW3sQFSP32qi1y+Ks3g83dfISNIPeygD/iKyoCSuytMTyeMVaamuY2PCAVQ0b
qV00CmMb3MJsvlp8yOFO1+DsN3KB6X7L1steFjPo1wXA15xNuOmy8VuPNlal2pzj87URhkcF87Qv
UiB0JMdhD1Fcy7r32DTDS53BUc34r858mzLsEHCiNDGhtq8idKthqk0n0sb+uVJjjCPTG0IP8zbR
O8tamLBMFN8IosndKzymdV5NeRCFUgY3MC29VYowwpBV87NbRUzRu7iGk9kwo8SwCqXYnBiwCczh
pb4arSfiok5pp1R32PO1n7F2JZ3hRlKRxbyx26xMOYrtSNCaRzkd1IvM6B/moZTOftGmrR9CDOET
GIZ1PcJOVbOhTjwCFKXb5nYTxG1tXPUTNLb3seDO9QB0+zhPG7+o2tvVWfifWDUl27rXE2dSYO4T
/dBsqx7gWm8G4Y3VXHq5GspwxM6BhS8ZkDeULKy23tTyLl4BQd1Q9h8YMRYwoMLuLVaphu28bNJ8
m+FAKdvZJFRrI6nrJwUXohPV/2qDiA1DLCNdiL0S3ySpVgS7E1hSPEICJUQvVvV9Lq60dU8Q015G
vv6h1yJKkVKdPsMsxtw+FcZlO2boZXVduwrwQQrURAJX6aNsD8SfsL3C/3yOEj27q1lTDNrRWMIS
OGVnt8AR661qXOlF6ihHLL+KF66fEBbf0l7EozpNIFsZY5wGM5qYfbtqxKe6IlGoo4TBDBLMYsQq
5ZhOmrkYbxtQXzCdhpDX3hSwklkaLrekWEVwRU3jjh1n3ukVqzNQFMPWuZSUo7FSSNwYRhozW68k
9VVl2LBpukF+wTUr+SQfS/jCqqJjMRDK9FzNYqv/rYH+GP8t+lYc/0Yo/8uty49Fcmub//O/fqTw
LI0aLhMK2yV2uJCFVMhC389K6tGcgcmRoebCzLT/hVA/5Myy9R3B6Q+OIi6/5p9s9t8f5iffGym9
3a4AX5m7CrTL7Alu5hDNTNDg4GkeVLgT+mr7F8f8kUHPMQ36XJj8XJ8hcIk/XZraDPAsRwPnFwcp
ud3Y2VlzPgBP3dUx9X9xsN/dRw6G+ggSNei2JhpLQ/zdzCnrOpII8hLyhSt6kotM6YJllCPey5vR
196zDaGx//IF0sFjdsNxDU2C9PXTBWZTQSx2i1x2/KAzCho/8VcX+Mt27pS+7vx2hf+S0vL/57mo
8qdzUftb81b/Ho5Z/tI/4Bjpr7RrEFnIOTIWM2hwl39AMspfUQsYKKlURTf+NjD9OyQjCn9FSKKJ
pioq2GTQZ/8XJKOD1tATsx8wNpX5qX8JkpEVXLG++wRVVUfgiZMVNH6Tt5SEuR/fUKOoiy4j48OB
M2C8LxE7u94gg5easVS+NHlFbFAs4GijhiWF+gTnzoa3tXrTMMu96yDHXVSC2fw2VFM8cbTrKFki
Xs47wUyo7BJo5S6mZ4YDjmlkViEYN9PHPqe8YKg9lnaK9RGmEBmCPqCPyEuucYO1L4b/pTUx/PS7
AUizQyh9j1Fx/G7ESFWE1aifKS6nndhprBrXZvVEGq/8rU+r+CPG4mU7wtjFiqfqHFNLmOkMZXN3
Y8RKz49i2ZkgRD7iOJju2nE1egNOoAftJuZ+zrWDcstK/CTHhVHYMsnFWzgK4WXIdVyWm/aav9RQ
kM8jXlvBNIQiorLbuIHVHKOdHyMiEoe+eLqabM8GmT5HQ1akJxyoS48vt9uaI75yljLW+EEM/FSQ
iUr/rMLKyCH1qytvZl8A8sqar366dsj7DAytrtJ08+VQMs7MwyDiRvKcHUO4FoGpY9mN3L4pH6EW
jYfYTFZ3i+02Kb2tLDwlBQatAs4deIxW0mqDfa60zeMVbHeiCGDDY1mjP9EiIb8AtsXdRpJuu7Ad
pRtQu5y7REOKNGrK9K6O6CgtkPh+p0DnrJ101QxniHgSTUU4HsnAQh3U4sTvY9SbQFUxr7cHXYyU
PmhoMEUyZAbj0g5p2KAPupWPNQnT3q2S5gfK+uxOrNo8KLKu9MH18k3Fjok9zpCtfG1I63flRlqU
EmflZsD7+zOdoIIh1xhvgdrCeazSMXnljo2jhWCz2xlGKJ1WXYTpQFETo4xUVLkG+J12ZxliP46i
jT4ee/m2DIMJuKlTga5WU2MBj+dUZKiaoVe+X2U1PKYpHZk/obOHYMnm+yWRXdDh7cxgIQp16XyT
kvzdlFpMI+pWKyyRscFWJbgBWWV7XRqIkuAAbS7wUyHb1w8VedFgtDhiM4CNr4+4pWBQIEjUgL0y
wNAcWtPD8gESOSBhssGDJFqvbssXSI4wdVIRRigJcHL7NtQ9CNe1Dk/1Qlqzm5upOBHJkhsMbGdy
s6/SYNJCYlXsaFF8g9k+5FjqELD8CTQc4uPQSjuMt/RLhl0F/cIEwabCZKfHEhuzoNgsAnLMmouK
58jRwGTySI8S+h3DVFT+5XQIi6rc6quu9lBzqbtVfkVDkOtgF9HYESeukw64pFzEaGBueIUwOanj
Z1aWEReCSW8uGn3jRzTlwk7qMJAcx9BcF7pBhuEk7cpueij6zIFbCSsjdmTO625VwcdHW321m6zs
t30vveC0aOCjouYtLvCqhlFStIp8FWGTK41qs8cKD0GbpHWGV+B3XeJe3GngnRHqGiYf8Rd20Ml6
ilb9qYD3ST9mkBjj8rqqzyJJ7CsPoEZQLN5zAsExJk7RpCs1KmQD4gs9JLjRQxEmdW6HY3db97na
oYfRk12tJDIyWngKRRbE5JBhKDHG16ee7vaArKFvvTRXhudbYQwvpAPhUyF3N12yYFinL9Pcd6kj
502Lj0Nhqq8zxPAtOZ2hG5GOoTp4HpvryDTFfaWLyNduC8wRE8sUrnU5zO2qTidnANNwo0lLt4Db
FMQ5hrn0GkblwAqXLnUuqG/SXKovCn4qetDn6fwxrxQmXjoRnAgUyitiEqBSvhI9LZUTHqP03Qx5
56e46VE/xQPYYxG2qeREdRg/rMpSfC0ph/ENq8LVc6KK/RkiTv3Scf+fqnoea/6kg1qt5ESzEF05
qjSO+M3jRBYeh6HvTvB0hb2Yl8gC+2nsXjqiBn2kswyLewXc2xT6kPaIHQhIGtY3CIKhdc8ZMdEn
YwzTwxwbxWtd4L2DH+qMAXHUNoIFLt19QdrLt2WjyS9hmofPIm7Dj/96ifT/5jBKpez47wUL/14T
41Um//kf2VtU/OXz21/Ob7e//Pvts/7P/2j+919IDeuTz2+3j+TtL9PyR+0bClz0t2gcfl8xLUf6
R8XEPIpPBc3jb14UsMX+q2IyxL8aKi6eGIf9JnxYdLb/qJjQNxgqVhUqpbYkGcsv/PsQS5T+KmoC
4VT8j6IIyr+kbvjNouKfLQvzs2UMxu8xlhqbiv6n6lqWe0zWyxEFPryWHbGqcm/TVRIn2+3Dl/Az
wfT9HS7Dyu1tIi5luyJWfI8xbGF6KgKk7Xe3/I9aqGVk9s/zoZ5kQCeh4aIWNIk7EX4SBMu6WnZ5
NCZeUntE6zmJS6ut2jAjsA7FjNy4m93CSfAbszvtJJi/OP5PYZ6s5AZgPImOpiZq1LI/j/RSWUsK
AMSVi5PFWnLBjvzUEa82MVSuaaOlXYtft3vxrTnHrxgM1L9oVJWfO6zfjo8IUkauDTKhLX/+XYel
0VFXaT2hAfR7Zi6Ej6OA2+CpvCQrEEZL7Ej2DKNXfUIwOOCJQ+y5q2EIiJOnid+Er7w3Z+1mGV6K
iZQjH7EoK78pT8PTVLo4DoMklfvEsNTjeJcNdvgqDycYU2fD/fMHKf9YiC83UiQzRkWAI2LSwjT2
xwtR2ywRh+gWeaywODwREuzMa8DGbEWKxa7sPVW3siex8oaXaKcjR7X1fe/KLpWS6Sjktw24z3nN
ahsejEP+JP0KEpB+f6c5QToZWROBBzT9p04BCgK9wswJwkB3FBpnuSVmCQMJG5OMJUpppzgTvvRW
9IBKZ8LmSLXEpe30QhJqsEO8tGHw5zftJ6nR32/ad+dEd/X90++VtgVsLyKvLE9gtx7QnNO9UC1n
X5yDYWEb5t7sX7XYCyzx/Tf326P67qg/vXMFOlKkvBy194wNOnlf9he44lfoweLh87vj4P0kSTqr
Dm3fT/BIzRB1HPAp84QT22HuNJrVfoaIbXBdPPdb3Z688EM1bGlC1GdNjuzeNjHGUBag7C9u9HIj
f77k705FX97e7z6zm4xF31RUWNPuQZ79nCA2q28tdnDH9ENL/qYDhd7/+UH/4I0Dv8DLCM4uay2h
TT8eFLKUnEztNeWNG1y0KdUBgPV1dVfc54/1GoMzN99DRLNHt05sGY8YL3eEd+Q0ifd3nOO/BcR+
B1XxGGjTRJ0NBE4ElOQfz2VqlQkvwN/OxfCx4dG3BmauoRNPVjk4S/SLT8iKi0y/K214AU3pFr9Y
aw1xWcx/fAo/nsRPN6SWw+QGSzP1Grd3ZqfaIO7/Eji8qz9IGzTbjKj6I/Lj+5Vp4WCUmXfELYhX
zEVxUV2JX2LllB/GbC2mswOtLHEvNtzCfPE8tFIT9fXLipCnjDzHXYad2XpU3eSgneS7mraPWlHe
0MRT3EpfAIR2pVnjTthIhE856S45hH57xPGnOtRYpgVYphD7uoEwnK3bXX3MjgSLi1a5nnfmlrhb
q8I0oXZRftMt2oQOoUEK+p1UHhqC8Sh8Eyt8bA5A0t1jcnMZU5S7+UMCwq2D+a53OAcTuq6V4py7
0gL4cDLM100x4A7LmPrYf8ST12dkfQRoHiDQDZZ20NwJStpWUq1y5d12o4On9o02z6nur1u9XRuq
N2WBwUgElsrovA5vgnwSY3BJkoH3GiaGABzmB7w6xMJF8izqn4Sk087lh9vxhqFUhEx4p/aHYdyX
FT6kLOaOZjhT5RnE0EIP7ejCt6nsaNUhCsLTBDvRo/mwx4CmKHqtIdn6eMwV+6y1Ui9ufG5m/BnH
2N0SW7WFD4qMLm1JcOK5OfRUeWrLd1D88jfcCHpo5iDAwj6m+2IielSP5k49U63MFMQ+fFDycvEE
Rm7e22gyW5dAzcl8Vh6lfgeFlbUFh8fr9agWztXOtgz1jAfYDPW6zb+MyI1Xbr5bvYU7Xvx8zQgF
M4bG0+/JYShoCgKMWGO+1tDHnL8a3dxNvRCp1NXi1ALSRfogtqsDCaWzc92snm6dq0I+s+v3hggo
972D3ReMQRuM9/Ope/42YwRqqe+VJWy0TbuuNjOobfV1fYtfcjfa6AyoUtv4nK3+ofOxH8Dm8bLk
d6nOTXAKX9at3MZM1l7lNo4Y/pRaCZv8SWH8bT0UmT+b/mDLD41LNuhNdcddcyG2GsHpY7fHijHB
hPNe+pTxBt4U9nv2KYaYkfGaMt8Jouta4utvMP6+hw4xm5eQV4LcC7yltPum+cgJFw8txvHUIVs5
qJivlCjN1tGpfepQZGnurXwKH9ALxMRfHleXGVGkozhGF6CAVVzUZzV390XilJtjFQW16sfXO+5z
jyVJiaLeqZDbWLDc9ScVW0IGURsA9PRmm08YlhAgTIwSy/RMt7tYeQa9sTG+1XddHMihjV4VZFgZ
nqpnXDGlc+eRSXxgCQ2UIIFjqjEKssPn+n64U6lq/W6LHNOBt3uXm+vWlfALIKjXbTo/9xG779vc
0e3rvg5KPIs9yN/kgNi5EYy2eNJ9whs20xZr+bu4sjGutPEgDm15bYJK53fJBy6dxMBWNspc6Xov
KqdyQ2BKIVFm4MrO+UPM3cjSvjgaz7r8MJbf5GKbC4c4Yqy8nTIP8WffXyLpUU3PXE8LAYVLbN3y
AL/yY5IPQrfGe6NU7si/vuhbAatxtHUGvgqW/hR7qjtIu3GjTtx6hzHMC7NAWDY7rN7Xo1sdETtO
2LYMW+xF2mtwVTCGdrIv6Sweajd/iOAQdfdEyqq2eLndJ5BD3HHlSu0mNhzupYGGZM0oMV25RKhp
eEJZwnryOoltC++c6Wx4mniM6rs8ccfHFRPlYSfkHqBqlgXlW6Z5ZkXVtybjg0Cw6CUTg2mn8tbO
GMM4LhBfdmiO5eKA5mRoLKGNB/KlPVyBPFN8J9BbYrFsSVZpG/fYrZ1y7/p8NQNCl0TSO5z6GzQy
V/H0U/fRu/wOt4XzhvFKgHQ6tULVlY2tuF9GFiQCXjHg9aWSrAxbzI8LdnHbdOBGjNoKn8F4Za7N
TRY0dyTBXj8G2bn1qD/conXRH6SDw2y0d1WbuOLVUmLjyuMV6/Eg2tVz/iBHHjiFhmvRvj5kb5oX
6/aMD/chPQxsCyfVp+Z4XuG+tx3OVyfB+Rjv4tCeCSWpt011rqCER4H+Qsm5n0oHmYY87htjHz5h
pGYtBm6qY0aNNahrXQGudFtl2whnOOrwiv3OA4cAu04PFXrBIPqIN+W39GS8A8l0D3q+qW9umy33
k5CVx8GJbMQy6+lmKbvaXo1+xDdXkt3lSUWgkqxyZyrWyAdEarbiILSVUqrktbFt1rj0+pPPrQqg
TtAikhd3gKJeOmwK8icD4vAgvGe+uZs/i3RTPJlH+QWOgHapB+vPa60/qKQRZxmqgNZKlUWGxD/W
N2kzS3k851jPybbGK3oW3yNO+8QMuXxDIdmdkdAGgNH637w6//vK6vdVLkcG0TaI8mQSsXTu35eW
RpolxPz9VlklB9xGXahAx8wy/cKDTvP0i+tcupQfS6gfjwbZ9fujpb0szXjtpF70ln7qgbGR8W/0
MWjd8Txz4X9Sxmu/L55/POZP95Z8vxKNJbZ+7MnjMd2NphUdMHfcER+LNfMSxbYPL7wE46ZBkvMh
fuBpgx0Pdc54hOL51Kn7ZmuCxleO/LwwjQJ5N7wauSM+axvZaS45G652qh7To+m9Cl/1OtwUm5R3
3EosbaMdKurF0IeP5o7BXcgS/5jcF9sJ75GvnKbCWcpH1ctP5QNhQU45v0PhIhBwP/LGe73bv7Ez
fGEJxH9sTt0hcQv7FnSe/EXncWFB9dst5i7DXnTYHaXGY80xY9J2rf7TeKteo9foW17YbEkVo9AD
5sfLXadgf0PNTbRzv+7vQO0oqijy2gTNr4/XD/+Qku2e3GuGPe4wq9+bB2yV4Bh6mjNCLBvx1Xel
l9AjfeDt+mlIztx4COfCs/mqnCVSn1cW2DYSV+kYk65Vr9n3We+SY/3YPYuvbIDQFtx507+JmzAA
rrjD5bHZrw662zmTswxMK292Zb9cdrvGGZwZkYV9u0dw3+vOtbhjI9BxcX5juXciTM0CPLrd+h7N
8YDf2n3+Ym7C54gzwW6ACGQuDZuhZ5ZJobdW8kZ/E0drHinRLR1aoOHA4IGOjBEP9594uycK69Vn
PNo9cyyKMNzVMKu3a5a7xDNfOtHtBzJU+EEQ8/jqj8p5VJ0SFxyrORuC9T8YLy8v6599QD8DYMtE
K4JtTVOKgmlwQQJ8xA+QUPTtAvlgo4FDK2IeMvWAU/7lz1cFehMYbQN7m+BNP36+jdznMb6PuWee
E3E/vUGFcdle3VZ+EBxW31+P05fr+fF6fzii+VPnm5Qky4TLEUevqWwc/D1hdom1xEM+SD1kMVjM
HUY+RTd8+nXf+ZNqdUE4SBqCjYElK+IJcKEfLziDMB/rXUMqPbzXAtcgP3ojiPAdG+c0fYXNYwnT
q9BfKI+gE7NlWumdfJ+svIoI7tEC6YJ8l5Pc+dgjF9wNSEHSBSAsgEpEe2bTLN2IN03ajtvoG24Y
d+TAfhHU4lXnqT+u1KN4dRGJYAxLnYZxXvaIhImOo/zFDvQH3T6O0LJECCP+eAJuND9e6Q0hJLSu
IQFVKQ43P7WXrj8x7e5AHrHb9W60p+D2sKhwb3sjdq4vKW+YYeN39CtY6fcLNqeiySpjdkjx6FF+
PJUcZiZmY3JCjxod4qPuVRS4iqWfJE9wrs7NDu1fvNe/R/80XmZckQW47Qrj+B+PSGgvHgBEGP8G
dRBzuoFYCqgUb34FKv3BC7XkVUEeUgioxizop80IV4lcm+Yw8W7PuDbcgA4qB1FmHe6J2EmZuhv5
1+KsntX7ZnZnsJ0cb2QLm/OosHtcIUpsFj0tcXUsbTRhq7Rkg1gkGdMZkVM4+EnniuK+kHDr3cWz
S72rpsHUPeRE8gCQqF47u0OPdNVKHBjR5q7+0MJjwugdxA7fSiwKoaMDn7z/+T2W/uCpigoAq6rJ
Mji+8tM9FqQ6HcqJEmcBMHFc9MAYItXD0+C+oMHY0+zCnd3h6ryKbQjmG8mj0Ltcz7gR/mohk5Y6
48dlxcQkDXQLvjsovvHTY8DLQEbmSKUbXmKsZdmdDgbkvuB2vN4T6dudilfuDd6Zqj19XjHHUb0r
LvU6wrX96urXlxWVAVTEP79Hv6HMf3ZaP63u8aRNeZNwWoofBd09fMGXzk89+uyFSWG3G9KlG5Bm
mmTUsF/TM6lab9HNrk9w2G4+64Oj3+kiqLVHGSwcekJr1+Zauq+dX30zf7Bg8J3AUePLkflapZ8W
jIHEg6wa9chjdD0Ch5l8o1WHkcpDLqCOeOXBQoykZKHFCN1Q/ormg1KdqvJFdLXajyoHAwz25oqE
rT+/jSJg8O+fL2cEWA7PhJPUf6ozpy5cVfADYg9bpC8zAqKLy30fuenayF3ylMLaMpe8aHQNNjmE
U7xHwbIq79J2DVs2EYPh5iaS37whIa3XkUYZV6+12cYeUevuSdJqFTvC2TR3lI1OekOIK4sNY9jC
OjzC8/kFlsD0mCZui65hdATDhsJg1uuOAsYx0FK56rtyAZhKCDh5yyNvBq0T98qXafp97qGf0DNv
EoI+xkTaxmi1/WwfEnAsrE0x1wmuh9tu2pQ787nnRO75K4OPH16o2XB5zdBvcF10S2whUWvgTgmU
4JsfwGoD9NAcCYqVPdQQ4RJrdYezJHxIcnfEAKpBfH0BylBI6XBwQvRX6EwPyAEGfavP5yIPKgx9
jG2un6+ao0JLQu3OxoS71DdgreJQmFy2oll16KeDT1oM2mX8wkIhmLNdDDej8EH5anpB6t7YR6xS
gLJ8rmK/hHJji4i7Zi/uN6YV+iZh66qlnKSNAvaUAerSBwHCmRbA21xY8RoD1W4jbGjZ0JW+NYkt
ZZtasobYXp3HwromNr9Tk3yAIxz5PrQFbPqUrfBUUkyXtupV1QHFMQgiUo42t5MbSaFWdQ+QmMyg
n4JLmfE4ufJODEJ+wAKI9JaEcWrU7gU7RU97ZH2uWXs3z1XQOtlDybfQrylVqgNAUUY0Cq4vjpDZ
xN661Z5YCLycbnj+dG5rBuRJS49Xd3Vf3imXfg3ZIsi88R0m7gu+K9WBaUPEQMzrZkuxy7XuETW9
v93FL5otdE72Ej7Kwc1h6Faa6wbVJ7LgBLo0PorNs7lAzhiI26aOz1SQNoC7PJP4g6trz/ULfp0m
+jN0EIjjXHW7jri8cZOdyZU5px6hRKonO7F6WSF5eO1OmQM/yr9RaAZ4S25FDnrG0iZ7kN4Ed+lb
NF+wcQN2cnfcElaxbdfhqd9hd6vjtrXFEdyu74Q33uV+3X7Okn0Nxp3uUfLXGsgf8HbLBcZH3rDi
YHqjg4R7QwGyesKl6GX6Fn8QPtN8K8+6t3pXUw/jhySyZo+cXuTJXmfawqNE9va4oHLSpUCQYw2v
RGctQTA2frTNJTrNFvMyGyCgAZQe3Pkhdyu/uEBvRzTnTd7k9Ac//0af49INMYqMrV340CNLKlGj
ExOyoD1q5oqHFYEAB5Cq80cFUBMsbk8EDBa2sOcZ0D8/8xAd/PGs1ftwKO+uQfMWben2OlfbM6rd
JI8E/EI/9/JHmUW62RYBOze8pY/5RfLnZ+FeUK3xDrek0M4uMr6/TiGC4DDDNVx9xzC39TJE7piu
WqZ126VrbZM+XzfGOn9GFrafTmxQ9DVO6XTurbcmH626M+9avujAOJSA3ZDdLY3Tid7m8+xxpwTH
OGkbME9/8MMvCuyj6o3nYQ+rPzkRUJYfROfqFj6KGm1Nr3egWzrT5Q7HcXNMDSBOK/H7Tfuk9Nsa
Ag3QF8k8s88t9m9eYTUBPK7Jmh6FffQqvfTbdXWKHW2NretMAtk6WZu+7Gof1Q7cA02ChS7+swCj
/jpefZX8qb3hiMF4ro/dI8tWIFoPzWWk6YsfaRBr5imjRZNqd4/SY7XRn64ArNTYmdeWlgj+rLrU
FbawRuLolF/Rnrg+x/RAc8dzBcQtLAtttel3dNHN4+0IuW1+0J8BM4Eorc7O9rdL8tQ9fRHhtcYq
mAqqCZDFWJpoT+8j8EEw3ePtl+2xt+02jCK+Re/1YH8lTndHqJc9gU6Oe5Gjt41t7DrPrK3rZZnT
Nzs6cQejm4d8n+y6/fWSuLFDl+5d7dgT1up965q+j8ze6Tzkk/7NFbbTdvUA/3JJ8Oq96Iz/a7i9
fTBWynju6yKIDrXDPJ2nrEZwnhDeWrf91wC+te22RN3sm0cV6zrGFM8Icyj8R4iZL7KHQ9ZjeNFO
DJ0YfAZltdb8hVswBtVJ4a4GfFniU3leHRCp8zM2pOohuVc2xYH6MzBx0EDnaieza6iWfF5Ec5Su
VvoQHYzYVk6oaXtPXBt07iN4oU3kVP8cLYlO9or84meTPak5TJt2p9gVT0X8mCa79jAE8brH7hRt
xdq5PpprbS/YEwOM8LrBjO+KDS15ViUfB//PzlGvrKxx6x2Xka2bL2GChcV+Fz8IvnFAAk/0mjtk
jr7ONokjrjMfr1f+ZvqgOvM5JrvThrB0BL9krnXmO5xA3xDN814jcmA1Gw71utCsyRZexY/GDe3k
LuJrU/ya15o6ezfejR62mIfhno2WF9qOTwa08OaxXbd3/Tp9aNcaL2dDnwXB1J79yK2gtF50ZHMs
s7nV27p/7J/krTLYyQbVnW2s1d24Nd3ueTyV7wP7VHqgGkx7T2AcoyCIdeDrUrhW366byB1Pybgh
RW5mLvCefnW4Ml6jIJMuivxkpBQnrFgI8baNBh3D68odEUK3bpt+DL/t5K6xmb5UL0PBYi0Ak8+H
QTZbnbz0CdlgTqKh/HbGrXAcelJJHYpUMSBrZVnZARKPUCGXfaN9L5DhuBVeK2vWUbxv3OgImI/T
ZAkbEyOWmpRFe/jIaStzG7tIGH7ux+DEgeCVhm2cQy/8xM/MU+q1xLyD/YWFlDnAo2ayyc72GB6A
wvzeLtbzJqMS6+z0ABDSxQ5W3ZPTHphKTm7PP9fO4qyL92/nt0ivSbArD8OuON4OyocKV4YTaJwe
YYpAjqxNG699jBOLrL0glPy9nnKks+MDwH++q4jLkZejtRiRXwPlub25+Kk065QRNXM5aWMQmYIf
Nm3zQSNgpSOCA/UmknMbLH2iiLkP78pDZCsEO1kFH3xOmYg8ZZuv48DwmnOWbTuCzS3z6lyzeyW0
8uP1KH8lYA12xHkM63QDh+9u+bfex6Mn8qoAvJtv/SC7WX9HBFzCGbX2tMXFe1N5xZFak7Stp8MV
uB2OiFu+RZy+pQGr7CvvCcm9jYeyFdmFJ7rJka/Zqw+9yxrMAooT6La220P7xui0st54Kh722KSN
phtIAg+MZu+QxFbWBj0e8yzk51dn+YPoeQFokAQdx0P+om5qw5ZfI8kyHmR/fEyDKrRuCSa0Fioi
7fl6TAN9g+WHP7sr0Zc+1A2KHeYonX0l97NeL2MY4XDV7iVScCrsOAL5zaBH40XbmZeEcsJlsjKr
nmRaPI44PKz8/rC8AvMh+hQZ3aDsayy0jUwTEcs+kix5L7sFxbIrf/FiqJvqKPNxqSMiOrS5HxKE
4T47ahDMbPnCOMJgy0OPKICbWjeXyvkt+eBW+SQiPlVuGqSMW6wqmLbla6j6MJHNY/KU7jXXfEk3
/YlUIPlSU9otU5UF/6YhJqrz4cV45t1lEmKi22Q+NTaWsuUWa57gkW4YH7LDUuTiU2Zhvbvvjulp
eNe2XejfqMQiawIyYOCqk823jhC1cv7hszF4ChE9DJvXVyI1rZFiySIxh6qvsQpnduOaoyg76alw
pN2Kqf9O2vVv0bGOPEBbgrFNw27ILYTPy2+GDQAzm02r96uj/hVnaxXrlAsBfQXY5Lsh2iaxC4zQ
T8yHskv1dMOLBufXS3tC7+vEjMtLelJzjSHcU3xZBZSrmR+faFuBRdaS37+kfr+P7gjrjIPaBs52
a7CJIwd26HycK+HDh9gVCMh1SbulPe7d8JALfsEsa96XTr2b/HBf6Ja6Dl+3pS05MJWhcr2RUKOz
5bJM6PvhKNyRTYfd+tdk+s0aICU+oNbBVekhvlvZsj/ssg2qzbvESa2Vny4P/O36MKxzh8gPJ/MB
w4KSGZF8Tv2I1+DKVXX2xtxMZx7igopOW+09d+r7Zvbozfajy/vNPX5qT6kbBznsQIJp7HITn/4v
ddfSnDYShP+KK3eqhAAjDpsqowcgIzAv2+RCjUEgGb0QEkb8mxz3kMPW/gT+2H4DyCAho2xEUuVL
qoKhp7tnpnv6jeCsanGCQxgBobk+4niNN4Fpb3gE4ZF8q2Autj70uuzLTBq8Cf4z4o/FsfkQNJGW
1jQLIoeYGPIe+3Nb8Rtet6JuRMxqlUZPFRll3c+2xN7bQvG+8Bj0fHTmWfbn5SnS33Ml4W2Smz2V
H5d03FMVUzCdAVLa2k6Nk1Y1a83reYxvrVZwo61vzhw0eS0IRp/Xh/bwtQPcctMy8RsMWy3I8Dlh
GG3XlVc1u72QECfk7lctXG743rXufMUXVzhNYklDKXs16C/66MGO4QsL3oU1UZBzPp60w803fGTV
FjphJLvywgUUDoTmYsLiWqP/FmpboIYhAipVBGZzNQ9XYt5G3gQPz/+6xuKAo6WcCNUuYXIwJwXN
VYWfP+CfRSOPmaJ4kY1Qj53j7SFbd2TqPhGBGPK30f++t0LBtwyZKG6gEbyWIzP4TrG5Jogf4uWM
c71WIZM9BcKNqWPlIfeEviAaoru3dWtg9m7rc6EiLGXzCbdHvIWbrpprjF48FdkrUwfX1ZYQYPDb
OO5OB5VvCodYMxKn0DoMPk6wG6mPhMW+jhZwt6Lvoe21grxYytEnyHomo8rF5UR/IfJLhNlTYoIJ
rjr4vhASRMYuHCjluNe7kGPg99kgy/a1adfRgKq2aSCxVTTlpUqrXcHgOgqSITPQahubvRLxSctV
oMLNNFfOudcQqCCpGBm2hTx1Ckc9s5xmanmUsSPhd5/2WMUkdk2Aq6ERINyLcnOllBLk2FUFxpxw
WLKIbLMC9W4xFKWTZLuRa5fLcw1FwyspNy7yMEfx7NIJzVVaDuwaYg54zOA13CjBouYeTXnd08W5
ggpUvNoKdXuAkeQSRvcQdmp2i6LRs2t5s+pBHwUCZmHDmha8+qg+6jsIc63FW8kWHGXEaw0Dh4vf
KKi8/Obxswn6HtfQiqLLKlMajWXq/tMSiUkPBk6EeV8eah2jZQveINX/fh6kpTw/MiDGcx+DqvUc
qtEltsPV6At1fY+uz4L5MOMdPj2fM5+8x8f1Ys46dEnTGRZt86TXhgcfSBGGRhEGeB55BnmRRhnS
3L+pK8bcv6XRKtA8DyuiMMJpIEtKyOH5/SbNlVmDocG/Tprjn86ninucwVRUGhZYeP7B3uip2hjo
s/8632gw2lH2iqQqDebeLR5x/oNTS8tVRFZ9wmoVlIcVMEYLUZSYs32FmXEz5FRqkj4NYBeI6JqZ
X8pQ0s/wtssjzDTNCbB7kcRVrtqyKRtWFYangqBt0LbhwOgvGmuSh7HZf1tVMc3R6K6nQXM2MSd+
w++5A72Ntpqviqag23ua8zYB9SKahKLxHDKemXiuazlfthmzhL2BXd1hgirGi8AXDtPXuUcDGYF9
djBrQ2YEJIyH4cb/VU/7u4pFDkgIqMIQLU/3go6vukFXRScEb7mbBIficBiYxmT3Z11FKP/nv/Ax
gBt1txodhFE6jj/bLdQPHHW/9P479P9fyQQ9qPZj28b7eXUnf9zNrwvxPPz8QNg56ok4hR/WddXF
sA0t2FEbHLBsEVP96wtPjAlZntapoFIWUuiIyF9fImieHLFLcLs6CoYp7BAUZQqLO4nrkRU20hV1
MwIYKpQO38gK+JEYhooCHwMFPH50OEmBjvjIvkLLdj26wr5OyJqobgiT8qeCciAIkvAjuum/xv0W
cfXtP5HpuRQ2tGx22AqZTYihRoubAJ3bzUfJugX89l93Yr9Edhfz/zgUbmdH/WxXARmV6lc47lXb
2P5YkdhuolKHg4bNypM7z9h+h2QZxzaURfnXNcCbZGNbUSGAIchIVaO5c1mRR/anb5IggvoB+hVw
fyS+gyq8EM3jCKI83hlZUefJwle97fcQ0gl0RIuzQq/5ZKUTVw0hnUC/gqCp+7oRuUR7nrNXEABA
XLe2P5Kg50Nifl10pUz+3inYX4d+GI16EyrdEN8j82kdZNatVVQviTtX0FB8+uysjBx6vDgBISNw
niyJlXjm2SvcqDs3rrUPh/4K96lqB2ScJAquoVIvdrvNyPI7/N5e+HrCgSxc4ajv6p3j75g92wtX
kO89f5wkIYtXEDSXWtpk5HmT3EBIorduAtNhGGSWLyf15zfEmpyWoIfAjwJtV3F+kaAkq+JrxPwQ
6e+jZlLqF94NrQdceMtLAJH+jdCCSQBxYOKRTupae6/h360WtXROhfJlBXKyWgiCLkN3DguEFu5H
VF3AeW+BXvjCOVEQi5eIigvUz0MYZPIlwqKy/NOQRbXBJbJiauTz0AVVcYmuMy3zeSiDlrpE2ZmC
+zSUHeTVvj4pQSCea6lPQBpS1CspO3Znbv929THZOXJ6/rtNvqdubEOXWVBIJ9v+gcAvIE19f5//
kMw/LvjhpoX6fU+MYxBL3VPyh1BMO1S8bdjmy/G1GTLdtzzqgUWXausnGP++yX+IKtpicOequSQJ
4j6e33tb0ijH44l+ZWyoxP36HwAAAP//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_xlchart.v6.15</cx:f>
        <cx:nf>_xlchart.v6.14</cx:nf>
      </cx:strDim>
      <cx:strDim type="entityId">
        <cx:lvl ptCount="8">
          <cx:pt idx="0">10106924</cx:pt>
          <cx:pt idx="1">10106936</cx:pt>
          <cx:pt idx="2">10106929</cx:pt>
          <cx:pt idx="3">9421486</cx:pt>
          <cx:pt idx="4">10106933</cx:pt>
          <cx:pt idx="5">10106930</cx:pt>
          <cx:pt idx="6">10106928</cx:pt>
          <cx:pt idx="7">10106951</cx:pt>
        </cx:lvl>
      </cx:strDim>
      <cx:strDim type="cat">
        <cx:f>_xlchart.v6.13</cx:f>
        <cx:nf>_xlchart.v6.12</cx:nf>
      </cx:strDim>
    </cx:data>
  </cx:chartData>
  <cx:chart>
    <cx:title pos="t" align="ctr" overlay="0">
      <cx:tx>
        <cx:txData>
          <cx:v>Gas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 STB/d</a:t>
          </a:r>
        </a:p>
      </cx:txPr>
    </cx:title>
    <cx:plotArea>
      <cx:plotAreaRegion>
        <cx:series layoutId="regionMap" uniqueId="{A0D17D48-951A-4646-9730-F0485CA32A9C}">
          <cx:tx>
            <cx:txData>
              <cx:f>_xlchart.v6.14</cx:f>
              <cx:v> Gas production Mscf/d </cx:v>
            </cx:txData>
          </cx:tx>
          <cx:spPr>
            <a:solidFill>
              <a:schemeClr val="bg1">
                <a:lumMod val="95000"/>
              </a:schemeClr>
            </a:solidFill>
          </cx:spPr>
          <cx:dataPt idx="0">
            <cx:spPr>
              <a:solidFill>
                <a:srgbClr val="002060"/>
              </a:solidFill>
            </cx:spPr>
          </cx:dataPt>
          <cx:dataPt idx="4">
            <cx:spPr>
              <a:solidFill>
                <a:srgbClr val="7030A0"/>
              </a:solidFill>
            </cx:spPr>
          </cx:dataPt>
          <cx:dataPt idx="5">
            <cx:spPr>
              <a:solidFill>
                <a:srgbClr val="92D050"/>
              </a:solidFill>
            </cx:spPr>
          </cx:dataPt>
          <cx:dataPt idx="6">
            <cx:spPr>
              <a:solidFill>
                <a:srgbClr val="4472C4">
                  <a:lumMod val="60000"/>
                  <a:lumOff val="40000"/>
                </a:srgbClr>
              </a:solidFill>
            </cx:spPr>
          </cx:dataPt>
          <cx:dataPt idx="7">
            <cx:spPr>
              <a:solidFill>
                <a:srgbClr val="ED7D31">
                  <a:lumMod val="50000"/>
                </a:srgbClr>
              </a:solidFill>
            </cx:spPr>
          </cx:dataPt>
          <cx:dataLabels>
            <cx:txPr>
              <a:bodyPr spcFirstLastPara="1" vertOverflow="ellipsis" horzOverflow="overflow" wrap="square" lIns="0" tIns="0" rIns="0" bIns="0" anchor="ctr" anchorCtr="1"/>
              <a:lstStyle/>
              <a:p>
                <a:pPr algn="ctr" rtl="0">
                  <a:defRPr sz="500">
                    <a:solidFill>
                      <a:sysClr val="windowText" lastClr="000000"/>
                    </a:solidFill>
                  </a:defRPr>
                </a:pPr>
                <a:endParaRPr lang="es-ES" sz="5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fJpZb9241qb/SiHXrSqRoqaDr/qCkvbg2Y4zVG4EJ3FIipNEUpSoX98rpw8+NBroBnzjLW2ZItfw
vs/yf/3Y//VDvb+5P3atjP/Xj/3vDzyE+V9//eV/8Hf95v/U4oez3v4Kf/6w+i/765f48f7XT/e2
CcP+wjkif/3gby687x/+53/B09i77d/C22CCCOl5fXfp5d2vKvj/79X/x8U/3v/9mNc0v//94Ydd
Tfj9OCas+fCfS9eff38o0Yc//vo/n/Cfaw9vGr7WWWX1d/H2f3/j/c2Hvz9kVfVnUyJUNojgvGkb
Qj78sb3/+1KD/qwLTKo8x6itcVVWH/4w1gX+9wdU/Fk0Zdu0CH5I3ZL2wx/err8vZeRPXKCqaVvc
thWGJ+P/3pknqxKz5r/34j+//2FW/WSFCf7vD7AI/OGP+X/f+O+3K+uyJej3X8NFgVHe1nD9x9sL
7D/cj/6Hl15MehSyz92GH4WOgtc3Ey+E0s98Nm7MEs1RtpuhyRdff/Rz3MgFj5krH5DM9kBrFh/R
vPw6jngt6vhrCjvLnveyZaLT8xi3PsRK/NLFgWi5r1k6JYvq9EJaxKquGMfcXCUzBktqBMbqdKB8
LmnmmUyDKUKIr4ZP7Oixypf9s2425V03TmjHb7GxVnWLbIPtyimvtm7eVdnSpZyVul0P0WZUGMTc
i+OR+et+YH5QbOJYfI82X+df0RsRz2UhJKEbl/V+CllMK63bOKthXLPavMR5OkhnzBRecgm70KnQ
LqqzXG/lKS+y2lOtau0HZnM50+2YIj6jds0V5UdV1Z1dVkuolC3K+8ktle2InPbsZtwYbztYWqWu
nJhaUx7ncR5GxezYrfvCLZWsXh3sZDS5q+meSaGHNB947n1Qgd1Mapumhym06fhsucwF+5F73X6r
jTMTnWLlWmoWnT2XS8kEtbttMppJ49/msVTwyWpNy2nB88ipy1TdfGN82ghdcNzGb24ehcnp7sme
Tqs34/SVJCTU/eJKzq6BEGl7E+0xd8QXQl8U4R73vCWZ68dmt8cXVxUTGlK1travTMiQom222MPQ
NvfHixotYucWh/x4Xbd8+UfkIRY5rZMt+WBI1MXAiXZ88MjipVt4KMLFNgdDFz0lMnmaKVj9g/KN
jrca5aO6JVWzyE6nY83Pa3FkcmgyxuONJMyT4WBayCvZj4ncxIov2zMhy97c4lQg1R+hLvj9So6U
IKhMK2jeZNWVeI2WC2uNIn0xl2tOj9ykX1to5N7rEMeyvPqRLPwGAmUq6eaF9XRpju14MaWv4CaZ
Ozd4VbXoadbruA5rpprqTu4kS9dCQ170vpSltZS7tKVIRVzz+i6kUJNumskuOnfMUd608yTsSTZV
4sPGnUtvdZ2P83c0u8X2KEax3B5ogW0/YrbWt97P4/jGMtva12w8pukUWuHYUHuLvqzZuK1fuUc4
MiogAOJzeeTN9CONRdsM3m/YdWlrW9EZlqPmuvljK2/L0q51n7LWipIeadkP6vNyC0NVqEM9y4Yr
fjXBjOVTduyZuBu9gHuWamync14tpsV9pnMx03nVk+ybxtTzTANGqerx6FY75Mfe5tdpXbWdA/Vr
U/mLGMe03YU1jvJFMp+KXqm8rG5WPy7biahsIj22+zJ9YTylWy9n2DtNovrM5oTRsI9m2rrC1Ku4
elQHBafbuHRbVXGPb4dupqI7VmWWoUU+q/sWN/uvpoEEvuOTNhAes9Kjo3DuzlyaNY2QQ7iVuj5z
BOE45EUsylO0sOZ/sExu7rSAyn2T13uTX5eaB/XPvk8z6qNetLhlJRrVDZEMosWaeV4GUZN8+b7m
xc5edXDN3MWdNH7pj02bTVG1o9W96GOe/Y/aNc1rPmE1d4ep2C1DOyogbOfyy6jiijo2E82u3lQ+
9WhR7UE35bY4rFWe1YO3pIFaO8/ZP5KT1tDcharbcBh3mut6OkdZLi8tlBoDoTdOoSsJs4GqkLtI
WRXxreaZ2gaoW070SHp5uxrGPZ3n2NwWGJu7MezY0DIv9KBqhX5yQtL3cne5oLGa4x0JfHf9lPnt
oyMMDymO+5Nvi2alfJstwzRs0+j7mYxV1h+rLMb7RXFf9xmZQxqQxHIcKsmCf1ORNKYrcb4fvSPE
j1Rg6+Wlzo9WXo5IfF1Rh/O0nSdWTWyixZogw904FglqRD3Hm2oTylzGsay+bRpjdqdL3ip2gbhz
y6+wiCx98hAEQXeh9Khz08EHHcKnBo8dw+0Ty/lLmNDt3lZLl5vtpoZMoofFr/vSvCw12bo6Qvmr
EQ50Ips47WVWd9LrilZ+zi85ycSF2Wq5GXUMQ74yRGdbfg2mfPJzczY+PE9QC6mwEDRZfsR+G48K
zqNQdDLhPiPoTmqxQBEttmvDzGNt0Wcn+ccSpYaipN43sT8vh4/9UWIGB+Hf2Z69sap6nAroTDpt
HU9FuEHelzQQ3NzlmyNfCmwKKg2KN07Ji4mc3zbFkZ/LpYC2ohp9YksG2eEX3hWZ/LjN7W0zkUhR
kJg6CPCh3AP7mpds7Ro4k5mZcC7lWN+oWbdnhC17DpCirJ/MLEu6bkY/bqji+QmNgZxzPv9kpTYd
z3ZOFWTHEGX1JjLJ7vju7VBD8sOTW9nzVUMfyw/S0GYOj4lzDo3aPKQ97dRJJl6sENWpUeWDUmN4
AznzNUuo6qapuNm0fM0EV8MGZ32GhOV0LPlbaxf0yPUezqPdPG0F0dTVtj3lpcPvYdrl4yG2X3Xa
+anN09Stqr7JNH/Bh27vqz0+R5xzKq0pznLd09nZeezCPL8pK8lL4hv/nOlV3wRezr3dZfk1hUze
msOW58wEcimMzTqBzPfknKf1vN4d2VL3HmnTHwUaOx8yRo3L5Xcf83ul1F2D9EM4oGyaxU6nOM5L
l9myGtrUvHHJFlqZOFF8uLZLhb6t2TEN0M37pRC2C62yl52kE17FE2zddkcgpuwWEl2X+V1DJtAN
zRdnmktw6rM78HfLl8u0kI1ir+5FedzUpC37Vvq7Y+FTJ7GbrqE0p0mZJ8nz68rqHyT4q8/jiRct
o+24n7Z9P3HMz5hz/TZl0l02zn7KekLU7Lo8b7vX5ym1X2O7ZxDT6FxvR9Wxwp73OJ2bmnV8zXEn
t2broQy8gP7+KFFxW87uzrMxUTs6SVPjb/eJdWqFGoonlg2hKosu8ChPYybzS5YVkMJxrg7KiK7O
yOTLaW5Z+0oOYT9aPvkvOcHxIytC/t4aPn4UyaxTtxeuusbJckbRmAJ0bYPkp3UOoJLqqj1pOzWJ
+gLx27bYyd2YQKJGt65va5z3T7Vo5Avcop6a0ITezCW/58EVlKt9PoHsbt7nOheXAkTWxaR2flj1
wb7GMKYHmWToRmSqXxVp5FMwa+irtCz2AbSoJPCyCI30cDF04Vj9V8vbjF+swk15v8c5TZSpMWko
Z4f13Talw52UG9v1akBHf9cZqNKOtDIsfVNlTA3EpfixTFxA5Y+hTldIwxj6uKpKnMsozHRTVOte
frNK1OFuCqiaoEoQ+49IWbW+NyoX9XmxyiDSL4kZNnetdVnVedSyhtYNYs9CeThpu4B8o1jKZqci
7cL3+bbmz2u+untTu/xzEi5AJ5jJTZ4Wk6hcXLPCS4Sj6tfaj5geMxKgrhQ4ov4AbenPtV9D7Jxb
YRsIU4sChYRDe9lB12DarCP6brPqy9QgMxC81xRV7TqBS1kftywNWRU4PYo1dBFcRQ8pu3/Su5O3
ajPzZfLBQ12U0IG3OTtppquurKAVW1m01220OS2nCd1AQXhVNeEv++6WJ8NScStYKqEQ59PVxfxq
1/yrQVXe7wsWnZi8opYUn4MrvxE1V4+4th+1bdA3jmd3Y3UO7Tk425flsl1Qlr23y149Hii+2aP+
vkW/D3qT6WYSgne8ys1jGXS41XPUZw8pe89x46GdctG1m9o+zSk1fTisOIHC0L+OVqUTFPGjm7Tg
J4hL9dtJrOh5PqbyEsjKh4m47AUcRT5sbVS9AP8E0lE3PWlnqaFBgagD25NnN56BpKR5gTW0CJ9d
q73I70HI+bNZTN0RRu7VMs10qet4h+vRddo1SFKSW/7amtzelus8ghSX6ozNrO6balyg72w/l9Bu
Q2r26SzMuF9bo5vOFuEzVAYOL9ac1O92Me7rgyblz3ppO1K0l3Isu5gUogsSL6wo3lEi/5gyflzR
BtVS2KkD2bfTMbb/hJEYKmahoM2v7aCWklCj8T+4KKHPZy2ixNmbqoY6s/F4dKYCX32M1SUT1cM+
Fw8uC59B+yWqPe/dzj5Ns7+MPkq6huo+q+Tbiv1XYkA2TDl6HAm+a+HDgOLV5M15Q3ajI0r2UrVM
3ZSo7JZZQWPBJKNeTeWpkdvDnuSrievPlHtEj22+B+V171Ie7msBIqAYZUErSX61NhO02aoNumR+
j3F1lXVbUC2PYoiFW2hooIqy4jxzv9BNlFc35q+BifNawToqsoLnbEM4u2wkNBL7g6NjOa1B2H6E
NtLVFXhEJqAGTpUoqJCloojBorMdFzSF/VuxV72rE3RKYEVdPrtPglWfgvcTtUmoLtj1dQz6vMo2
0iIP89nsdbwG3q7UQYm9zpt6DsfeOxlUJ6E7DMiNp3nCUDSy6aGNxkLPaPfOxakdvMlYN+v0eZrW
uzw4PCxtBqGUgcvb8ESFU68uLM955fOztSynaTN4KPPlR1sgT7emeD7Y3qE9fyVT+xTVdIO5fyRl
23Ez7f1mBHueXTGfps2EC5ZQfyacAbbwSwOERcmnhRjSee9kV0143ajSa32nJl/Bk4ToWF6lOysq
TVVpDpqvPO9GJe6ibuAjnh/dmuUPR1k/kuSvxW5gNY0jXZlmaNB5c9va8kTyRM4qCX11GYQ5Bos2
Kp36A9Wfy6W1nSmylTZV+2Lr7S4ydZ+kRhQ8xWUq2OeSpCHPMKfmkN8AG9z7Mn1R0X9KctkGfmS2
n3KsIPSbC9S8+dI4kQ/1OqoepNHWeXNkHdpApSYoL3SHvaALGRmU07CZ+zkBNJBqfI12V8OszSeU
zXeaFe0zQXa8phUeuSicTpYo16+stXd5ns1X0HHLeUEbgYZTr59BrRaMLm7SIAQbd3U+zr5DCyk1
MIe9OJVHlDNgHO11N7XzyLpjc+P3Jc3xymVA7FTOKQowo/P4Fla5r0PD5qO85EUJXbE0MuZDy5d9
p1EicWrFGF+yacS35PAIJEwG+BJo1atoIIlGkX5lcGjnlMd9YAVJj7oi42nNom+BNCUtoXaQ9cSI
CpfaRn8pq6B/KZSVNwFIxjXkC3iuCq1njlfIPyyOZGhglWjgS2DU6ArmtJsjHHN2bPzc5k0kdFVj
DmUmH3V50x7tVNxKLf09wdn6VaPK2fMkEZRsXAPbuLaoRWfRivYW4M3W3iuk2NWoTUJGtXJ0V6PH
0FVH4R9zj/PHA4/tE+dVEi/ztPv9qsJR3B2CcAUbbNzNrh0+L2zPHyYEiuacbYIZWhiiUC+BdAEp
SIhWYOhuQULsgxNh/8XH2gxgq9BFHhYBPCwO3DdlyKAc1Jhm2fRcZke6E0i/LgU+bmdcss9Kb1U/
kkk8Mpf7j8ixZ3vE2ySaT9h5d7UY5GqqHDkZMb7y6TjBeYOTroq3NG34tGSVoGRnke4N+qT19Dyy
5WENheiK1T+RFU10L5vrPuEHsuuTtMVg63w5V778qab5BoE3iC77pveS0bC7m4OrfJgq+8Xp6XFG
xg5NI1KHgJj1lfamw4tewe7tEqKsgr5XVSdW8EGBE+1xveYnEKf3q2hA41fTPy6KOwkisgPOaCmc
yaVK9r6S7U1Wl0Pm9obGJqaTU0AU9djaZ1LyAHAvyh6xPIcu2bKhseM2ZA34hokcGw2uLm4kRuKx
BWfwWBo8TaCNZktDMgKKHoHVkQrNwO1s6Jd2VXcbByqndZ4/ZDmZOizjfWzBp2VAi2FbdEklz86V
sncr4ZfmiB8LOQ2Mzc8Oj4auWSbpTtQFqJvsgshu8eg/FXMgHTqkHMaqbocqC1AECRHXuSo0iOfx
ulUzoXuVPbXh+OK3paVxH1+nAvovweFr5rLHSYZAZ6AsnSfzSE2Oz5MwG8i88LCaGjrbqH+bikdA
s99thHiux4ea6+dpxwPC5Zml9KI2UlJt5kh1DXV9ldkVrfh7luFbQMWMHlX2htrmGxL4uE5isr3L
wAtb+TSm+i5V6T6w/Hrw5su+pWFl6pNX+ALAtHfYXwk/zubYGMW5GabGXQ5vp+s4ItzV9XafCP+F
mb/Rx36vpuXZl+UzlJ3nOmOfWL38Kkt1Y4EBsAIEiNTpccHSnKcDnEmq3a8om9C1RfwMZ9u3roHW
3gx4XOFdovmSmul5SeNMicmuRK10PPhTDPbnbOOQ7QWknz+V23Lx1gKahbMti6KfrO7jjnnnSwaK
w73gbAEHGYZjL64YAD6Z7NOGyUclSkdJ6QM9ZPW0mewBSN19rePUIaJ/yCz/qir+KNNyWX0Ljbr8
BDXf9976pTv2ELp5a77Mq6OqCazDOuYAW+vqEYG9AzeSLB3HrKB+lPgcxvzKYkY6yaHBzqieP/sA
uB1Z7+jsQCwu8yfYwcdmijfrsXah2S+TzW/bCIpqGfebqVKnhsy3slkGQoCdHKgR/bFI3u0p1xQy
/4vO25IyM7NTy8hKreNXoIt0K+2bF9sZROUn1hTnY7LfVXIPgMTumFp/iBRKCEr1Kic3uIMMbp8f
J1c8LkpwaHx7D4Cwl9l0B/r021RNz2oaO3UAfdHhrd7KjOZlC4mH+W8B58/FdgiqwUepuDwGzr/U
s3i10gm6m4VduHXvNjJA3GAEQc6gftbi2hilO7G333c/fg+yPC2Mvxa+fYMXnW4rtj8ID4H5Wynl
4x0f1zsg592us7krFCkGzDM+lHh+Nbg9x93YN6LL9mbVwlH/W7PgDUFqTuZ5l37sWzHDt8udD/FY
n+oR8AfG9kls6WSyrO1yoU54nF9l5T8Tu5UDtstxquvqZz1X2Xn1mnSzK+2JZOwF6M8PkzX3W4Yy
8G31b8F53IoR3btm4XSL83MJtKhLy3oJaINNLdfnle8QHZa9hi1+hVTlFzG352bBr41Q1/VQlro9
2068PmJz2o3fbsq8nb6zgNM9PgLXtJFB4H7BjYQj0cX9Os7+BNuCb2CaAkgARkagh/Klg6GA/EFi
RF0Em/y1YVl5TTMC0V+MB7mrAC9/hHnN8UJsOu4Ltfqe+wpgAxmb9WMmVnQFjrXf6Sp3PwTQrNBt
y0xmUCdjPI1rvv8TlGaXBYz/bXvs6B/niHsDrPI9LgmwSv0bukQ+wmSkhC7ORQ6/6rEbk3hyCgvK
ffbaxMKcDXRjW5eqqwsxsG1d75ttqS9gRB/LOQdmvybcHTk6aKvLZVjE1qOsBjI81YIyDFk65lAG
qhZAeQtpArQjUrAEz0SSG1S4jzD3gzCtm3SqjCyeRFEEClw0h6nTonrYLg7nVO1UAlOneqklBSL7
ktm5oVYtfXs0X5KuHGy+/FZN9XcL+rhbuSy7Yo4LjBrHL8zxXjXWa/A++/dK1F8Tb7KvpbdnGCS5
ISfHRYf8ZUTou1uKn7zeu7Y6sr6ogRSQKL+kfc+7GcYl/bRgS+cRpDaCKce1/G1C9wz8uRNwfHss
rmo9XmueVcAKw9cgs7ua4Ucf0UNYcOqZ9tWFedV2hiHfV9DUqeNa0Ux4QStwWsjMt3UrLjaboNAv
x1dgF4+6dm8qzz+KcjkoWu33o0r5A3Lxggj5OO4HA5YA5H4v1JUX1bWAoNvTQijfQcPoMXeXEkDF
sJKAe1HOopcxpnNNYPnASp5IskuX9hnQGUyQvuXuN2IwNTktWJfvdhHmrilWRNd9W66KYf6xmDfx
cTdHvCkxJD1utv2xCaMC2jsT/F5BIPcwDJoeYWxUjtS7ypYwyWwNwGE+fYwLZg9ozeytbz34PZ/j
DAooWdQ7zOpyQ7dszL+3TkXaLC3M/yBau0Yt21OleAkIe8VDoTX7zDJR3IWG8ys6Coj5Su8zOkHz
rR5KoLLXrLbk6QgV6bft4DKju9TgtdWeQzpNmwLCDsvDxbH0XlQgoHizDwCygM5YEdZnvK87QPpj
CTPUiKKegR4C76AqT+i6CweYcwEHpfd2+uVaAU28MMXdUnjzonZj7opo65vCJnxp20z/wlvBbiNK
y/OI2qqkXEgPfxQZMt+n2GRwTLx5lQ3br/Iwy7Ut+HaDxqUcZGjzTwDOitBDBURfC7nmnZpd9Rs+
mYeAbXYeUdwuY2H9GRHnbi2CWZlnpg40tbrox3muTrpO01OWZijEUxlw6GCX1k+6sMXn6rfn8s0M
GxoLMAvmCAAQslI8xG0mV7KGddiaStwCvMpPG4JpFNVFnE/NAbJX5n66lhsKFeULnvpoG+jpopa+
q+ZRXceMZV2GG711OdvI7ZJ48UuXzGKaVCh0R0IrBxQYaPGjVK19QcqnnDJIILocIMWA9nxCMK9p
usg28Q3FnH+2ZZCDhsHD3MPwFIiQ3I6fDCau/bqo4tn8BrsaMdY3spi+cAUDzqWd8vtJ7x60bNOA
RiHlI57q7clVx3T0arZTNeRAvk5p3dkgfemg9DXlS3KPWQOchNEaewej+rZJEqbh9XaDg2cXtIeL
GdUh6WiA11H4z4Wp5zCLVC/lspT6NAY58SFj0byjsUA/R99uN4nV8p0U1Sj6aEb/bQQS8TkW0lY0
2IUcNB6iuZ9VwRFVyzF9Q0bu3wzPbTmAnAnlbZXazJ+Ibt2uqZ8gl2EBYBpo3CofgRZpEOJpdhsD
fecQ9Ik6FuOAFsCbACGPpKonVnOoBdXI3HY5LAeht+Qjqq8Jb5dS/MaFM5ERdpFjcVuOtv3UgFe3
fSKqgP+nMNBwhtWOPjsjltrqVK//ngebDZTUFoI8q3VNxTAXbVC9agEAUl8aogfhDIzrZbuBDHUJ
JnxUp9Kyji11wy4lTuoG7Q0Pp//FzrklSYprXXou/U610AUJs7Z+ANw9Lh73e7xgmRmZAsRNgAAx
mx5Aj+KfWC+vqnMqM+v8VX367Tdrq6eoSA93cCHtvda39sTn6TME2NFkTTjCpXFTPMXQcKl9BbmC
E6YUOijSvK/XYT9RzdRFrfriugxx/GWlnA9QgGV4Jn1QbfcAUU6rqejpkjWMba2BntGGH10bwKFU
QYudNoqcW/e6cVBRheZoZfFLsBssGk4yVL6honQ5M3wXchzQ2dg6Hu0qotrmssCRq2AzicZeRbNW
5VW3Qgf+JISpxdXSuXW9Go1o38bKLSs+Na3hjYQu9D7RVsxpDlSjsevUwWjJ46+09eJbHqGmSDao
hONlXK7NnSrmoElHiEVpNYCBSAPVbdBMQIu4hI2T6g+CTO2cjbk23Y4u0JDOXUymrzygsDjIRjzJ
6mJ7ypfYJ0L1sFFjvmHHmEz5pVm563f9FLsYCkLLQIM0cezvwwkFNemmxl06ytQXmBx+TQH/uDVz
eQ4Ah0SBIvuB5OZKx/P2bTIrmv6I9MRmQQ6q60CaQKpdsdZDnwUEPkcyla4ssm5p+iNfPF2P8wkZ
OaDyHqpTa1agGa3UyC5dN0ItwxoSfr94LoE8RHG+rUceuE4+yDmXQbasZXPTQ8/Qu0gDqUgbXevh
xpVMs52PGYAE6SDwHOYZ1MlxmIJYXDrT9LdyzTeWNjS8nHDMLuiw3GoeKtR8wxV1ekZBswUU2E6U
YxnCeFsClPWtAo+0kt7idlZbn4CFAjiy8Bg7cRihUNiFc8ua/SyDcIVXb5t411Zj8KXoCWHHHnAO
lI9whpzU5bb6WDdZ5MkUdSxVosKF2k7dzUEHgASkTjQDsTEFS7GCIUOaMoat1JA8ztPeL+sD0KBR
o+3y1ZPaVqruvF7qz5XYxu18kUVhHxuAD+F+igK082TUfZFUKNry5zqia3MVFmM5JTP+ygrDrHA4
o9ecjSiD5rZ5k8GpBOJBoStU4aOCQE3HyL+IQZAyJWopJJTqaohSWRfFM2pdphIbFFbfRS3dPhbr
8i1raA78ZgrK7dVUEZxTn7eKJ+M0uM+h3RqTlk0BzXBaJB9uel3P32B/VibpCvzFXR9v45qEoWTP
G20alF/S4jDtoWaYFFxWsH4lcJHsXoOukQcSz7pISaEiiQesmBvU4VWlL2pa+W+8Ae1wzoaaq13X
13Oc1H7d2ktJunZI66UHS9WKitf7OZ6KKCmbij7PfOH+YLkUfiepyD8VEHnduwCkMV70QUWHTFfC
Yh+XwxKnE8odCMZBExzRlpdtEmHNsCSe5XjfzgO59l3emKzUQSuy0Q+dS7yrwdlgM0dLDVylPlsB
Q+2xG0ZpSea5T42hFZxwj74QtV7DxDGyqx2ysiD1eFEzHXNsiwO2T5gbcCmmWoaw++Hpt5mrONx4
UWx83eezte4FHqb6lMNohK4a1vQLbeLgJTein7PY1xyNPhYHHIE+5s2+m9dB3EHxYCYlwpvi3Oaj
5MdqCYYbXvVtlZbluFF42Hyg6RQsqzjHTjuxyylGA5EtQMzGbGq1sDjjui3P6jByPsXDOxXHjuUM
SNkqzFWt8YvLZgibMjXWG/jTSq14LPpxuUFNt5Z7NjKAXmUb1MPl1G9QycK+2zrUncwUxxHyyJbk
Kpq+NN52zb61uR7TsfZMpB5Gij14Znl5KFCjTLiabfkyYf3EENeIUAdaGgBThdZrfwhzk3+OuQ62
AxioRh0Cx4d4H80Etu9WFRbU1rC2qMNc0ZXpUjYRlMJiHq5sXDKzs5UQM07AZbuZ5EzXtB5rWSUD
9wNAkx4gCjrojpQXA22mdQdqBjsHqyY+nm/dxBzkryEed1HupE8bvFbsOFTBMZVLN82H0YIVQ8dd
wxAsOohzKadNX/I1seAFnkznT7pR4LlPZTeG/qKuqAiKRPFa42FqIr9dh5Lb6sDjRbjTlkIb7DI4
saPkO9j1X/CjJzj0D3hUoaSRMQkjJgVVaGIoWNkf4NEWG2TbFBRNVT7gaZjGEFsTG/bcBX2CO2nO
vD389XsCfv3xPSUREvhriP1dgoM9Aa3fAash4yWkecMyLhtyLxVUR2YtkFTTjXvI0vm+1dxnBjci
XcSwub+5ZvHn948YFTA/GaeSsJ+uGSpesXmB959su+3DspjPJPXgJUixfv3rS/1Xb8WJjIWS4IDl
z2zutqDw7IueZSEd6mtK0JAHAOYyo426/+u3Ck8f+4evEtubAo8MMDIC3iDYj7dVl3i6Z0iuKDM8
SFsHRVFbFJgiy21AjpUbIXyZASWQx+bbQ4JPHIlI+tcfA9Dzz59CcQUpmuCwgIjw06dAtd447Bos
01NDPxsUpnO6mqBOelu3dyPase1v3vFPS1jiWqNYKgoKOpTRT8sJzXFe4pnEZXZRkXTV/BXwDckA
Ab8WA7mzGoDgX1/jn79VJjgXTLII+qGip3vw3QIemrXgdl5EBlumzVCSbgmrAQkROU9/86z86XYq
LpWIophFgjPG1Y9vxWbwboubwDGHlX0tVlVdbI6HidJQEro6Ds7++tKAs//49eHNeCQp56DdGY9/
ujTLir4SukVLoCyrdoEtAcCt0BbV33xr/+KNZMhOSzZW2Hx+vofx6nDcrB1AgYHMD2Bii+uVz3L3
15cT/vltlIK6RwWAQS4jflo8331VzgOOXzWvdm0j2L7tKnowITc4EsYqHSAdpXpQW4IP8exbne9A
crSJ4W2RSlWcOoIVBrXM9d+soNPX9sOziqb2+4/109famhwXO4tq59sC8IcBiLC5RuOxDEwqNjFd
Ga2r2zqP6d8sqD/dEOy3+FrxyLAwDNmvN+y7G9KX4AkYMzVEFtYeu9zHt74k8m/e5ecnhCts7Ioi
GoFVi8r5p+sj0CtqmGwhvHsQEoMq15sOdV6iqrzI/vor/vmC8PwpxkOcKTTCJ2c/rdiBgW5H915B
dg7hlG2RGQDtr71c/mYt/XxNWKnIV+DkkBRol4jIj0tpJKBfRuuKfbh6OlyJbq7uebQSwD1gTubf
Luu//5aBuf1tMfyW9PjS9X4oNQrSX1Mq//zxf179I1vzP04v++P/n4I0f/x0039tH6bh69fp6lP/
87/84YX4+7+//ymD88MPfwrkfB+Y+b/95Q95nE8fTdlmJRqF8sv0fboGaRXkaHB3/yKU88l9+SGR
88/X/B7LkeIXiZIezREWmsIKwGH4eyxHyl8AdKOmiSIq4C59F8tBKoeqU+6GhCFlhEd/xHLIL9jI
hSRYq7AMBA2x0/7jFvzwZSHA9PvP38dy+K8byx9PuBCKMC5wfOIjYG2G8qcnoIC9nE8nebmc2/m1
tNJ9RRikORchMkyE9uUttaw9F4q3T1YF/F2ebKVQkOrQNcW4g+4pjrpY2szE5baTPVzpDBc9fKs5
TE+Yu3zvc1q/DGExXyPMUJ9pzbdUR12Udr1jDyv6jH1RzO3l0Hb63AyePwZwD146ATGti2X1ZC3Y
U9pX85sPOfr7cYQxHjDFHs3agDkLO/a69G2ZARCq/Y4ztzyGiqOOrzks/6iZw7d25dgycaj4ZMGB
ckAFHCXV0rsCTOqiz8OWyTsDbEIjFrSNLKGgCz7LfHZ30Lp74FZbADWvhuuJWgwPEsS9ql2TiXi2
V9HmaeKgPE8JqQHE7icA5vuih1OTiCBed8q38DlreHDvFQSQDjpMCEjQNHMMYiUw/t0UC/6oBQNy
zYeZfg3ajjzgUadXOTbpfd2P0xXobXJbi2D5wr1VbxAciuM0rLFNYx4NJ1l6W9Hx5NC6FtMjxMEm
ZctErqa7t7HSn+cJnuWZmnNyS9AqQgkqI/Xayk6Bjh+GtUpxh2Gc6DE0uxWBHbsfVB3Lw+zmqMs4
d8ylumrQESmNIm5f8shA/o47ksmm6l91HZHnqOPFxwQ09SyPhTt3QTOkg2maEWya9V8WB7n7MCxD
0yelbgD8RDF6z4qAJgLGBosgXBx2R+JFfufHvIM0X4j8xoebg3rSipOF3ASjfW593/M0zhf/qZu9
ecAGp14BHW1necjj11VP/achrkKVaF/mezK38VWrldmXloXXnTbLJVIPdh8vnIArqKPrhoENg6Re
HdFwwKDnZqFf+rwC1hIhPZTkPQj9BPGGqUsCNdf0WlsFjzwCdnXToj996kYJgl1389VSmeCwKDre
AmJQlwTBo0MnmuCSo0W7jKa83BGV5+ALRJFBAqquO8eq/Ziz8kRucmB7st9V1kOSw7rYmXrbUlvL
/MJ2ZN5J0DigU/vgVQ1R5hEuee9MEe+E8mMKa4OBMBkhsDdQ/Vzv4/NW8OmKqqFLcw5omHloTpyS
8tBs4bqbTtp/gd0Inh+6aQbKe9dtzgJ6N9EFG1R8K60pPzNFAaL7ToE52cJDO6DXR78ISS8amv1K
B2iVtTRHuZbzHkUnGrVZWZvYpivPelbSQwtC6I15HVwToiHl4ouHkNnURXOkVVfBATK5O3S0LiFR
gxA24Ke8hJbQCNXClu/qIG1rR9+9plGTWlnTS70OK6j8KnwhCxm/nvDgW6W5/ipoy7+UYbjs+sUW
2Cvy9Y1Jh7+Q40ascRngNjd+j6xJswf5GJ0BO+5SX6+g07a6OVtgMqWKzLBMrAGtuM6E7JDD1Klh
uIut9eudRBIxdWQxS7J6xHo8zNpkaGT9TIUz58qX8gypt/YJdFxzxSDMXtOuC3YmrssvmgbVrWR1
9Yi177NFCkDCHSFn+QKKTDDbp2Vr492C7eZKBdtsE1NadQMcDbV9ZwmoyIkT8iEqsCL7X5VpL6Qv
4fHO71WeF+cV5DMQEgSUI0gNcOeBsOfUBuWUQiEAOdnNYImFguiVjzwENRmMCEn+KmCT3PJ9V+nm
WpClvHILVojsGDlvg1hde23s3i6K7NZV10fnC4g1geQ3cwh1gkYeFRwvxNsyhXHWU2QhYO7GUBRI
AJqu0d49QxaC5IC0IWyQ0EbsMM4SLqdvJvwzBEK3OplaIm7ZVIevTcHsx0CC4RphGlFnohMsTCa+
QcOGokuPK1JOAMYLOb3ivLNvpBgFsmDOnNDuVgbISPiTQidEDCFhojR4zivbQPkqw3sdvlGxlDcR
39i5E1AVoJ5u30pimg9Le/LoLDibSjhXZH5BUmfJq+IgGla/4qmjU1YVHRhaRjUU9dXDcQj09OaG
CT9PCJY8LQJYASDRtbid4mH+JKsyR5crTYxPF4vtBlGcaQ/npXvB25mboWibBwJZ6J6CgkhZDBxC
yC7/1K20eYTMBXB2JcMup2vwBHFyjc+Fg02SQE2TZ1u/RPtoHrqbMtfTU1H3tU+ruR0fg36cL3BU
Bw3ucz63mV59PiWcIfSKKKehR7vR9QP49AZJ1M+Pcup9eYhzHTWZhrr2LR8seBFPjEzAsk9vuW2m
g8pJfgcGQA8JCKNg73I1VdhFqvJBhtXJXkLxm0z1WF71sHYD4JtkA+q6cgi6UQSqNgy291KPQ3WI
AoowEkrc+NMAPwL7Thd8Hg0rzkyeQx5A8mrnpV0TAROLnmid4qlrZ4IyJbc6myDEu6QPaX/J5xJ8
TOun4m3Z4vmAjq4BulacQmaeIluJOrwKHm2o+lskKeyVV926h+u93K3bxg9NlbfHsS63Z2cjtxcs
WG5+LRv/fxX930ISkiim6Ib+8zL66uv0QxX9x2v+UUaHvxApIVApCCghJyft5B9lNP8lZgzFMkdT
JWIIhP9Mt+M3kJmg3SEpyhmNQjTV42/p9vCXiIToL/FSCm0N8t6/VUXLU0/1QxUdKuS8kHyFVHiq
6X9Sk9apnBeJwG4G5JaTjE0SGMpcGURC1ChdnUa1Gj7Zzi7BbvA0uo3DgnwrOkRygSgjmTjnqu+n
PSzV6TIamb5du3J9acRUfSC6l3+i87o9+oa600YFZ57wfkFl5uNrB2TFZ7yUDVj/yfo0mmV1AdNm
eqAhbZF/HbozG85l1hH0moheoSAM7Mj2qK7yLz3gra8Kcf8dy91w06xsutyKiVwEbbTe9P1ikMNB
NIpoLV9GJ+W+LFV7M9mo/BwhkQsBfJ1eQ2awaXadTGfJwQSVDDx4ojXqsrHk7ApFpr/JO4FUMY9L
gJIcMFzZDIDIqm1Op6Wuz2ctqjOUFePXhWu905RXTzjL4IrXQ/G+Ys/duSIHIICy88q1TXRfVSCP
We3HtyZfok9h3cER7nr4Zhua4/M1DqJn40u27RpadMcp7PllRcv6oYJPX8HljnqgllYfDGL05+U0
RBcBtvsLzQUOz34h7Vfk2UYAwEC7dxivgP2oRtjhPiSDvCpKucWJo8F6WzqU8TAHnLnyWoe3TrbI
y2j0fBluFruIZ9Nc+kW5D+WQPkJRU+eXiEE1hxqaAGINK0IXsafXrHT2OqJgSwLX27d23uidRCT2
qcwnBcCDINvfAAPrQ2/eMBJB3zV13XyYZa4vtrjID8DT1DdemxnB7i1GOe9MBb6obcsXGUQxQfQu
nI+Q/xHXyw05X13Mzstw4w9zgPWb6om0l0hLxOdczQ7u/jw/4EbgmGgnspyhwQ3vt0mAEUAqXnzx
YxA/gN8rYeKOtO9wQLmZpPCT7CNZtmVvK9kfuDUgOCnyQIIv6rnVbjEZZc32IFVX3SHQ7m8hK8Jc
NK1UdQJOId9BuaWA5YcAZu/SBw4ohELk20aDeGkg2e2k79tLtGvNmQ1iUFktytkE0W77gm8fzgoi
ab1LtFoHZGw4vbPwg1Gm080i4Vqai0AbfW9bJU6FjoQc7UOErTkS5M1FUyzhfkWu7CkeY3WjurbF
okHTA2S+OyFAQtzwkaBWbKv60jeSwWiUgp0pwasGBDRdM7YUxVnYFtN1Qyf1oVY0cUYTebl5zRA0
4VpeLjmWINcVY8kg4PMlksA9xRVrR4aiv9hMPeyXOZiPvUdCIqB1eJljWYcXXQi2f6v5xvdqJVWZ
Ut6L2yVQbBfFRfgRtkoC3+rwfO+3BQ8LPTllqdeVqtKJK9FcAEsacZsQiHotAMEVKVg14KrUzm+8
RuIOLlE75rBzwqkFl1+vNhk3D7Z7UxNyyU2Hz6vhkX0MUwTcFFiTe0Hha9c9dgNJk3ot1/cGFDfo
qanmzy1h45GMeaGSGld87kW5fEKl2Xzlnegf8XXrMyTrS9AKY370SP7AeilteFeA7wyxnvv2cx7Y
5VID6ztGQrJ9GOjorR1EOyVsDnsPZgVOWEIFHL503tZ8l8+cp2Vdi2M8oUBBwhTaxhSgFQd8lfVA
tVArObNAyPSAC6PldaZh8bBiakKG5EN3tcLNvJx5Jd7XSrK083x+R+wIvSxahIi+Vr7tATBZjpkZ
xosTf9Qu4TstgXYvKUqxPnhE9MjO6MIt6hkll/VsQJFWXYNmQW2rOnQ+mWSy3nYK6KTN9Ai9ZBoD
pFqdKQDa1bDA7zAlor0c+9WWGdbIeD+rKLy1IIhR0+dV/NS2K8B1u5bodgNQGSv2la54GpewDAG2
18MOBXN1tdixi/EcTNiHulZVt/nAg69s2FAilTP8v6wwFo9Pr8lwizYKYxyGUBxgxVIE+vvcwZXW
L6hb1Z0sy6bDZeU4darR5mgaCcAhPHOenAhtthzFaBQy73zSN7kcwKvCujxX/VDfhOBqt8yHcrzk
uTSZcENz7x1jh3pb5A4Z1GiXbzAg+WYQga7QkeuCgrUQ4CMuAhTaCbIH66FEt3oOwE6dm6gCrxRU
Y7d38MXxQo2oJFKRNoOME13Awwwy6EXLkc4cgOGAtPZaTOYmHuv5EAn0duOUY88IexbssXnKC62B
sxZtOZ4BOzMHW/b2rAvrPrxvayllEve+M8kwNcBLW07jY7v4NjiYeh01wrNjhbglEjXg/CH1icQS
4tB59Ho8gh7o+52KMS4CCWpW32gUzG/t4sYt6UdFV9DNY/2gWFffTigB8HwtBM/o0jLr94EpwhfB
aLEAPbGyPViPyGuCL6I9dNIo6Faj+Yxb2MZZXZYOe6yHHSwaTBlJYuu3DNgIlm1ej911HisQL3M8
CvT/tavuhnLFzu0M+lw8j1t7JowlZ20TIyvR5/g+x3ydX5aN1cjZV1ac0MS+mQ/5REKTIe6NYydA
IjMhukaZAdM8BVG0nEdbFLpdSGZ+PzuMsEgiPcojNLshxHAE61/gKoRNajChAvTUELMOFLPULkNg
3V2beuluKxCKEd6/B1ITN3mvd3DtT6xgP+Eg8S6/baHmxalZJ8xXscHSqxRzBdxxiur4FS2D+axL
XHNYFNu3kwmIrX5CFJb75TBiTsX9xnsbpDIAOpbobi0u9WYQ4/33y/3/anL4b0U5Q+X7nxfyCER+
+vIf/+t7Ff2Pl/1Ry8co1amCjM1hhZ4K9j9q+Qgl/MkbFhg6RWJ0Db9PqpK/EMEVi6MwBBvBowg6
9e+1PP8lOsnYsOdQ/1D4q+LfquVPCv+PtTzaDBFRgp5BCvyHXuN7Kw5BnwBNYeWyIqTzK9Ky8RGk
B3kWCEjH2cRRIGImCdSSeQORlNsuv8bJAuC5/vVs3TQWeYJZSoylQztjx2nz6K6Mp0esSJjMIjCo
PR0Uo3PnWsghkWzsYZVMTUkXquaLFOF4nGqG6EDTzcUBYU9CUtsCussEHXR8LMuyfsMQnt4eplKx
8NCHQwRqs/H5i90i8TrjmWRZMHmGSHqMbjqd51btTCSa17JbigshJTJpY7Pqcj/JKhdJHhBa7Eqo
zA0Mau+vQ593O4i+wWe9od9OOw5J9QyHob4ecOMOXeTUsYgb4H+208We9VsBxRI0KLLnIIqQ1BZt
jVvA4uO4eOTB7bgvFj2kolkxDAK+ot11kIzvTWjmm62PaTqX3WDTKYdOx8QaIW6LMKBPYPX2n0g0
461Aqob7MYxsl06rzC89hYa9QIAYEdxZ56PiQBSrctTnqhP20yhg1cb9MH9dELR/7OnKr8Jyy29B
yNoj74xYd1BsSNIFmwFaDR1g306Tv2oW5DMNAppnqPokDkMXXDQAqHZbsU4Y5SKj+aKVHg1APdgc
xCEC13XSbIF79KYvFowp8ssrQmf0eo4b5w5m6ukeHtGIoQpzPVVnLqRFhVFEvfgG3h2BjbAKNRKS
ENWwEYphvBoClzcZOkdUywgwoRoGtogJPVsVH1VVTCcAX4QvOWDxtK+1vnZb1x1MNNDztgza9zVa
l92G2iDDoAiegbJyj90qw9scSt1wFgUYKZBaZ22WT5bMiQ/BRCDyW4FppcKjt7JBPjwXXYGQtKAc
M8GYbz7pmZojafnyhik+00NJNnORg7j8TNoJEPfIpnKEYGn0zWxH8zEB1EeyRU+vcLHVU1c36q5Q
pd5x5CmglK4KxQZpwLQlUy7y24jCXdhtrg/izG+W36x0a1N0Fd3TTGoLjr5FQrXY2mnfQB89ryEk
X6K5wJO0jFH40a74TdBKeVdrgpAIwv9DEk+OvHV+0BeeaHvEIYog68a2+Q74ks34ElUQqLFpTUCc
2/olCAt30ax5V2TOOG3w/dbVFeRTehWgoMxypDTPECyb71pApqhE4Loifdu7yidzM8gcgYBm+Ea6
cvumtbVVUuebP+0T+XUpWn8gZWmOBSbA7F2UB88z8sHXqLvcVUQ2vSXBJPCdNgG8LhWj9mvGVUAh
k779Jt1cP7WkiO7lZhBc8lDG0yKeQVH2ZPKQcguPnBII3+msdnO7m9swfMFZCeVQeQUVdigQRE8I
xSyhrQv0JUbuVJfSL0gqhJFvv8R61s/4phEM24K6fgKIUMC1iyfYb8Z2/syOaA56jM65oC142IN0
mAsHo+TXyDG21lRAz4QVOLQfNQdJmGDkhu6T2gTFIR8oxpBRKV4pZEXEAMWCJxiGkOnQTDTdTvcY
zRXzgqA1sa55JGDOy2QZZHVJINQ/bwbnxkFUTiKoULur2nh9XmOcHj69hCupsX3vJOZqPcOAXC5q
TuYqM2sZfBYN2lVIyU2xc+MA8iYOtg+FfihhQysw4afT9mqFIkyzEe/x0ICDirIZOz4GEsSSn7eF
WLH7IAEfJStaaIswgbAPtW3NvfCeoX1zbREnlQFjn4AJLl+UK/oXhNwxXgMNXIlkeNg9lq4IHqey
MFWGpHy3JS0GrqHiBsBfJ3CLa6zF0hbYKTDKcEujSW97T/mK7KTFkCYdku26kiE5yALq/g5KqAMz
HaBU3eZaoR0IiSLJPDTmVi7zKR5L7S2gR4ukL1YA1lTQ9niaQENCEu+rZ0ZNhG+0JuN1O26IszQB
Md/WskfiI45q2H523iN1ZC5z3mDTqIkzt4u0XYLhY1ECTLG4YKjaMddwm3aUDsVtjDlq2YS++aKp
ty5bNGldhjhPfde7SLfZOOYRjswBFZww5XIt6wCDCxejMZJHs3VcEoDZ5LZEtA3jThbXP3LsLw9z
XAUfo7AVsHtr5P0kkMZJnfvVvkRaZF4X/YiBHeIs35q+34czj8Atm+q1mucZHt9q+MHVo4ZuTipU
/Hhk0Q+sLP+6kKE+wlVi33QUl5hbBBX+2hdT+O4mTa+xDW1XmKWIYXFwtxEoxjCZ69hIbK+8YdF7
0EfTO7bX4ECDoduj0Y5Pw/Wa8D1H1uxoprW5LrDAHyu9kAs2ckzlmfl8WFqVI/Wp4vMZQ23eyw0y
N/JHNNKZIU5gvsjcfhiMMMM/KkNo2Wv4OkRYE+kI5wfTKZk6RpKj7hewJ2EvBRe0as1DvEbsbQyH
GCZE3Yw8BXVLo3QCKP4tL3OHWR0lDMgBc+MeRiqhD+GfnQF2jfddHa3YTZZ5uTQCWhQiMsU9AWB/
phoO86+H2Q3+P6y6K4f4/pg54JlAYUHd35YbR9DGjlDky4UXNmGq5lfB5OwBA7R6+f+An/zXrKRP
COt/Xkkf3Key/Y///a9kcbzu74e+SoAiPARCwhnIPAiNqGJ/L6X5LyDMGORqxUNGFKay/rOUDn8J
I4CmMcgTTgVmtP5bsjggkh9L6Qg1NMgq1Aao3IGxyp9k8XmCao9pfAQAOlJi/xi0iUE/9tIEOYZ7
1B7jXWD+IIPAFoSvbRyX12UVte8eKYA1hWIZ8CTElCWKKs8Fd8Gk9b6aGHufhdF1hpGU23S/bnPY
JfXiNmS1+gCyUVApdtaPg78+JefbLOwkocBDOHI+1Uhw4o/1s5y2NpuQmph3kOfF4bfxnfMgthdE
o/Nr6pf8Cb6Yef9tmKcznkrMigoUNmhQ3vXeYVzF6xop+YI5ddNjgIGBzzHF9IkET7m7rAbLvmzN
/2HvzJLjxrbuPBWH36FA3zz+iUS2TPaNyBcEJVLomwMctHPyKDwxf0ipqiTWvVVRDocjrsPPVVQy
mUhgn73W+hZEK6OPyXNj2a5OlpF7ZBpdfuOwdzikhm566+pxyeLBBfBHPEUtnr5DQYGZXU9NrqxS
F4qjU2jZRl0IoVOaklpNEI73WSryQ1JJbyEkFAkbA6f8wrc+IbeiOQseVVx67VwcAd4wfP5bfGib
YydkJ29q74Yj6msrVbPLn2miusJDaq03PdYDr9Tmw9hl+m2ococzyqG9zO08v2TLkTwS+CA3mXMG
egarGd3oRjm/WxFEXv87ejSae8L6UGLN+EgYhfM7gMQwRTywpp3kuZNt1ZCjzToCZxv7EfZkeJFh
T7hfNDm25NKZSejqWn6beXP3ouZYl/mgs03adnIfDcx4UuH5tJlHjRFaDwHhVR1Mg1LJqj2zevw2
Th0ElLJyAvwb9qZhk/xA4tzmF5JOMJAFYmNHPvY1IvFyNRnMHwpputKHlQNFq3JrYi6kQmeykcnc
PBGQD9eOVnXfpjYFe6EMcf40JpN6FOpIDs0DB7IhtWkvKXUVihz3ZGBKrEU0zcveR3eyNyPLrDuS
J/16lARLfNUO3ZtOt7IAG427ncNqfI5h4imrKVTnwADSt5ngDElcAi1/3DEEdFkWTI3p7MCJSCCL
mGJSnku5/E+x7LqXdlbMbcI3dwsfyfo2R83MsYxTluf2xb3pxhZoHllJJvnJbI5DT8yJfFJbftOh
Ie/UVmU540Ko2DaNnPdu48X4dWrevNKVS7inaevNTGZwa8GFbVaVYYgLuyWeQBA0O0ZAIkAM6I26
VUs7w9JuhMsPhcqDSJrkS2XgJOboqFQpcVTXPvaFzB/dfoy3IwGRp9wo8tveHvONsxgqVnGk1myb
MifxRepGazvOk3vRFHkLeBBqjQ8xXAMqJevFObQIQrUYQs6xRHXGqrP3XoiDyI4t/UVh1Nmk4GRa
koqQCrx51vlOqqP2YCoSvqdSE8BWI2sPfRKlS3eVJ8xeYe57btlvLFkUNxWEzBddM6anhlzBRR2n
DpgICZhqxcUd+90g45dYzkwejVf1azEwtK/TwSDuG+aQUPJm1P1mSJudzt7/3sxs78Kw2QjAfUhu
MHkBs+OigeNTgW77UoC42Xa1EX7RdKEGs2nVW3h9+slJ0VaCUTCpy7Qdnkf00CU9YWqH2tXaIygm
rpgsdvXbCXfKqarx2a7ibk4/hypb9dVIQvQydmPlje9NFEz8EvtFqTHWVsu41+PK2s1kED+jsmTP
Tg8emTkx6n19cpfbTusi4cTpG2CXSIHUonUPZtdzW4rkQmlUh5EBU46vVpfaJxna882Y5nO6CpvR
uLSkN+6MXDEvBgy1z5NXlke+kPqTC1voBGZKe5ee0+6T0M0uWjfU9nDHYwY7FdaW29naGnNdeAqd
Ba1lhI7vanX/WPek7XxRVemV2yXzlhV3dxdGoX2oRltsOKha9+3UDwYi4mjvNTzI30KgN59TLZ21
oB/ZpJK7B/5MxtjixOgpnDCLxc3Fg0g1APWM4SNz7UkIwzfSlhFO0YdtnqWuLnZI2wAle6VLWRPn
7sF2B4eEftmV12EZmrdV5Xn3REEz31Q7nmHxjLNOJxm2Zd4enzxDIGcYsrj1zDb8yu0lPKSe2iC+
2vIo0BkfmZsrEcS27L5iYyPw5+S53BphG38G4xw+d7M+BRmRszWke0xhwDCBDGvVC54XlNNGDtcK
H99asfrhUpCUfjLqRN1yYw131dSBasgt/DyKkssV/5XrK1Olr5H2OHQQpe7zYpzuZ0/ELzP/VjCC
m1JXDcabOmIF4wIhftWGyROrOYd2veqnAlrc2CT7zARPWVR2AZ27ZDXQhc5F2WUJQbwBZqBwqwNU
O9KVIp/u09Q1d7NQomu7nKor6Nwctlo33ejSyIAVeWQlZRF/y0u72fatjokIvtPWZPeor/TGBp6t
DfrB1ab4Oi66fjN4qAXRGNpYAKP5qLiW+GITTd02ThSvh86bb2Oo/r4wZHk7Qgvf2J3hHQxUqVNb
uNE2VatogkJBSoUTvhlEsepssGr2B+LY3W2a6dVGJ0AUYDxFqpJVrwqeICn4WqW2BlBhlWEzmNis
2bRI0QAsD/Y2isr2NrK4oa7sxKw5BANj2hS2Mr7IJPRgkRSKBDvoYFybrIIFBKSghDS0mqY24d6G
+LfWsT3X3XQ74yhel0Pv7JQin1aaEUfQ2bQYlFrrPbYpFPioz/pVDPR7Nc2zByt8hOmQI88rfaRs
nZl3SbJwSk9m29pBTOqQB7anbE3ViA7jKMROaxuIUURK9y54ZfYCLf4ypUTwg7A2oj1bpU9k1wsK
xXauuYEt8CtnWItmTgAFKQiMecK753GOPTQnY0azwY3biMhn9qixTGoVOVtMjUaZqWt10IatwBm5
kcC/1w76/0YH6sayxWq2hB01XzSt2GDNYEsTzIYhh+qYZk61r3nXJ/hW7cZQIGPrIjf3du+Fl1Go
RiwC9fLK7PE+gCpPdxE0wp02S2f3nWzPnjDeGt2sksyHNJ9aTKq9Bn5ixFK+xzIZr+2wKEZf4bAV
oWHM3rCOPCiPvyDwhTDtN9GE8rHgFL3mmDy7aFwLEd+q4fEG0TyireiGYj+Ds6uexowN4To3y6gE
/zdbF2Yx5Q+5bStvfa20Bup9wp5FiSptPyl1djOAlUl2eFFCN8jzqXzvpq7iebTYJXAy1/VDNDvY
58bYbm7JoyvXTKRcjglfym9mHLn72YicW6S9/sugZvrTLMN22wsYJmAHw4qvft5v0KtZfbStUT5w
kekPjqNUu8FItDtP9SDZfafyp9AcXpvMxIPQs228aXHQKviM6XHISZQWfix7cVuaYwp8pkasGirv
zEVQ2aUk9uxpzF+DZaxYV6P9LDx/8g2SQOs8ly+lk84PWBPTaY1J1Dhi7F9yYwvk/3wM+/9Orf/+
Q6khl/Lvj6V3r6V8Ld/em38h8fCDv0k8+ifOnCZuKNNZ+kb0XyQe8i9o85pqmh7yDzrOj3Op+0lb
fBjYaDx0IYNo9e/nUlIUKgdTD0XbQblwyBT+g9ADFvlfz6WoG0t0zLJdDqWkMpbf72eJp8OBj1hR
zDhenXzPaiquYb3YEZYhNopVz6Vj1Krb7VAm3JuhybLjfF5DqstG0j0vJ1nwQvVQQB7kvQ0qXxj1
VPsxR4Zhky/7TWXZdMJK5CGG17GGl2GpMKuIp28GkkwcaE2hqYEh3PyknfeoMuzTw1Rame91shh2
EWSt17ZI02SHHJ496OedLITO6NFCyP2aKmr3BibSPU3LHtdlLgvEebmrW5JqA6oE8OA2mVs88pgr
A6ggQEfO6+GcsAYGrfPa2Kw6l8OD2bmnatkru8uGeV52zToBYdLjHNJfYydtWfcyHIyxQj9AX0lm
F+E0KNkLHs4W810jBmsHu53N9rLjJpsNcRXcCutvUr32O0kT+z13DYFwHmLAX3VpNSKVJB1m+nDQ
0faHgYSJ4pkEzvvuelYUxlU7dN45lkJSDJfd/OTWACas88reXbb36rLHjyL866tJaHR+OKFMnwm7
ZzxqnUy9qmK3v3PSTm7GRSFgkSC/ys6qTuUiIGg5/8FLbVQFAm0QMBepwR1BdEiWp6fprERYZ1XC
YsN11XojgJF+VF9F2/NsBh7IrTcfqygAUO6ClB/dB5pg5GfypDx8LE28aKZ0b1w+ytZXQwWVRFkE
E6SdjKd+rPbgMJTi0ivi8tU8Ky1y7McXm/PKDcF/C3OE431pRQIesMI2jVe63HHmF4hZxQTJHha8
54Jwmga1u8mNtDsQF45Onozy6znH27GytdJ5q3Io3LiavZXBW913ALO44YabZMw77th5cuTRMe+q
pnWpL4qzIyqdAgsuqdHPq/k0c/j5zNkr3WVd020xB4ZXRjoKfqFUflNLL9saaa0A7GrrkwgxaUWq
wjG6r8STJYD84J/KenM9wRrYTVMN1p65VO7MxlDWJXM1Q2BhwGVpiSmDpTU4tKVaVWZrgLEQkACg
c9Bv7Uq/Meu0Mzlk28MbXpT4JWJHdEiLOfuCgBbG2KFaUJnzYhyqR1j1ODBS/UTfgviKBzjj+MVm
YGF7d8xAWE9wYQ91BvJN2E5S+bkzMyUlts7fqungR7NOtwlaxJZ5ocahNvhl59kvgjuWXIVdNaV7
+IretVGJ+kWzwuHE/iK80aeq/0yWPipWZH0z3Q9VCoFWDnQivjx8x1c9RUtbkXXmE/v4noYSzrOf
OwMRZxVh3IFT7OnZvAIHI46j0+MWTJvQMVd2VeboRHExX45ofwt7VYmv66qI7hNNzVGsmjR3l0yO
+i0xqgx6ulDmdwNr3oWwxlKDBGw2mAvb/F7iX3usHSDeAYA454qBLn2YmYAfKqvB8NJwPEZcqrPH
0olHccizvH9q4VdUaz0qrdeyl+VTavfFM9ZAmKoJp3/SO3ZMuQYO8wH6lmYo+xyMTnOwekvAqKtZ
9Vxi0U76NTQv1PbZKyf8flEY8+VWk+FJejOSZ+YO+h1QdAQBPiMr8p1uBtQJ86lxVxIj11GjkwkE
v6NuUjWeXN/qzEL1M8DS34rU8hSoVKn7ZHOf3JiMkmDo8RwxVpWNJoBDlC3mto6kAEasRYtpz7pM
vEg0sWsqDxD08KljQzeORlV2D/ybqOxpRQqjNeOu8dPJlV+icp6vCX8vwN8h8RY4KiKRkTudvRGx
qsMSRkJCFSQ0sbbZSN4kZNztNf6f+Goc8+RbMlTfzLQcKIOhXyJUchVEEFIVMx6qFQsQ5UusDEO6
HtJu3BGuSj7rHf/kPx9v/kP36YQk//3g8l/Nx6jm93FH56d+26Z7n8gAExBTbff7zvwPY4r+aQFQ
YDKxWI8DaP19aHE+McgsRnLL1HXDRiH+fWixP5En5kBn664JacDFFP4PhhbdYfz5xZeCSx3+BaA3
m30+LvKPy/RlYT8NYGA1k66WwJxjJEms0hWjBf0vrXLJgY3CoH1RqiOMSLOj8Mccag78RsXDrHJm
yIu9iuZu1iN3/ryynuvaK07liFukMuJpNyRCv8WDG/ucZXXfgHG2wuA1AnGkxCJHHDp6tWG81Zle
fFOUoT2ElQtaTrY0grhsrlqWSX6qV8NSr9SEHGHm1FjsEuqb5PTG5tYSb3Nb5pdJH5r7GUc5i3ty
Sw/c5sRrKaBBs7WJTrAGCHaaYfelVZLBH3lOrHnH05YdPD7fSQzYzDOnzHedIeIdUZGWhaaOB1Oi
sWm9XV/FsRddJDQY+TNRVEqhpuy9ZJq4Gnsbk+iUl+HlGEXJ2gHmt8OJHF2wIGoPSHfqxssEK8UM
SbjgYSnn68mU5WVVWc46S7XbpvBuGkv27R5fRnjTWhguzu9jo9tQ1bjb9xk4fm4LV9NYIt2PybDP
WuHteu6zbyicHMTVXLuZdVb/K4N87etsTcYb2ZgBMK3Eh5kSoz2gNqSvk1NFFutKIS6YxYpjOnhz
uU2A6jwLHDePBbZYmEyiiZxoNVZmwcA12FG6js5Wk+UmZ6xCOTT4TZzK3naLL8UAf/dZjBpSKKz0
7t6bBBaWsbU83ApKmTpYvvMWnvWMd7WIQi2QSa4c3KxyYNTgjNGruN9bTWZsKo2IADRePd33ajop
WKc6ErOE672nRB2Lo9Q780YWGYfPQaO8jcYKfXzXUlZJJAKGQm5odbKMgIQC+J86Fsoh1pvmWoEK
07KlbIRFCodLcuHXo2ecp7oJqT0Gz/4SV2OxZ7wgNBBO9kFEZrgWfGcvAZLBm5vJpoKqNJ+k1sMw
ytQiUHlkbT1PGBtV6DlZszjpA1cO8c2cl9aFNhf9KR1IZcITNIOcW/zJGz3rfWxI6q44bE47clzG
dYize5sZjbHj8DzSQFHqmwj21Lax6CeaEboDSfrYN7FnbpNR5UBrTJPYOAkbDgBAM5QTRk1IDg3l
QpoHJ4jPA2hTbBPcTPlWZbohbzL2OmtdoxxiMk3n0GMA37iOmb5a+tRb+JfT4dKrBpY+sVtj2rSL
5FkKs76LAQGAltZbsS0yoksNWZMdx5D5olWL9tZloCNx64Rbd+zSTaZbmIlZ0rabia3+V3vIHKw0
pb7NvZL2ITVZgnqxqdI/aGXyMaXO7NKox27LeN/RQ0h1j6FN0YYYcnVgxS5om2koj+JiyvY9n/6F
QHMPGqXFYtTHhrdu3ZbFVofpZttXGbIIPCnrgkmUV0v1aI1hszxENZ7yggXDLUAl7boSVEhZsgHM
bLCI0UGAfnG6rLljf16tq9yRNwZn0ruksIZX/obmIRQJtzQWmAlh7NDetGNfXNEK1D21tWf5Xtmm
N9lid7Xm2iTN3HvafVnzGM+Hsbso9JoPtIyVL0oM14kt20hkrIhcbdeKSe5bItufjdTBVMOsryfb
eVKqLEgGRxm/8yr+0fbhP+3xvJzmefr91dMZ/O7//B/96y9bhd9/7LelgrGgFMhA8sDlSXyGIvzm
G7U/aSjWLBRMHrYQfTjv/1gqaOonF7oHj01Whcvj+6fHMzI3dicWCpbFXs77R/2mGqL5r09ndHTM
rAu8xcV4bTJX/LxS+ANIExsUSkVxrfmWJaoDx1a5HmnO9DUrsrdekXT0CKBuKHAhf3BrrLyhZgNc
msZdZu6Dn/6U199TaP/tp+rVBSzyczbNsTVmFssi/w3Axl6aYX/+zYz/s2gey1pez1UX1IlG5yyf
xq+vNxedhYMyzANrUIgIzAEe/++uj1+YIz+/JVY1/+JNMXPxAioAINXDFPHzm6oJxpB+L00exnO2
z7rK3rthrb5GWslaOuuGTlU2Drt/d2dOinyvz2eYqpvFTmEYeCCSlD1Qouhc9Zyt24B8sf7sLoch
l3AYj/blhJQWfXvhLccmWKM4/K1RdWh08AYjSM9nLG+aont1OXhhi+UMluqkLdatKRLDz2RsshWd
C3EfTzXB63hg6YPfysxuytLNkrXJdPWVKtn02hKh8jkq4q7ymWjcbBU3YXxfs8bQUWqSTKy441jw
iNmyr71RowzETWueqLhfMY7iq+S5IsJpgcd5clhxOpcat+sJqbcnOkb1kGNExXK66l8SfLncvlRF
PmvF2H1rK7CJ5NfizeQmwKHByhTXBrIoNS5lgkt4KqIru46Me6z38rl2SnFIMQYEsurydUfX160g
sPLZwx97TbRJI4yM5KsnYHbha5jP0tCM+5Ek3z4b8mLPSWnsVyU8kluNQeTSIRONR1fRslVhxsMc
mHgRizXfKIqASH12b6RZmGimirPkGpEkf511HZtyXDVILz3jRDCQaXmu3YIKC3JD7UnvPcp/MZzS
p5Na5p3amfDbJ0Q2mab5s0X90cFix/La1uB+LXznV7AVpj02U3opdOnAOO1YA4xGS6tKlwzlqRNj
SHSZviisY7XgLw5SUIEsGhX6G9mq9KJKuyYmlUD3COKOUd54U1s/siznvGvIqoAtLyPSSLlQume8
w+5WHVymGY0gor7mbKveheQtrhShAXkd3UgMa1XxiuZa1crkDTXfoDKAU/W7vbSvhZjt+hWau+o3
CVwvpuE6PxQlZ1RnqWEyvSVZqXeayQYk6m8pmxQH5usREnDqnsAJgvU1Zf2VbtL5wZy9+utgeepD
XIv4Vld7Ki5MZ5SntNElIkLtdBcKJnQ4s2Z3NqWn7EpS69Z2W4jng0Q78ykow+UdwXy+dsaxglaN
Yo2IWNZ0ABd0bg2KLIMIK8TeXjq3Jqtv388tWy51cwRkZC0cNDR6tSRdPoiDGoB5fbC2504tCsls
0jCJfUqjkZJCA8tQhcslaFx4kedSLLZ8rcSHSPMVrtVmXU1j7luTGT30SttA0v6tuMqbVQrG9N9K
q7J5sPyMu0DgZmn+RfcK4ddu5hyBQbjHbimbGoXVXIepTd3j0jGVIjbfnZulWMOiV5zrowYkJvo5
ACX4WS85CAC0oJmsijUYqpp5mpeKJ3YVFFQ3YUmSDntLaYbhbhpVYzMMDkyopcQpmopu9KWR0g/U
4tw91zYpc2geR6ZlZ+tRrXfSh7G4nd0e872M87vMyuJ7igbbWyogsFUuJUsyckkBRp1zmQm87fh3
f5Qn4cBg2OIcyC7XtCkWcvEcZpep3YZsWqYMcqqqFuKrLsUcrqxI9sSH8JueOi8vTkiX1npEeTyA
zWm9bcdnTZ1Sx+1DdgXNSmh+ID6JKeRan3/DWbJki/os3Srp0AU9BuHCp5I6+mqWSfkZG0KyN9jL
knjuqZyUiXmTEPq+VuxJHkOhGxeJzL2DHdOtQ20YK7QwsmDSh42zpqt4fE5Gbvud3Xl8jwC6+ANc
z8cSLutLGEfdIWzr4X1uai1wZ1vdt3at83Wt08tCrcxd21rq1ohzQpzk0/i+OG0h8pVJQPqLAZH7
Dt89qqjFEfmyQ10PrGm2SWsUkwlpog+br5MZQuEfK5CQhuR+vqCC4z7FRINJhT5PbWjBGrglefDB
SdTLKOvsk9Cl9rWRYUxznj4dLdVKgiQ0yueKCXPtAr/+ik0hPA4tPq8dJ6qO8840ZZ9jQ8MmFnl5
/W7TI3JFDjwlv9gQo5q1LENElrkM2qKoi3XSze23cJA0wUYmXb9W5Yx+5BldEDYLt7KKomNE6+t1
nqTqjaY0Q7zGG9CcmjhzrkY03wssLxRGJexQ20jvdRwL47w32jQ+pC2rzxUJWoq5PRJmqzwRPDGa
qOeRA8KXOrRxLi7LphA3uVKn266cI8BxXh+W63FK6msItGREQm280KPG3RVTR2xswlDrl0DNT6Wp
Kbeai6W8Jo1z33sUToHaDZ8GUD6Y6Cn0WtUJ8WC/TwvvijhddVOXAJE10nO3WOu9ezHQiDw2ZQSE
GuTGXs8dXD1DaxaVT1gmPmLA5TFhDKGyqeiQ52+c5/YjeiLitUzN9t2rPQph42ofNzq/bQvDOfbt
SC8uWwOWNqAJ7S2pELTY2BZKwKeu3Jk8xmHDqGCXidnUHZR1kEEUQSa2AJpVVOE1f1uAI1wO9zhi
pptahcg9lCK+JDyrHpFq2q+60z2EKZfZhis9O9pJB494QGS/JeRWcETu+veclvBAo+SP7XzbUr7a
ZPdNVuXf2jZGfgF7Zj54ZBDsbTmUwwUQ+PQ+bsf5YFKQqm5qjafKPqwN74oNdfla8TjTVlNaY+0i
nXoZ1X25abROPjjx418Ppvqysfo4mf48xH1gjwE2ViaAikWAb3uN3a29fHHJjQZ0jB7Zu48+jJq1
n60dWuyPh2ST+n/9C/x5aHfovmRH57qMXn+eIh0qzElotUXQrGknXoNvONxHp97X/Odq4z3/3di6
yIp/vF/yZKwVSb05PEVVhzPHB9kxqSIZKQOQTO5yIBDEynIvBXD7v35Xv+4Jf7yKTSiB4w6AuI/Y
WPA+uMPGjjrhrHqjbXfdKPUmr5z7QiYHrry/mcV/ncSXl4PEiWqrsjhlb/rx4CNhByy+2TwQzudx
+hyCwcUTt/a03V+/rQ8f1o8XAvVhepyyNE9f3vdPRMiYvkA1VmQRtIGWb5IdKw2foNLXovDVdeMr
67+7PD5cn7+9Il5pVq6caNQPr5j27dDxZc6DlL2TEuDr4TUo/5DrUNuqARVia8fnwTsG1TreOH4X
nsyNuqOK+a/f+q9nyz//Hh++J8LGQJt6/B6AEQBuULO64jnxN8dE7V9+kOBUYUeCK7Q/MkwaNlG5
HfFtlGtto62TINsREL52gmqvBRinsG/v//p9ab/eAH68MdvlSjXxm4Nk+fUjRWiWleYURWBu5b6o
/XTjrtu1svUewy+sZf/mStVYA3z4/rE1VnUW+CzrOfF/eDmKQsAMAlYLGKyjXbkJ19jYqhVL1TWn
ieDv0LEfbAbf397Pr7d8rj9dsbbdEXc0eb02wAx3D/5/W/n75Jiv8bn5SF6BfYy5dgArkOn/m9vA
snD49Wbz65v9cLNxoRDO5gQh1+5qkibyFUbsUm9q3LU44Va0V560pqVIryyMv3npf3G94u/g0MT5
HFHEXT6Hn943yj5lkNDcglkI4eujx+xh5P/8SwHlw2XVYgAGwn3664v8b4J5//RWvAVD67DaAStD
7ni5gn96K3+Nof1Ha73/NyGqP1Q27lj/XpvzX9vX8rV5/7OnaFHT/lDnXJZXrmm7UEot52eSqgEd
ytB52pEdZ8+n8VX4sf6zP3HX1giTq5RaLjEULsXfY+M0jLMChCvFj6HT/yN5Dqnvl+8bCXTuK1wm
XC34lKCzfvi+JZ1rt/VsNevRrPF46mccSdoum+7FT/1MealJyTzkElzKC3bSLL9EZ7AJyA/tJqEO
wVi7C/kkUaR6nKkQ2Qx6Lu4Ti22+QvFbtMpSsCksSQpI0LKlnVGdzMdCAxK/IuE4vqQpJOsVcr4C
/Ze2lGfFoMJDbzx5JPXdvLlw7Yi8RR0gDtUWTmDQuyk4YONBptsrlSH+0z7MfEUz+2ePNcQhOpNh
YrjAz1nTo7zbpZXrByFs5tvQ0LvY1/RSPmQF54UAH6xF7edQiA3xZkkoNDUDThfWtVrHlgOcQ+pE
NPt0vioMgDiHmeH56EmRn0iD5JfFRPAsmboeZzdO001p4/BYydhIBcAcmjfhszZbq26aGTpp02CX
0nQSasxVXfqMA4iSTrWuQmBMpoZdla2fQe3oaG9oi4CYBGr2xTTy/oVIEalpoVHcsFYQs9K1M1LC
sadDduIAmtbaVRbpsLdJxVcP1sxCkMSG1ZWB4Lz5uec0Vh0VozTeJeDZO7uozfuh8RzImITRxQpp
WD+qlohoFMwa3XqlpSW+5e2IN/OsFMhFNMhGW+7hkWo7QhxoCnhu0BdoAKM1ojPVjUKx6kW1CBEU
LGj39lmdyOJODTQaRk8xnboBF5N+rY2hzqmvco5NkSRbyZHRx9dOL+NclAX4R5QQdufWXb2oI8Wi
k8DtFHfGop2Yph1tyY8YB+IK+deRyNZ1uagtGIlHKNIoMAspYG0uqoxY9BmiOCOBz6w7OCKNHllQ
VIg4i55DewoXf7OoPPMcCgrtWM+ORBM5AC16kNuxE69Np/TNRJc7q63xh+qNyzJRelcWDLW7ZNGX
sixbpKbRtal5SAj+k+8d8IigSuHWQ63NhvGtzat0YyzylTqT+JeLpKVF5gSrD5lLH+Zu0y/Sl8ZW
BhVsEcTCEMpKlCwqmTVQOZMu0pl9VtFaKdJXjtbDdoxjZW8sctuMRzxQIODexBX1H95Zl3PFLFZ2
bvcBtVXuoSnpbMYrCwixT4zp5C7anrmofFOfIvhZi/bXLiogXlrqOajJ2yRlqwE3Q6GleADxsKYb
BNu8cd1gvd1NZ5XRXQTHYpEeS6c3g2yRI2NMiSd1kSib1B6PHXwDfyxzdcQVlA1B5qrTttcFRyaT
sVgJ6ckhWhJuIdw4azkOSwt63ZycIc23VSLsw0S6PUgW/ZSO6fylXDTVEDrwUdE7/bY8S64onbWF
Wkk82Jfkha5lGisH7SzVNh23raBqS1q0VVAPcTAQOPtGZIqVpojtuNt2Z9k3rm3zJhoALXOzHl6T
s0AsTLa8AGOs6VGmYjL9csEwSBb+KxalPZGiUWQ3xpjg4dNBNwCXWiAOMKobC7CDsyAe+Pby0XdV
R8Iqci6iMkTxHBcsBCjoEFoWGGL014wKUKpk1nWst+9g1TLi+mRGWAiq+MzbBTkRYc3cYWKjn94u
3Qnmq1PcRHixbvFoUnoq28x50+C2+3VtqQcuqup66Li/15Wd0aZFZolCizMGo+LiZ+galQrLT+5e
CEcZggpowQ31sqq5i89Ijf5M11AJLBHK1i2cyypmtFF0lMHWehZZQVV1+IziBdmR0SD+eVgwHpz/
G3jKdUgI12kYW9bNAv2Yz/iPMwnEKaNcbIHL6pd64S3KJzAjUM/LPm5QQ/cCLCZvMOIO+jTIJmug
CFfxtj1DR+iWbi9KzS2+Sp2a35UhBYXaPDPYl5R6vICwS7fzNfhZK3VOZppXIhvkCeRfhwhfmoAR
Thk9KZdS6nDEH7VAsfj2Acgqmqz1fBx9Q/lsnSFa5cLT0qRu+N3C2PLcGp5a14xHiRIY2JOtgUSt
3ge7jNhl2f2pOiO76HsDh6GFdaCPSbqzKqXdsreB8gWewU9x1QfaGQJ2Hkz+0aD2n6a/fh/BDOaV
fz+C/Vcpk0p0yeufZ7DlB/+QYIHswJ/HwU0nwweavabj0MY/xYNVw/P9+wzmfoKNCeLeYFh3fqiz
P2Yw69MyWOvLQcEgf0ZbwT+xSH3YECwQIJQadVFz+QX4TT4M6/+3SjQ8/Vc8KAdBG2O7gcUZnxPQ
COPDIkFaRadVdaev66YowouWb3Dki2mSNVQvdBdu21gdG7BXpzEeQQtpvXvqctM6uqU7gDZs5y8z
PVrHHhcCxtDZRm9Yqu78bB6hMOAHsx7LUEDM8TrqHaOxF5jTC63+Fg1puxu5rQdKTVu1qib2S1em
9UbvjP5WmxT1hV3LeCGobLy11N4NqPGNNm4Tkv7Lxug6UUhQwqNQk8+NismF0UatH/SeQY7q6jNT
wo6bayOyqoueSqZjNWcQovtQg0TRnakUkC/ptkGTbJepTYkCFUTMLie+oW6qqXRB6et9iMmRwfAb
2nGp+m2CNuH3tM7vgRUUEPJDZw6QI7GhlGcfqJpNKJ12rueXDQNoS2gO02gZESpcKWqIl7TTWLMD
M+rTfi1tiICo6xVED5D/doNXGI7+PgqRbNEMuvQkoZ7t0u/W1bONld684rlavK30ykQ3Wh+TRIFX
3nwlyZd9ob6oRGSesa/WPuCz+UsbR8jQUZPtK4KBjwTkyk3b13jdJBvzAVMK8b9lySrsuqe4XGj6
LjZ6Y9ory1b2f3F3JruRK9fWfpX/BWiQwX6aZLZKpfrKKk0IqSSxb4JdkHz6+7Hs43tOwdeAB//E
gAfHKEiZymRE7Nh7rW8RR6zO7qjL704+ZIc0EmQVMAtdWYBrK7dbu7pTpWXPY5N2F6aq3TmWoDKZ
G+efhO90J6Vr1aMDBd8lHjrNb7RfzeOl8y4RHaSPYu0sY1ROLtSyC44b+s7KrbLnee1FzyNgpB7D
xBQqvcTr6qoIpFNUW7hLzaS+43ahf7VTsZoSYrHQ76LzjQG4Dcy0o/DxojgLfL+fi0Cs/XISpZCF
4Wmnkz5irnqMR9TBuRmTep4tMPamX613/NHJzfSrIY9gdrXcrn36+VfLnmio+DSufXxn7KP7smrJ
rVeQN7wxdhiLyxx0HbjmKj02LeNUyOR4VI/SjXsdd7bbzbvSbs1PkZAV5uo4OXYDmZ63qNnHZZvO
DKo7A9X+RirVfMbKM69Zz1O+hs2L0KMIfB8QqZHraRo/hswH6DfoFdHtZoXkwExWLx4A9e8+17+f
ptaPt5rhj7ClpXMA5IQeLsobH2VeBSw7RauFQ7K5iTB62BuFx/8rE7P1JJW0u00dR9V9j0mS2Wkz
3C59o559t1pefLrYRwMbK3lKudndTpqfI08zmxcNc/QYxN06WwGj3j1aqe7kZOLmafdDi1a2aUxO
+A2zLUKa55SplZ/b6dG223YzoL8DY2KPb5hD5tCxF7knsxUvi1hyG2A5IVZsUGMKf4lhE7KFUdPR
GZDnm+YjjZ04brZahNt/k/mtve0n4QPwtg0sWareAwOMA3A4aO2dqq5e8qnl1xWiie+XajKAkxv2
o18VH+Oy2hCjBa4WJZp+KfQWuFaKABrhWgEUBq/ezeRYE1nAXXHyB7ls+T7nYPAHshr6FJO3hrrb
LdlJkEkwwINVxj14TGYwnyoPJDY4tjQSSXVkckkAUit5Y45DBe25GGhRLt6Zc3olMfE+IoVv5foU
TCJUh5+5TYxYD7LEWX6mVibOOdTLpzETjs5N2kof2cxi1Amxk12xgRfUmTGBJAHoJwozeOX4L824
IfpjNIBPtK7zaqed1l8EkcnHqsDTubG7jgGo4kwLWoL8jrmeRziOPONZGIOb3S+D3YwnoMHGxaRn
5++8gS/Rweh9aGLZXdQSW2GfOmo3em5kHDQkCBVSOmTBBKVK/5QnY7N1zNnYcA02b7S4IC0wtt3X
dtIfELACpczBTmWxqXNrEfl35kXiK1GQMTxoqWHr0lfQtOwBV90MD7l8BpaFUxY05/NiJwZ5VF52
4+Qi4pKTp0dtABMP8cojxYGR7ey01o6hP+KZZadwzCN2Mt/mTIldK5GmNils3KE3ySsZunuLB3Mz
2d5xysTFIumFjJot/A65dzr7o8jwddjJG2XqawnBftNP7WlJCp04ivraltkdjLh665GWDqqjHUIj
twzksJwvHAQMzapZ32fVOIL6TdI9Qn1okbHm3WVe9AqbgHXJjr4heFWEs6aOQ6LunKzIwwinSqAG
wrA86fAnpAtq3jmK5galjWJhZWtq/FI5uyWxxQfPfI9tZSjOEHATIEcma5br/Y2WECSY16WNKV7b
O8XKZ+JCu4xPZp5tWVMPrWBJDRoyZwTdh0TyBEOSuxFR92I2PXHyS87sAcH61tFAciL5YvfjgIPy
GvEUQYGdHO3e75drpyQ26yl6zkw6I5bocaVpdxijuLS4kxd0VhNtmFLus5TM7LToLwMuKofmwk5N
053hD+/12B4rknzcpHzIJrFFHb+P5/mR7YbdrGrQBrsYsDnpj8aAP0kTMLWreLM42hvcbDotYjmu
EBbmUOOprcFSzO55dubbPtaPS+JdJzXTIypeukIcjLQIW9EdMb/vK+J4GTtU22yNocReQ7iuIQLX
VbezxTEQd6dymW6LTKK/th8YJz64WvxCy+XLtotTXdEgM4lmyVd/msirfbYQNjK77ZeY4iFw+v6b
tagQI8ltO3tbEQ38LWOFwSx7kDOp1lal4UoeNtGS3DOp+GhYDtqaPZPCLVPy0NUkCvnE+tiQirO6
DMdJ4F2y47OPn1Zg/hqjfrtM5lHEznqi3CthPRXwTjeWjUplyR2qAO2SRms4B0QUw4JwounfCye5
y2d5GDo21MR+gf7XhZiVZbBMfQ+Zybs2AypxDwqUKEcdOJvr3DG8mTe0zWpWPlmxBCKIfR+hkh01
Cw21/YtQ3nyDzUGATd3hA6YgtCSh25m887LxNCxD0NN/oLK88UcUDzKCBw0Uw7Oamxxiu2UtDhID
Dym+5AycZg5yVu21ZBS5iasmhlFlDYAEkqOWsXHbNfh3te999WIUKLhN+Q7G4tLr7Tkuhp/p3BOw
I4rnHPZwu1jbdmru0K7cyQKe9EzO1GjaIBSycyN02FbpcC4mFB6OLENUY9qGVCvY0iIB3Cw4XxXN
zdJJMazJO4hZ1caWaY91v/2sR+7v3lTDmx/pAZTsUH1TorFy3qcueu9zeyfj5Bkpyxt/HjtZPF3S
ThxKa6B9Gt8ai3pO0NxsBoyClJeOClp3cOFxMswnIPiooYVhNO9X2iEuYDCsBLH7rLTMBwRJC89A
A6qrXqtUZzG+L8ZgPRFFq980NfLorGTaXSNu3UjQSJt4tNg8q8L88CCSBFOWJVzj4YG5UepvEaQ/
57B1wnyAEzeaaLQDdDf9NU5jVmpHoryJwoyKd/yuiPZ+QInwI/ZoUxTGZJ3g2ADa8+wGoZwOpJjM
9iyU2fgtirxWDzQrUnd203iPfFjxdystoseE4JVhM9qoZ3pMrfukr/AyeGuQj2o1lF9sBIJ57XLW
ddXrAV4URl2W0jlPkPnUtNfwFczsPKc0IRKe5B0e58h1P8kPKHH5qftJ795Hy8ULFnnyadDVjMfA
z74oVrJAGcuqsjCTW+pFC9Oot7aP0r0wO+hJOTWNng36JsWvf/X7zPnGpjwFiWVcah/1CGXh1e3l
GJCaDg61W77RlOdBsdtxM4oaTV/leycjsu4khcdG6fq3CpEgw1ZysEx42ruE8/kAinShf2G+Mj1F
hIlHOcizpLhx4CuHsKMhimskNGruwAnCl77LMbreQ48xN9JOryDonoElsOjB7OMUwfMZu6N4Yz5Q
rd3EId3W3tIc66Un7nzOvCOd0viu8YqSV1wSQNKjWrSnLs+9C5qGKTAVW1Ceeh7Rbap7LBMepxIJ
wl7veFCrIva71ZFCJ6VexKVp0mHYcHtszp6yaY6VVfYIR6Y8TLVwHmyqeBLHbHUfS+GqTWzr4omq
tN0SBV2GuXS4TMz18qvwlXcJ17GDb3bkQkxs/5tSxHIjirrd02Gv9g6J0K+9wgzhipmw00SjVi/o
DYQzJ+U9cIh225tQ/ploTIyae1X+bDALk6kwmDd9nFZ7P7O7+7RtmjMYP51HaZiXc8tN591oLBN0
c7cUgUdG1M5L4/QIPZhHSZ/BMahMGy/50ovQ4DnbC2nKm547RpA1s/w5Qum4caFc37vxtOYVKvai
KtV3Ctn52eriYdvEUf6dvUsPqLn712jy+6sNuU9tVNGWW0YNKfTbZTp4Kp529tT2Z70YZ7g8bpcf
7crNf1pmlsLNkB5h2IAj9l2vVL2Z26GNg9LomieF2/riuTMds5yD6jpnGoMaI068IHf14oHcuicR
EfJe2h3ZvyiITq1Yhj0K3GxbGkuzIzMoj4JuKJt9QdUc7xuKjWujl5wybaY+aLj4ezlkw0WAqgKl
KsSx5bu+IX2PEBITsEaNDxIrMm7f7NBlYqFCUrX9Ec+tuqkGx78j/bN5K9Uq3hsZoCS3FVgXusJL
vyPsth7AsibZe1GW7ltRpt7FqFFLklDWI2oBuzltTM2F6InN/bWEsEYQktWEbpUwFKmipTsisNR2
uEj6Ww+u/e00523OQVDC8oTYNF1sKRpOWuiNC56PQ2sl+U6CDF7hI3Yakjqq349qqs6giSGkO14E
BbYFew5YwsTGHdaMMX62CIkPSZlZBO0ZEfjKqowBfS+KMDTwS1fmU+MNx617qLxEf2CTNT503vMF
HU9MHmHXrEe12YZmTmAaZKN0bxlz/1qlriiA0FuIu+c0sa6DEP31T224+7/P6/+sdF+lHX+d4nvM
th1g2EwxwfX9Ziv4/xnASvQrxzayNYeSzlyHqn+efGdcOskB4NicDMrP9j2bb//zXup/89DbRpHw
f3dcz2//D8Zjlrb/ouW6/uQfLVeQjNyYsbvg3SDlaI0C/cP1Yv6NrwaJBX1Fa52Mo134w/UCgMNe
R+JEj+qr/YNh9D9arob+N4QZK5rDQhsGZOM/sr2sQ+3/fTxXr4dwPeyyAEZ1KLbGb41NSr6iwhka
b+v2McqHQO+46ZAZ8qdP5l8sAuP3/iktZZ037RKu5BOX+jtHsnAJElh8Xkb18dbgVhDVZG5KFWRx
wRlu7qN43kWjf+mr879/6d9FUb+/8m8SntqPF7TbU8wqOHd9SAOPOgyXwb9/ld9X+e+v8pt2wOAb
I9GOV1HWZjOHuN5DP9R2//5F/vpd8XgYhs/z4hLeg2WG5PO/LmiG5VU5gWNEjeTa1Y4LwDb5/Pcv
gdriLw/E+iKCDCy6+jxaQrgr5PTPu0bu2d5sF1EU6nbs7lFB7uQoBxUQP6INBKx39JwzJqtY7odW
3/aRn73CYChv8tKSP+O5wy2lM9F5bjUyQmYevDNpn+KLaSCavyRKbiH4UrNl1bwcFrvLto4C9sRx
0cV3DvRqSBdptNy6xMr8aGSrfQfi3Z6HSKQnQeOGIwvyC5Exphu0hTJuu0zrPpwBrtimUMmq58Zi
eKcK2e+l5+T3lYjtfS88LvzmQOQgWSuROdM84a4lo6Ig4Wjq6xPmioK008h2XlUpRHwubXJCybOZ
VSu/1uOi29IjniY7MPqoAF1gd8T5lcW00/0oor9kqXTXREq3d/2A/HuOFZOv3okPXcFTXSZCP7VL
bW0l9VDQYWPeLKCRGc+BTxmPmSE1eQDSQS+6kegCOLHiyX6WmhitAyegfpo73aq3VsSxFTjwzY+q
zinL9MUnVEX0yFEmxsQ3rmyp3AezWTmEtW29iKX0b5WknQIdfL7mdgdJTNNMiGFE6vpfU2mC8bB6
8xAnZt4Fi8b8HDT9OC4kaDj2lh5F9OQWpbnD/DaSP2jCTx2QkQCe0gyEo9gjnuZkjF+LvqhvZWMw
/vVHuS+mQp5HkJ23Rq6pC1Gp5V6JugmHBrRn7YMAY2RbBlDm5oBr4rD1AKpu0I92SCBy8D7ahy0Z
HHqGtEKtgwaJFEY9a7E5P49KqHMNd2U3Mw09I4ypn+Akz1fXiuWTptv5jcqIjNlUapHZ2itf7ept
8ZHrcX+jWfXSPAv624e8AVXZZ6OL69sp/RMPHV+/Jeajp9ftW1tV1gGpgQotLxKPOYnFP+lERseh
ctILhlLrXSU97Sf6hXeI6YxHQbYZ6YMAigK76pr7yRzbUKLDbi4TmD1YM4OBGL8vrD6YCjt+my29
cPY1nDf7tpydyTjpJRFq4N4TG8zIiBLe0vXH1jb7p6Y1iXWVv0zQ9UR/i5A266ehxxN3Uz/vJeN4
worCbsz8d4DUKd/t2Lvz0SUNqw/HoeCCrdy8E/TJZhOKUepr+KhGGhPnrDfAU6Ktr39oxWJ2oZxm
8y7iIpXf9j2kxa2O4zjf1SYQtk2ZwrdHgyNo/MqFHnxFcOaIYMEtnnwjxaIE0JdUgs4P9cKCkeP6
ySnGew2rqIsug2XB/6TfaV4bCU+GeKTkYnfp9K2mD3PPHczbUcn7JzxQ8k74s+LeDH40aGpz6DeG
4MskiTOlMUaV2KzkSWQLgSZ89C5maoeV45pdMMb9/OD2mfHZeJ34dME4fYBTJaAKb/1WKQsyaA0Z
+DR6aXpaUTwIZfXS3yVymCB+6KJf7aCrETwBoGKN+sIeItZrsJY+G85Stzu4bfY5T+r5iJiyO7Va
lh4Tmfj0H/o5wcRjy8CzI53PVoziKfMX99PQdApwBk3VZxnLj18b+X/1nJtqhCPv/664grfi4637
84D77z/xR6VFjgxMMIreX4NoRML/W2nZJEmKdXiLQE78XXv4j0oLMhmp7qBBBCcqz4PHzPmfAkMP
+LVOIA1e5f+Y/8FP/eVoXafbDqoxKiCUhkgg9bVI+pMUNUXIIyzA/GGRA1fv4TUTnj18TJ3/2hpd
ddclTrFFP+fuCuaBQd45xY0A5LDFWKWfFhytu8gvqsCZ4wRE/AieQqT83yF74SQYXxqQYrceCZKH
otdIZTdcNiH9re4z88IvBCEJyBrLDPCnynugShMboekyYL9uGObqpCxwfb9gOPnWpDQzlWgikGM4
tGyfXJO8Kx5SL3+wKw3181L8nBs5BFqfls90F+Sx1IgPjB1U0VPBf0TIyrrynM52d8S0eJDN/EMC
WQyNgiZu3dRPZu0ddV1WdN1oaDq2/MKUhUrPK1/ylhQCE05x73HiZ1P+atHW20yx/zKp/s1WLg6x
BPpma2JXMtBG0SA7NAMNYNOsyO9r7J2tT22IooSuwgTit3cxHfhR9eX05V07p9+8NAEwGDc77LXs
UkUk9mncH8gkOc1KPQ3x+FayK1u+dmO2hE843c7Tiz0Sn347LDi9ULCEXo63VzHNpZ1IfqepqtUn
nO5hI2RBiY+JBiiTvsE/TH13tkA2BrJT+ywGiVJ5mGKjynOCDo4DiYHGHS/srhnzWJ1sXsLNIwIf
OUkxkyn6PBNtfsIdfINE80lRG3i7yCquWdO0YVy7aHoMQiaavMdNUQ7HPG3nE6nYzxHxlLWsEgKp
5csYLW2oCmAHnNjfoVMQT5fbRyLrr7qKzk6aP4E+/oiMdDhonnPfGNbnxFyiHbuXUURP0P0iwsZI
Umqta970TChz/XYqknYjZ/igRFhYF03vqidRRc2tTkrloWsVmjXzlLnMj0GIXcYMTMPQ89cmfuTz
DSpj63oZ0iI9verx0m7hx70x/wO7jCnroRuTZ93QoJEyqCJOzLnKjP6dCxSvnW0R2uOgv5HdsWyZ
48YBci73R5WSX96QnUG7NKpuaOwJcl864NCxjnp/nAxMYz4Jn91cnzsUUCEKmASnto0KzJXzMfMb
62C3UE2JgjRPrYcnlbabQ6jh+i3IZAlTKxFbaZQQqCP6WVrrAoqW6AUZckZbwgPjoHAKtS18RvNJ
Vr1i1iY6KX2KYW5iLDOZtUJ3pqxJmOOYGX7DVczB5AQXbV0/Mj53NmnD2NYe+nerir602P0U8Dc3
kdNdBzKVd8q1PRrtwgFOiis9o6EXzKtgBKwyzZycvMu8WJn6MVF3mLfpsBg54wBGAU7lP6ZOlZ/p
DjXhCPNkg6Pro3IUvDN9pucHlY5Zhyy+NUuFnC13nsH1DmGFLJPF1Rccr6kWmnTbyKpEz+LkBcDB
jjfcaEkdcMQuu8UwNFivWh32eoHZeYwJbxa8/KBm+siJMrfM6e+YPoKak8OLTVUXjDMXiVFXBwvY
PBLc5OBneBVJBbm14/xUDoqBZk/gJ1Pqd3dub2K1HKMEXDQ2bMaVz4nl8WRX87dRZ0LptDwyScKA
bzT7ADTQCY7PQ5f6j9FIkKLqgZpbeWnAnSNSyjRTRjxE7uwaVyK87f0A7Yxxk3fT2+Dax1gv+tAs
e5LsemNmilU/4rxkTm1k6sEnNI+NKelvE8h3m3z0azJ3JzNIUPv6anoYhkG9pF1B/Q2mLpQ6PfK5
acYtRgva5q1C2eEk+IpnlHiF6beb0mBT6xvSPrFW32qpyHaaK8/kfm8RgG/Bi29p2xrbVreZbhja
h891YIP++RqZq4q6ML8KV94YYrya8YTjarlCobQ3BH/eo41sQ7F2ttuim0PTQwoJGQCxekdLbka+
obVJOJXtD5/5wmSLJ2uwoJc75l0/gp1PPe2Q9uO3wa6OedW9tHLC0NUyGSqV8xUz+dqA9tu34xIm
i1Fuq4zstYmc8U2uK7SRbTXf6/qEaYjqMyD88CnDyrHhA0gDl2NCzx3y7IuOTzdj1C4r+wX1wW5I
Syq02Ax9TWhhbUgdCHx99YqZzNgut7fsVQz3euhIsjDoOkj73mW2O7WNvmfr/SKuZm+Bv0z85n12
yge9NM64pu9RcpYh5PvPIc+/SBiOsRhNKZFIyxULIkJdCyQhkZqo5FFQqa5SB6jET6Vb2DtOquZo
ewaBVanVHBNOrbBcxFOvA9ZUGStlMNJX3cjuNWbwu7jgb4loiTCxdzaRqzB9a83VaIXY0djmabeB
Egsn68OSjGmtnK8m+t0g1UiNZWgLXK7xtP2IbnPHR/jMrvuQaEVH7kHyvHDyXhkiNTtvnSTMeboF
tcE5noBYR2R9344N+Yx0a/dLOmoEo5mPKcPLHYjBeu+3w47kjOIgivxQwPMLam9aAl0bMedDO9rl
SOYC8IhZaCDeD0cr/bQdk9uesx/pHfB6SU5siM5umZli69uLs4vKpQkZDEgWH+xGGukZg4rR3DFr
/07TF8t223yfZMcwKFM/Wi1ZJ8WausVuy1B0Xt5lF93DKNxJspuawjlzxDIUiYdvXl+dNMXxk/r+
k6PlR89OWC12/tNd1nQ8d/lRR4UfFHZlcqTWIkhmqgVVgxhwczfe2CT9Br0ykqA24y+2VOvAD10r
F9N2bWhq7xrZMzclJhnZ9DlXEyyEqXnD+I7L2FMfkLzJvFzWwzwlyFOrPx2p+j2qDIz4BP7tJ68+
A1e717zks63aaa/H9ZOstfd8RHFP0imFTCwYBkGTOIiovyYMFjb0FgkZQE4W6Djkw9oXNW3z+M7U
SdAjsCPfwj3oNmOz5tNq7UX1C+Q2VTbvzmQdDMLYoF218WaYYY2O67pasnjTaVm15eZ1jcdWkXYc
++CQeEC8Vn0o3RgObq+ezIacFZQv6bZRbERGxeCRBs5rYQ/WVh8wQ6uBRkHn4KgE5saGAReBleo0
O0YxB0wpGeNNjmQxWN1eLxjI++V8M8VNtu0qtM+gOrbzzAp0u2+Nmg+xrI5inL8noLcyf9QgvlEo
5yXGGbNu7j1VkREhgeBBy4i3EZoafPnJxaL7oC3lKVM4cqvcfCyg8R8a29ZO/kReIhOj0PCa1cAw
/iQfCj6IxflJDGC9H5Brblus8hs9ZtUO6XxvNuo8LilMBs3zTtGwdggMdissLDSPmJIG9RKBsWzl
d1FqSJ7IU+fpiS6VzA9mSwfQQVEwR8RaRV5MzNXc752ZE0vrfqRs2gikT5FDiRTxTTUNLHRM899M
KHekXpzRgH9xSr7AD/2ir9Pcumn8Uaw7Mf7zxygSDfV/TYKKkb9MVTJswdEa4DJMLbAnH15fazDM
JWSFRBwaKMqEg2A4fhwky/JlGCi6QKD/TIh0WhvSGziAUEIGeUqJ4bYtcg+zrPc3rh19dZBAd4P0
5TZiFdOCaqZbEsl3JqoZQsS+u3X7inCKo9wsvg21dijdCFMKmeAIYOdseYyt7nsy+WejmR+7RCig
6MNBJeRZoY95a1Pw5gmGlDKvUI1PZEo32rgbLTG+kgHibu3RYtyISSEwNf+Fs/s5aotdZSTnrE7v
M226tQmDyGbv5wIMjkuVE1ZG+zSWI9vF8sNwvZsUa0WA8MwNqmlCWhsJQhEmNj8SBQVPceiI6YsL
UbbBYk1S3AhDf55odsK/3Y/zlG2xZunhpPgQ5zWYbc3U5e5SkENmtvrejsaaafnkX2LMUkFflCdR
YHtpwNnvaquuSapOLbQwmX6Z8/LFbpxPUsu/6t7UQ4loFUkWA3YMvdoNqJAvfco0ZPTIM/77uwHM
JWw63P93O+Ax7d7atSXw547AP37qj5aA/TeTsQvSdXK0DO73f2oJOH8TDGYsnTRAA6XVOpf5Z0sA
sDjuV3rszG0g3vNP/2wJUHo462/zaRlwBvwncneOv3/REWDysv7Pt5C9/9YR4HrB0CRzdWi69g8j
Hd2LVaziQJP7sA3y4Rgt1j0piEUw+06yU4pe0hxHdxYci00nDTMo8cMZfkxSs+4Wu05HS+Llg7sv
+847dkkO7aJpQd00UPLGuboOa9ehGUqx8RZoJZWkx4uyJ70CPSwDp/YHHl4eTlyDX0bqfy7rU7s+
vlGlD+ybSGExe/3sRmJei8F+kuuTbq7P/MDDj5+LM5CcGZjU3xosNwdnXSGw/XQmrom+cZxYJzuE
lTSva8oudD1U6zrT1hWXrGtPsQiJLHJCgj7ZXFmg5rpS8Zq0OLFIck2B8JDMgSaRdZ39WuEquqlY
8oqlrzvR98G2xjBnY7A8+0e6bhZxfGYcsZvd6GkR7susSNS1fu0vTuQwtGHPIXZs3EXrPkRG1Gud
FyUk4fxhbJL3ad2ziqg79L92sU5/7Dromghhv2uDDJ1UnftlXKf/x5IEqv1o9682O6TFTqmzY3br
1onYxTlEvSm3uTSq3ai5X+m61foNVKps3X3Zhet1O5aZ+96q+XFIB7VZZ1cULQpFHOzkcd3OJyBN
obFu8YCmbFIvTbb9AtdjTjAQSSQu6Jg+fSHmJA0JaWsCUWeP5XqEII/6Ga2HSsPp0nHKCBTvkMXz
s0tfv+IYkut5FGucTBpHFKY3ruzyXCoJ7yo/dbLbY2TtgVdbMpjZfq31vKMbfXA4AOmfetTt8Rv7
uqRxyi2OYEI4TuvJWaxnqLaeposHCYgorGRnrUctR24nrRY+dw5AjMJqS8Oj3hOMxLVvPa01jm1o
lXjsdS6diVZ/x3CmnfL1lC857tP13E+9+sId5TLJ7DIgmNhka40gfTLv86VlblC198VaSUTpIBg5
2trZiOtd25gPhidPWJdOzF6e5nTiAkB9gqUN0TeywEXizlxrF+QV3V6t9Uy6VjY6tBt4C5A51qpn
Wusfou4kDXZqIs8jfIx+L8QJCqYEou2mXmsosVZTWNv0MHfzrVPKA+fZxp+k2oNu+yjWGsxcqzFt
oC7T6+Q7reRqOw8lv32t3oQkVlhwOWOvo+lekJFH947HhbFJQ2vcowRcTEoznDykzhDAQVsFKl1k
p3duXvnIuvJVz5SXEO8qa5OtxSYr8xMlNNOeIS9ouSH+bKlL+XyeurVQjf3kkwzXe2T6Z2MtZTsN
baGwFp2bj3ft14K3tewgWktgmVqvFcHFgdLKN3Ti9QbB+WfSUdNrNHHiwaKU9lG1alTXI36kQ0O9
bVOIMdSiBI9MOkOxq3u/bMQbcy3Vm5Q3TYapTyDL8oN8YgeZeP6zrTviljl9M2r+xfKrwOcWUEj1
DYIQ74T7Qbo0mFXsXcu9oS/Fe7VeJDQI9STodBOV8uy4RxYKfQEaoHtN5/16TdLflOOIOCsxjpMk
M6omdW9nOylsITfnYUqHHyXFxVFL+iVk0PbdnXtth4m1Pw2TxwRrUm8z2lYwcoW4ma3pSfQy3w8z
ek9uY/NmIoQvnMc6OzB8yp6xOzZPfurPP5TStlEnGmjMOq02JbfCN40d47pyn9JrCLKyzrZ1ps9P
HeL2HR9XTsyc/WxE2KgBdK3cMPfFleMX9008kmQCxt34nFurCGYy38ESUfdYxVtCl0obzScXufUG
fv7PuXdf7an4cqnZxiK9tRJPA7fK/T2Zyl/167DvR88PF72uzg3+530uGwuonGwfGtlTDqb6SGbi
kt7LJXXubIJ1NlYvW57peQiJBde+8fkNlypP47CJvZSqlKBh5Egfnj4S2F7nTD9j990nhxdoizke
DZ/21VQ6hIQLlo3uo9H2s1yifF4qBOHaN7PR/UvZttR1OkFzuK2PBi3YjWJIGOImfZq9qAvwwk3b
Ie/SgMFvGeDYV2fSAtZuCZFXfcdqJjsNz2VEwakYQwZZoept1NQHq2hpJmNKLXvf2aal1x59gUZb
J9Ip5E417wdDpCF+Enq/g35tuDYjXaN9QYrwVmjtTdPb92DB75q2CJdW5ZvOsI7kZeCnp7xOdfVM
1AYiwni+ZY/iyiBotzaEKXhe9aqkWTNHJEcDOo9mxTeWqg99g7VI5fIGxdPWpYeLObS+1fyUO9ZQ
GSFu82qnE7EBQdot9pFX/xjt6YMt7DVLxXumjMcJLVfAu2mCaeH5z0WTHauseJjo0uwRNbZhVsgr
0REFAk4azU7+I/G5w8d9fhjS0diyi+xiGFT8EdWpQtHmDe2TrVs3tdWAsRP8uSlXVz9kh9rPYFNp
KDK+Jx2l0Yd0Q873pRu9F08UNzFzSB76nVEtT5GmwkZXW7vuaBpOe+XLxxFFOrsWr2Un6SmnDLKa
5YaTD0QXAEDXwyectHsyU+8tz78d9Pigem/H1fTUte3eqZxTpzgUekIdaMBLuoatPM0NrUBzrF7m
gn8X2bmrCzxxkfOA9N8NnQEPHnSuV6TIrPkViIcJYIOZnO+ZJBgMDfpGeSo0SPfLK80Ih5xLfD/I
n1ZB0CewWeCjoCNryw1HhWEIDOatiJk6Dov14Ud0HUwPOVs6TPGdBeEpcLSmv+/qqsacbOZ/14/8
V88EzRWc/u9uAc810IK/XAH+8SN/XAEsoozouFmQgvkX30S684f+Cuqw7sLihyHsrsZTtEP/vAKg
l+PegPeastyBu/vPK4D42woJXsN32Xep2r3/5Apg/hr6/VmAheX1f9g7kyXJrWvL/oqs5qChbwY1
ccD76CM8mpzAIiMj0V9c4KL/q/cN9WO1QIlSMlUii9NnbyLKSCbD3cMB3LPP3mvDHOF/eaK5lvuz
Sw+1Mg0a0xy59y3zSWaJZ2wdo1wLNlR6GcD+weou3PRZa2ztzeR6qzeqTQgaURbrRZU35yQ7RHsw
ykDjpFhMxk0uavt2ycbmPAwaE7/HI/GCF0I6oNULeXYWXVzZaavtmzb3wZl6METMwTdPlNGnR92b
012qmdUJzTu5zfXKEfS1ZdrdFHvpMemn/rZ0m1t4Agcq1q8Kusu+ZB0CcV+OLUuwfs739Ooito+N
kI9pnVbX3jIju/edG1qN8yu63b03x6S+MvFl7BXBl0jRzvqMStbbRxws4maeDeekO5SnSoNAwcaF
1T2Ho+OZl46tkQe3RG9OFr1tz5Nb67egyqeWNxt4SO2+TnBEZnkbAqBPuSHWiBs7jwlla2Sy4iEi
TPnY8O8+U7fmnknAA+AvgcR/b+eOSo/CSUktCA14XRNseSP2cZJ+FnNkIskWWYHH+k/IqYDRKn1Z
bSaDHSsPDGwsu2ryVJgNdf3I7q95DGxxLJdMu0WT1GBdIHPy+YY9++dPN+9xiad6YodJllvDBuCw
fa7cYbzrXG4VNoh67u5+m8H+yDiyFIoCVVvoxWGkB+HFFP5DzE5mn9nFQotO4D5rBhp46iD5haWQ
PZTaTpw91fTnQizZztadLlKIaScip/Ez0Nk2avV+/CBMPAQbocb6Gbdt9pqVqt5b9LzzgklXXIQg
ZWUuJgXltsvy1ZyF9sxchsjSl77YsWFs2IYWjvYad4F5TZ6NonQBnbn0nOYhpw9HRJo1zu8KBe5b
GufldY6XY8vTu/xSL2IBTuqLp3xwxVdTb9HOKap8kvmcfVi2jW4JvS47xySarzMIpydkL27YDZaW
hExH4X9xgJfQM5Br26yLEV7dIehAP6rYOijNaV7mQp9u0Xt4eJKAdK69ThsOk7d4YhOj8mibSiti
Pj9WnzzI5AWGZ/AV30dy4URXvTtgKtpthkCQRqzy2/taFXQPBlBM7GJK6byIzceyZ5e8LQIv+3AC
qaJqJB1UKjv4VBA6dok/W1/syubV1ZXZ3A1e38+s0XMmhorxj6VH7QZPMd8XhGd3sB5aIkt8X32n
us74I8BcVwMAzn9561mZfgrIjS60JMw0SNPmo1P/K7rpsZ9r5yTmwNgXXuvJbWLM/nfYOoCq+8W7
aCXC17E3kwBbvIY7h/MzIyU7Tt/bqHTEd9CN7vCCjI/lnPDErrSN5rmk/tTFzA/Ck6TYGNZDae5E
DAaZp3qdvLt03t9njmNQBzA0W3omOD5MVnfq/NK7G2pDXSgyiInmykVtbbzjIemN4nlxRfUwGY11
SXqYxEbT0AXtWwkdY4nePtRaI6odbnXGJsGVel5whi/EbRZaaKek/iQjZwIecf0TRcz2kW9/cWOx
k8FZmAf0bxus0W0OOUBfLJMoXNiLsnqP+dnX5B/1PmQ4ArvSdEV2UV66fIMVVH8ASkmPbQwMFi4r
54guHXAV1tl1CiPthjLHdteOyroaDS8gutnpPsfOTr4Hhh288mDBisET5FUMM0t1vrGvsnAMLeSK
gilbIP1km9j3spc4G9fUrmu0NzgrjK0045ie225cD7X2vJ+Sbnm16Fh++OvC4H9nC7eNffU/K4iP
/cf/C1q2/qF/nR6I/hkwTnHL6/zCkAJ/Oz3gHDIIUAf/0Ah/OD1g0ea8wUEzcEzM3WiM/zw9+L+Y
uJAQFcnbYuH2gGD+hU4h1+Ol/eTfxkpkUlBEuMy3DXf1HP3gKWp4ziiPuxx3maGmwJbRhqsmxXnZ
6VtvsY29zEFZ67SaHWjTUQgV461YrOCY9S31wkv1RlqzCo2mt0PL0vIIcCzyfY0rRAcCuNFK43u3
pA35eoNl/zweB+FaW5auBGkafIYZFX+RJpfmXV8WnVN9ZUZ2Sy1MXoy3NKlbIQU3mMr5JHdQa1+G
RbDl1fLbhRsotmJWjFRkVzd53GtkMdksSkOb74sc8CmAHoSROrgbJ5NrE09NlHZtvlmkoibV5la0
0b3gi24yt+kU6onkqiW2yn/eGa8cb7zJB5DlhkYzPWy6Yw/TPaydYOFin8ojaHbnxDkCKUIrYEaz
xd/0nmsRROuxIQED2nh58GxWkAgoAwOknhvPVSJqmu8qmmXaNNvaJfnbpZzEN8eU3qZNTW0rSRY1
Zv1exRUc8MS5hbiPJYm0/XZIsV3GOdyqAftGRMfBqxzV7eDmvPcCp1VP9I+1UTbuZE6zInGi4FR5
En9vy9a5TPktVW6X3HR5r2Ep1ZIHKuWmx5ncU+ROYoG7wW6+6+x5JB/IYC8cezybPBL3ogj6sIzb
S4+8DRk+9TfZDPwHxqXc4HWWn2VgufhP6iksk4ERyyEDPhCjsfQ22NdINGG+jNd9TGxpFPqFOfQd
okW8rZ38e9UtJlZmhOCxmCgQ4KumDQw4GjkfAADjd4TgmHPP/J5W5S13uydh+cvB1Fw/mmct2WmU
AYRxAccAAEX5AY/5MTUc/A81rglqsfUwnpAXC7mKWIN/ZxWzve874qRMEAunYWe5Kjv/u51ZH92C
JIfhYNV31gW6Dh1vXNs9c0ERoMN2j5OvMx88zR0iy7OHUy7bIDL6HIxoz1oGxX45+ChhUR/7POuH
+sYxO58qrew5SWv3umzcF8eiPUrjvLdpgwkvjZN/WEHyknQKnBj94GGv6nkbOxxHp6SUu9H3FFhk
rz4PrX7N/QNLy+xf+LWcBt21oymnFiJpkxah09m7K6wcVzahppxNu19CCNBNzT5pUslNMicBokRd
Hpc4E5suqSGCTvKhWd2pDmSRKCF5GNnKfuk6oF5Vat3UtIuHWo6rB7I5aluqA8IXdnmkrPsJ+jaV
0G0JNctd35E9+fu4aB782XssKi4FWxa4QNz5RK3fCYKHoEeANVo+ljsp4RIw5OzNLk15DKIrBDzh
IvB1bIDt8sEJUgM0RBNEczW/awszjvSWDzySrI+9+MmobZ9zOltYV2VvfK2HXS27T85paNa92Z8K
g6LpDLI4XAg2DB4xxrgvbsdJH99Exxxk2tO85wiPyF1MxWPdFbfJ5B/TkhHe7YW5WQAtZkvJJaVl
+LRcS+zB4FwtsZ5Gtr5QMdrhHVBJvp+1zr4XK8ae0gp9a2uDuVf4OldShnrqqQvf0MQcH/Eow2Xt
aueIGzA7LNhB1u+NHurBfA0Qf9ksAL6A81d3flaWYUWH+mdMSXnIV70lNTCOYeGirlElwgcOYeRQ
rtR9p07bSFEnZVEyhcgk+kdT+kcz9u7dKb9uUN8+SM9xWalijHEwdF/GBPeUPj7PBkB/HcNMtGjW
lUDJoXy6NMJ2rq6bGduWHDmr20NxT20rEvuckcRLAh1Oj5McFptYAxPTssPvjXaurTgKdxpCcyAp
bWU+qYJGAxDjJfeBEF7I3WzcBKqzNpXfGfBxPEpwCpRXNTV2cSNMU892vcrwo7Q4QuC6bIfF0fmY
m5GOE0/VpyqxlnDwe3UqHCs/0FM572q0/r3wLKCzg55csUJqjrO3yP2o+1R715U8mYPr7iyezTvl
040eLB4MDtuy9qWG1dNYlXqYMDLsZRUcJ9/WD441kyQvdNx/dfvm0EF3Ts0Gi5nXjiFmFxkxo7w7
WqIi+Cu0CY+6eyL8QLVXNbU7Xva8d2o/u5LAikKKQdIt7JAyGswMfo8ep5uR4q9DLYf4nUdysoUd
ZB5NqU/f88RtnvW54DsQm4Gxij6xebXUzUTm3kiWK+mpbu9k1RGJn6nX8a7VAu3GmEtty038PCxt
BT8x55FH5jqN42RnU7BEDYiWfudaTq7oDIBspIw7Oo0/WQoFESHH+tkrah5dMaxNrcZ+RXy8Qqxy
2z3pE/IGylaRXAs0YPEC18lji0sZW55MuVFk02jjql06DtROf15kVh9oFG1xfjBI05f6tbQ6azfM
co/geVn4/pMZYhDJXftzUOULAZMWmg/+Ren0X5zCPAaGC/yJTEqoqBHbYGuqUXW7fmubEz05qf6I
hkEfr+cZkWG5T9j1HgOdd2a29GiaY41X2VN9lOUGnIRxLG5L2ErSw8eAX3neEqC9xjfCPFMY7sbP
movvF5+a1eCKUcUNzI97YOfxpo8n0AKLqIm6ABmQrrjrBzlFQF28zRRjFpvE0G+dWedpl/kkNVyJ
8J4w0QrjapazC23FMrhXz0XU9iWYmLb9Vk7sX+hnf2aypEgsLbIdvQsMmvVcRyRUpxt0UlTMIbhV
Zv9gu2MTNUb9vQAUyxK0+0LM+6NMRxFy8YiNXWpA94h1PwxZAYymMDZsXdkqKR6tktrurc9eD1AL
NzCUoGLfye6SLuNNXBJ0Hvwh3s1F0uz5eNKwKDkY8qmUO13w6gUdNCxajfmYVuYXNdUv6eoHpnnn
Pu3n7BB03dd4xJkEppWlkFmvHdToDUVDs7VvH2s2PVv80/6pBqF6ErzZC4XUb+gX6VucaztDh0rJ
8TnZe6n1gYd9tTuoau8GOND93vtCW6e3x+xFy0Rl8n6UCo5+03OWStx4p/to5PUypViaeERMrfJ2
ySpTaGpdY/Xu3dQRj/HgGB6lR1UFcXArlKXJx2uOz3Vavy6+PRy9arABV8n6tW0T+JbaBAd+pK/O
0rAT+u4wH/o+s/Zekw4hcgRPG9e8IcyR7b0VQNlWNaRxkD/8Mal9MzhFbykRUm+eW9ov7Pjyh4kl
MLUt2F2XPn1wSSt9n9zS+HTqkXvc0uf5l1j3WPIZunbXj0t9BnBls16dTRRk5UO+51l6anvrnjxT
S+kmDnJjAIuBT2w9TAW7BHL/LUa1IYxH3wzdrH3SLCAmBs5yt9qFoeku3JSreDtWSAvwEZJl5DON
M57aE2d4OoU5cGp4bWkzxreIfRRlXR1jbHdn10yPPouNY9yiBCRVRZGI/6y13Ysu9IdsIp6VzWTj
eRGYD3LJEV+r0nPm8fVUNipQblcXj+PC5n9G024+fvvf/8uyIVb/0Vz6/F6Wn3/79ln+Lfy59PYf
f/a38ZQZFEcvrQ2o2NB//zmc+sYvLi0A/H3P8y2T+rgfpG3SxEjYRDdN0wHdzz/6h7sFDHfA34ap
jfQd2ATX/8pw+hOtf827rPFknz4CbticfJiCf5xNXY6ysz17VjS8MiYelgMNDJvy3Qr/f7oeeK+/
G4TXH8ZIrTuW7aw/7qdBmCE2xfAKrKtrBLyFLB0OnjnnW1unbuuHX8bd38X5HyP9tr++8t+L9rZu
wCPnXmcj6a8o8x/fGbdulZnjtETdRLV5QHtr1GqeRthgYkZq4wGNkCUauQJ/2yY89NymyL4mHBNu
Mz/Xz2Lpm63HTmtr2hxxO0fnibLEOGtnAmvlPD/yOwVSMIMr6IHQhQk2pnCYxv5mkHNwDFQugOZh
1VhKcJKg8JhrYSIjgHnGwc2lcWjY0xbD/L3VKxJ9stZ5TXlB++vcMyRys8KGMg9RUrr+blR6v7d5
qO7GLM1vxglQse5l7NW6mBEXsfYsnUo7+5qu7xO39M4wUqCtkOjeq2QeroXy/KtKJM7FQVa+1aSP
+B77SIM3OjCJGpMLAya0NYfTT5tOWA7aYvkM+gm7bcnocQJWgdq26m5uNmUXXFCIcdPQs9dWvnde
8b4kLHoOLeQXvreKjWVYrmJeU1MCC9LI65NQGQqjycTtEKsCIiCBqOCUm4W1RV2tP9tVLBxWKW3D
+jzlRmxPKxzaTeA8rSKjGNgUbPRVeiQNgwg5WdZFowDpYTbl+FQPGQ+1VbaEgAbwqDLL/FWPy/m+
gmuzG6lHDiBMlzgC5gnublXj84fP12hnBv1lOLAL7R9Mne0OPUtJ/JgbuXxqY787Bo7W7UanFee2
mPDJuDhVvsy8YIp8R/eBZHhx1y3kmRzPjg9BGRffOCBrBwmlsaRui363hkPlvURJOQjaZqftQJjc
i8rGVj7eLCzwITTN9lqj5ynb6GXrRHrj+Qdt6H3cL0b7DlNDvCxlhaIO44+uP+mN5zZ1p2/0JWuh
ZQh9R6WrjKAA8qCQ1RRi0zIJTOREMtF+t625rjYGMRCQKYNdL3rSpdJ4DpSM0JfGrSLQ/eAgr0Il
zKr4S94H6muepNpLYrKFrydlfmdR53chVB1mhzLv5XVDC9ijFQ/toSQl8yWoag0ydtBX1o2CQ9Nu
zSKI4VPGc2NvfL4NLG3nONjqeuxShDTp3Z7lhiY39WSJMkoVm6gNNr+a88civwojTl68XsUOyKY+
oV4qMeyI8a350qQ6p7HCrWmzytI19STQN5KgEpjEdCicYV91ycXIVc4cNHLJhcKrUcO6yr6edem9
9QUHMVTuOF9CMDfBHYKUPPeDJg6asJx7xEftJoW0KkBVLu7jIkuI0+5C6GPXLkbn7Wj/0u6nKgP/
RKGh/j2fVPbN1zz1KNy6uCTMDo/UhrseZgN7ZatmrX03x0ZFnJWRBzObGu7SePZv66zG/qQv5nhp
O8GZmW6ukpY7bmb3xeyC7ObTzo/0szrnwZho5CqKdG9rrvmQLb08TdgAT0BjtOeC7xa5JfZbnxr0
ZgwAS4JVl3Ue8yqnbGBwVEjHnYNFiaFX3gflqD660nD4TUz+eRzN/q1xfSFDRlAkR5WwQfI5agCI
FSUWC93dl/3R6oPm+6jhJWry1gPi15Q4+e1geos1W9uy+3GhpLb1PtcXhsVUxREJPQrlOEDjnzAJ
vMD424pxSE+9Xhhhwo5ui8xW38dt7O0ha3aIbS57CIWbnjhdcmB2EgcG3uGK0zZhvaZYwXIph/Ki
YO0GBjiEE1ieHD9HPVjmr+2Au0S6/gSuklSibWkyBD+PX6kpg00mpM9JLGc6roZiJwqogcSJGItB
MUVWrJHj4iFKWrthIi6507p6vlwjPNtbUSwguFEB8Hwi1fB16L5UAiSmBH64g9DpnD27G647MFSc
5nX75HU2lRBT7JystMkepNUvRxnMxjHPvYSW5LLfJsMEA8FMl6rAjU8ee04ruROJosCmRPNhfUMs
tA/0e0ZsZysqs9/OEkCBYgygiNHNtKu27uYneCd2NIIVuFm0xrrW01GdrGSo95NElQjwRkBXzat9
QhBmk5cZ1mpd+hGIXNCCS9dGVe0720UPhjN9DmC+VDw9kLYqTnHG7YYop3mYRDJc6UR3ofTMaUmu
OtW+dJ2pb63YHcluN/65nzqajkobcWOuQc07HqfuQm0sYi4XjEbzM6D1bhuk1oKPySflOoi2fZJ0
CGx8lRBv88pZbZj57RsdwicDm0EMrEwywq3oPqTWh72/1DkBLHApbLyD4CwGLGybcVism8xyGlx4
pAGxZ462f3GHBugFinh3TRpQHSdzTgiE6BjgrZJrNOzpIrzj5uuAwWyR4NIu6U7Emqyjx1MCJFwu
pmt3GKFDWg3uTd2vNn6t64fBcxS8Sx4wTLv5Ezmv/I7lVvZhzr225e9p56mKxf0ypAL7Z+YdkGqy
EzfDD62qq2e3Q6wORG2BcKip00sn8MrK11Q4F4G/LbOOOcfluOEZdhIas6tveQzD0iwKS6M/IIA8
WbuQLVdIlLkQCkhJl+7muJp3pHbZnnIxAsJYtBCc3/xWj0D50aRGBnxhf5DfSD/nolN3y6irz2TK
jRdtbKerKbMrkLqIU+ztDcCuE5mPEI8t47JpC0jQMwBsaGHYAAhqNNSzE/DMn+ex7/fSGKz7YYwn
qjqLkSfL4irrvgqW4K22QNxl1pAdtLnndaP5uifg0/1O2n3wJ6CZX+vL/nUo9CnVsH0qanSqqSy2
0b8eGn9YxcSyjWkqZIVKGfGwaZ+Krbock4O9zbZIifvgHjWPhMlRj0zaotThkO3+rCBrPfH/cDD9
x2twTcuBNsXK6ufXkI5zmZei4Q7MLhilcl9R8hK4/KU/YluuGvh53UegGdtEQk2lY1fLlihR6S7O
8vsKqaOvL9K+V6C26mTEsndlSblrTFKKzgUl/u9D3n/sgf63hq1fP7QfXvDqkP/hQ1OjO6d+wgu2
9xgfp0d1cW6rG3tb78uzM4fbjfZeH7sbZ80tRei2f4LUMf7sA/tpbMBcmIt2/cAQ/etyg3i7Fbv0
1j2WG/FcvoO63PeHPx4ffqLc//svaX1NP7xnv63EiEWu3MbXxo4vLGeSXUabWP7Q3tQ7IoJ/9iEz
XP77twJFiIlsJU39PK74eSOLpeCb2UXabUdz2m7YzVu6U3a3xUGFyRbu0mY5NcfyENo7NHv9kO//
+E1jpfrdSwAs7rJX52u5Grpc9yfOlEjcAXcrSlntnd0aRJ/Ep5p+a9R8/OMfZP78k36+DH+azQw+
29YmK8WbLd5fZeTuza3aY6W4Gd/ph9xyx74aIyvUo+UZswX5smhtBfz1Vfwlq91/z736SslwdC7T
/7xWv6nbbpUv/vb4Lrp38e2z/TGh88//wG8ahvmLjkOP9S93zuDvVrvfVuwA0ti+mayOVi2fn/xP
FSP4BaUcjAbTkkeOh3/4TxXDxaBn6Q6dbwG8DdPjmv8LK3a2/b/76oIYCYx1jb8Wjf0qY/wU0hH6
gOcZATgKWEJQudw36LYpVqAQjXUO9lTgzHfT0LpPwDsHDE1tTN6mq7+Q0Ki29SSXK6NtkhvTxfQM
R8Z88XIe+ZueB+rVbC8SAnpsexzHzfar389xwvksQNLdJ0VBm3dRkwfQaRlwdrO+OG/60lVXrhjl
2aesi6deWVHO5CCJdJsZdNKzWcycXHMbpDow/3J84TjMjAdB9TJ4BqXoy5yvxbKyh7zgDet2WXYD
/99ZfBL4besTEK7GsrhwT4kxyleusZ/sMXjPrVjC7kmtbaFm994mvfhcTTXW9RSzrpmlyLSlNF9t
gCHU3OO+nTUjblj4IAe3pMZ39B3FRwBTeORRxHHNpYY7RaIzOHnOpfGqd7ZJU07DUNHlGha/YqJO
tubjGf0kzkItcTgRmcLaSz13X2FLpegQJOpEJyOtR5rQvdp8VkbKQmcgXt7lZbxzGh3kVt46u5Sl
1NEcR9ffV+QOEpKzdbBsrIx9dwUmaiN1u4ukQ6m0ZsFAwf8Fk6LRx2fFtMDOYzL69iE3iWw8C6sZ
duRH/a2DwWeLPqp4vTGYElOpUM/K6RgbLUXoSgbR5EPt6mtzOgEYp7HZmEhvObl0XuJy6A2O+Jk8
Q+J3o7xLdCMqfUN/Yn3RvFmynG9cJ0ZSGYBIRYDGCUY1dHvvXCN3IlsrElLtNGe3lH9Gg597NyN4
aAgXHjCCwfEe+B0MB30J3FdNSu2tSPF64YDGjMn6JaYRpPLy/VDg0WObB2GmXeK8Cx2AEQyQFNvd
sVj1o6Qorb3jNga+q0Z5B9VU43ODI58FUmzFtyOlYjc92+nnpnOkWmvsvONojPUFCcgBDm00/mOh
t2Kf+JB5+7mA4jQ0affsJl73xgmOxYFlEIiceL2vtTLGAwv1ZKUqN9BuFvo4zzrz1a5c/DUxu7j3
eTA6l7jMCP5PScNxNWOJ3MONPTU+PQYjX4RDU8fN4xgn9teWvi1O4QyKFw9cGJRoHGJhp/nWK8id
gPOZjzbVBbK/Sn172rnsBGjzE+bz1OKF8ErBFFBZdXHt0vC1s5IRLisIoZdM+tXZy5z0o5gC67Mo
lPYi8hkwlArUUaey+tFL2+KL0QfJ1xhd7qHjqHrSnAms7RybNS0dUx7vhS2K3VCP+Bl9x+lJEARa
/E1mXt3tNW5S5UYxUEZUtuvbuKz0Uzmn1LONK7fFLdhugHPM+eRbb95TrjSRdEuLW12z4vdmrqsM
TwdhEt1QAT/WmovnMXWt77ltC0wwyFlXnSjyN7vK5L10DHa2jXKtN9+qq/OSTv33VDKybiRljMhb
feB+wdtjjKFqB/uqb13tleorHBajDMy1hB3jjMYX+cMRAk5Ayg72XZRTw+Dl9Ha6bSYDCgD9CZh7
aSdzvwhIgDcjsuFHmcn8DNKZHYqpDHnCgheDLkZd+xobSh0duDcferCIV31x7atpzI3HnJmGWkQr
JXEQsLplkIO/EU1mp21UntmUzYApScDrDcyCiTWBjaAS4AAHcaBxzEqCw8CITNawGWo/dIe6edEC
uIEa3PMdwiZh7D6I7xcRFHvTQtPkKgy0Qz0W8a01CXASZWrsjUL2b9lSVddSa+VVUNfaXkvTggmn
a77p7NaOS1ALhEmS7K7MrHt6beejjTqIXQXybWY72qeFApVv4MOXd9JvkuvCyvtTMsYVZ2EwK5W2
qDtQZtOeEay5zrNKHPLCksesJIa40ZRtMu5lI5pcOR5bwSme9R4U8JZNY7Gh+4uE9f+cef6+sFmP
LBwp/vDMQ179//xX/fNB59c/9dtBh4MJgxn/qV+xrYb/QxIh+EXXVxAsU9tvZ6B/JBHMX6hX5nnJ
8WNdo5j/OufovxAX4HSyLiFM1+Yvxl856Px+EuKYw/XM0pU8BBMK3sSfTug5RoSSYKEZdfiJSjlt
hHGM/acfPpS7f1+d/PxD2NIwJ+OPZl/hGwBufz/6iCQrE6xrVqTPxBry187Q9iQG/viH/DRgsXgy
mDF8bJu+ua6z9JXW+sOANUOm1ChxoL9wS5nLbtxb5+HcUUePBn5dPyZ/OmGtn82Po7/FVIXXc31P
DnE8+6eJLs1TGKaSvpFKfs8pbcja+px1NTEmdRX0b3/89mz9z37cOgL98P7gYOcgriemuXHGNc6B
gVCcLNwZnWgIzDM7K+1YcySIyL2YW2teqkc4asTlCEk9LCOFg9JijQTtXzz3eJMfEtXmd0HiOSTO
cBcOQQJb3vFg2Pue/jKp0omahpOMZlETWrNOIGgyFveBlRIYWfO/rKoLOY5BqGY/vUl6+ho2GUkA
uenzRD9PEzfuXKXxJzQtuVMjQKON4jz90BHSf7A14b6ihw/zXutaeYeQg9nIbKplP1AwSbq0E+at
MWG6Jte7lp/UcdWd19TIsXSc9E44FV6gwO2rncvDF0hnnZ3AmPpf8ZHRUOkrweynD9njwLoF5qxR
UwlFKxcOFUhE99XYwXhv++4t94TgTI1H/TQkgI82thq1LPI7OYPN1MrhyciTZWf1Ov1MnlnfAyup
LYA7GnSU1R8uIuoSNWpkFwo5QLuoJ2McCuwjBOcumZvUt7oc3V3Tt97B7SGEbVBhl+CIkq5dlGcg
x3Byf2T3FL+zPJmLkH2Ed6ITzLrxi6r/YrecpTDgTU+xIRqoYTggjM3K3P2gICK9o3iHzQTnVP1C
riylZ05Lurd2MAPAFyZMvRIz7XU9gZ+IMm8sHtNMZhQ7xNqe0qg+jYYmKS+I18sTDsHqG3oSLVcA
6PZzYy2nNNdoH/O7/rHiLYILGfrXIFW8j2SRKeHauI49/AxF4m+MVDnLBmBj82bqoJxwlPpz6JAC
v+rtBdaAW3Me2aQioNukH+fhvm+r9pvNquC1F7pz5zS5TqIurVH6F9EqajULx3li3SE561jwPsKc
+Mch1voFf0xJkxDIXe9W1k11Re/O9Eh0orzPU8t8aKTVhp2ynfRm6EgZhZbe0e0g3Bxllp5Szly4
n7R7neAhzt+gcwgsjX1xtpWor1cw8l3hZZ8ccIbPfkhi4CntxLeK4XA3YvemB9XWaohK2YqbpjCQ
HwfmT1zQ4ikSUmjhKfWvERzH4pmywZYulJy2EQfXjVK+K0Kzwd9TksE+wVSj/1bMzndU8fR5Sfo2
gsJGVxBhXRPWPSUvfAjiBoQoQfHJBO/mE26ity6dos4GG5HKZMZz6HhXFRJ11E98Isbo9Pc+1967
RU8OUJTReiEcB8q0X/T4YZYiv9YhBzJI2gVsWmHrn3aCP7XWPHmF2SoEwi8iVkpUoFkl+CKSthFF
C7kAUmcYSPduQojf9eYPKg3VbeKm5l02zA5XHJ0BzpS1oJ1MTdtPHU1S6dy0R6/k2msSv3r23JSh
F4POLh295JuSojrRZ2J8jrKsWC1NaXsqZR/cloYxEyuzmuvUcTDWAuSR8ANMeLUwtMIyXS7xSMra
8eX4qPFhYgAjGJ3rpnprkni+ZZNWRTym0Bb7JD3OKfg5MDYlUzjDmn3CKh+D9NNsJflNqnyfYYve
K87hjxgDAQWnLDzR/+k5oHerupqXBdNrqrAW6fOE2yHQCozFaUCrlJbi6MkI2u4tI3OODq8Wc6Jb
HEg2skQwrbp5dxR6/tR66lJpU36AWNKdalI0B1K3w0FCrz521IaxpO9A5OouoKwp5ysxDhzuxhUl
7UgeNy4Wc39gcQ9PhzuQHRQh5a+vtsHVEkuBW9lx670pqTIGiNR+iROZsMVt5hQTA1W8ri71hjYS
nJMUGqqXniN+CNmLo3cHRummSip6aXz6bovMWfN7673cVxlcLEvumynNDoPZTS+9N8+QkWFdwOco
bjvgDJfAEg6QZoy+dYEDf6AEeG/9X/bObMeRK93Or2Kc+yjsiB0jYBs4ZHBK5sCch5tAZlZWzPO8
38aXvvYj9Iv5i1KppcrTkizf2ThAo6FSisUkGdzxD2t9q9eCtVcH8a3Vmva3CPL3G8G9knc+dK+7
dMYsh8nv3ApLfeF1uedN5cE1aJcMXy3UI2SiQEBig1E1M/nqgNQ/96eiSS+wFiJgTkyYpHNI0pBT
5ZgEIBBB8sG3QepQXI8nUpyB4HEvZFMHkfDBgS56pTC0n9CaFreWUUNjoSnxo1Rp0VqYA3bKPnSR
vNpeoKbzOorFqS7K9J0inqJpTubgkhxP0okbu6jkCseShk45zq9SaMlrbpHRtu1MDJehp+VvnKiQ
oLBUhKuxN4vFT15M6WYkOmRPJp7rMKyJ7O0M4SZe21Nv7dF02t8AmSNsroKUZVrZVs4LXvn4tULm
h5W/w9dwJIw93BZsqTcWhurOp5JM/EoRnpQb+pEXLx5d0ah91kfhQitMy6tI8WmUgZ6d/rxg+TyR
NYmPhaSzLARtXRrWp+rIMa2C2RQwJ2V18GQfqgZsorkxix9T1z/cJnyui355IsQQOrZd0GaflglB
Hpt1p3gi5xhek5x+45i+4//5i/m5gqXUJuQGdZS0BSW5wMb1c+0lNIsI0ynX/SYNgGKBvrgC4EC7
ngTRXzwVpf1PVeXyVMw9ARnrnI50zD8/VdGKeFAQ0Pxypltf0uzG+pcIjz98x/7qKT59NAxrIAVW
PEXdqjpfL4nBEIP+agHx+T1DzMlbRQtFG0P8sPz0uRSJNVQg5ISvOTfV8I30a98lXODPP5jPH/7n
J/n0brUFJPgCyr6f1AHFiIIV5AdNM1xXlEmrJIJRM9e/POd/jvn/jZaXfpIP8o/H/Bev4dfX7KN4
/dT0/vK4X5te+cUyKSFsD8i2TrLE75pe8wt2Ln7o0vgi6jH5xH40vbr+RfJlJi8FLpbwdB70Q6Lo
fiGjhL+H74b5y0/+xmz/+zfot76Nnpd9rfudB07zu6wMfv6G9QplQE88wcZLqnWHs76Uh8IARZRq
fqEwfCP/d6ozG/xnF9X3VeLBsq3u8i46yg4u9yC2Q9If7BgnnXcZW9xbFOhPfZ8gUcgiuf3d+/sv
umfesk9HgnTRvTs0z9JmKoXr7+dfGLhpWzKAdX3Nju1XHUH5wxCMqe8mcnGvm7V1Ec5Jepwi3dvg
QZuRFQUIeIuoCw6l7aprC+f1hmj2gSmfN20mCQXGTDLvELkWXZ5BcN/GdfXmwhGN/UIsk0FPmBhR
7Nu2mzwnKAyNFSKU8ptZlO0LqR/jE+EMMMbiaEyujClKHzNrobGOFpPrfVT1T2hQQxxCqndYveGr
PRq6URzQJ6Mtrma4pfk4aQRA2AERYGRPJIhiMNzk5zA7Zkw1LnalHUy0+bnAe4vugxjJCKW4Nlx3
EzrmQtjRN7tB04N/L1SHsLP6asUrc7fIi/JhU+VYdrOcxEOwaGJr9mO3tdKp9a0hbz0kFdVwNDU3
XQf1wgoCe3BBROCajvTQxCa8IDKzRnkVk7F2lYGUOei9Pu/0Lg8OloQisxr1RN2ilfMi3ASaeKqL
CULbRLomlNgpSBH5EBoCyKHGEciIFfYpU5hzF8wTxre6OpZSUTH1QXjZgILft4MTn5CoJSfum9Md
LZ21bxrTRn1WJwHwsGC6zYWJZkfE7j25DsY5eoBgrSMH/br0FtimG2NGeCEKBrb1L4EJ5AvWa/J1
3YexVs0+ipR9MyVLygLfkhPWq+kB/51x2TR1uZf43B4Z/OY0dmahQEJqb5DD1d6CzHuMe6vE1YZ/
YQns7W7cLGkmVB+0/U2tRS8jHZjw24q+Csg9n1Em8gF3kaPUK5mo+QS9NVQQvN3OYVcSVOjK577P
GlRnqCwBQXm7vgqyu7gGsqJFct62czrzepzyJkPYfJGpzt0TK4GCTXPj1eB0FgpRwPYVXPhHpMck
LVbW6NtU1bewqJsT1nmPeUBQHxJAdvt8TMaD03dLJgb85MkU+QN0meDcmOPy+1ADCvvYi+te9M0F
EFXx0E1u+xrWs3mWiYAxAYgeoOtj0inb7502wGZWgfEjh9XQAdvRAbW7GsrtwDC5axDcxEQkXnmK
KJCIufaSUMdUqS/2JAO65JyWLBCBzXYwxIHtslMKoPL1KxRGw/tE4ihKtzqCg1eFuffshYW6xrTj
3gMOxOU446CdAfoECvp+ik5vVRDE9+qNsryYyftzrzy2KO2WFKEshoRfj1e4vsStAAFm+EOVaDVC
wTL5gLNjZb4TGcRTVh3MN9+dWeoQSVpcZ23NZTCVdCBE1ybnujL0r07VErgtE4utTmtNmMKaGtMq
U364R0ie2LnkRVCs0TOq+1wm8DZTpHOHzJntq6aCo6FrRJAwBpnPWpIbn9s5MG+ymbi8ydZw4MZc
jCsPf4IvUk2/8FKEwiDBYS2FoyZO5tz2DlE1TbibDdzM/pSjGGtwMrOpkz3r/TmF2GbEU8I3sRQT
bzK9W+4bYVN0mxpCPS9ntJBAad4My9N2bpiRsPqMGNDsR3YqhxZP5V08VuZzHsCv9gxZn0+h1DdR
gZqrao3syYiK+ob7WObHhdVudNaPeHft7tl2WnmHBy8kHmZRY2N56c8BehUntoLg2IuBpiCucW3l
FuxYSHNd/xwlbE1WMHjHF/bdYc6WWAV/oVnSf95tuyZxF0tBblCDoyi3vv/8d5PEwujRolQwFTof
2ZyP6+ss2Do7w6921l8JM/7quT7NfrmG4tgk9HAzrsXaWBc+bKp0szU3RAPwFYfs+NZvXVZwPpcH
VO9o9Vf9gb4Umr/d76kwTGnQg9AZkPiBGuVTues22dAyB083wxYrlLkWKeIbJpdr66UeWP2ugTZt
/vye/ckF8eM5HeBDuisEWSOf6tJS8ZGypk83GHSR3kRrilP30K2cXXRkY+/83bf5+2v83fN9eo0q
Y80OdzwFCbnyh9APro21umvXka8hRN2scIuRVeGbW3AW4Sr6z4o4/mUJpAtaWKQgv/v4/dfu9b98
FB3/xeVr/vHf/u3fIRqWxWv7+4r4t8f9KIltjwC/xXtDqUUviVTwn7Ydx+RHS6dEfbf0Wou+70dJ
DFIC0e/3PRBCGUwnC4riR1GsmV8MqdtIVNCe2gbbj7+VCUhj9tP3xJZYZYVtsmsXEsEWe6Gfy8wW
TF6SB3Hqi2Y0ruJ8QNlxxhA1zvLrQqucTMGDyCtcqRJlT74eOmuiNCnkpfKG8iWyvPhraqBtlpMs
n0JdH2JItZWCMwHO+ib3Ft9A77rVQ+miBC7nqky3uXK6LRbr5qSY+RwDNOggUeLM3TBdJjGkFKRD
s8avrvP+OyCCPFmhqOxAzQfOxcD5cnRFxPRr1tW0bVNJ0nbXOfktkQco311c4xsmbualQa0b72Bp
M/7AYHhe6Va6a6yp71kkwzsoq8a8dGVuvpIkS2CxpRnJLZWVfWckbMbL3qaTbErp7N1akhWAPCHe
2HiK39oiILsFjXV6Q6iMuxtM/Hz+bCuHrX+BHFPDUr7Ss9LbBd4QbfoGw8JajwPrnbsitVJQF3JT
98o+bzynvnaR+4MDUFp+SFqbabULUB2j45y9aplEs50R4noP2al4ZuDTH81a1Se9d6wJebW0l7C7
ubtPjGY4ZY2Yv5H9hvvDEYV2hltaP8L4ZlI1aXl8rBZAYpXrwWbqlieRiH301ZAXGU8IfpJlRe89
kgc2PuhNWLwWvYQTyoVkbfoRn9cmLXJS3OLEynZiMpiwWUHp7LSUlLaZVA9yf0T7jVcF5ZXYaf3O
jMxx5r3S4mc77YN3lSMe7zqlnxUYnndks7s3ZVL0MD5kAgnfNps5I74j7QXABc/7BvvfXfM3FxvG
7/110pT21iXb/CkDyoVXelTVUVgi2irb8N4GFN8XM4YjY7ETu9dSTuZdoIXGHor6fPDyJkaTlObV
CwRXvK4iQXaFnzZ+6lM5nbmqoHggAwcrvEsajbdBLjRfBlQd13ZNKCOz64bZOubqjFgaxvxBXxXA
CHJN455Wy13jgTja52SbbbgTNrfCbqKHgOHdOSDM0W9yu+aUrrLo4Ck72VYakcfnCSlN3+ALJs+u
DnQqdEgmgVSi03jgY8ggePRAngwLJVU3ZfUJIVlwzlAcT3xZuBcW27aDNnXRax02HcPpkEhqMCnq
AC+lPQV2ldOd5f1Nx7t7AQAl+roE80LLDMuXBmLGPcFohOP1AZemlr11WVJtba93YTuMCCyGcNxm
FupgA7QpsgavOA8TGxk5mFntMp5Kd1zThul+FCtrVyGFf6JATW7L3I0JU5mnfc57c0XO3nyXKnu+
QyJeE9hkU7iskILLDKt6JHSw8JGe+1ZFXs86tpvmCgsWazdRmJT9Y8gkf22lwZATNjGwznFcMVzX
HkiwlcxLgY2GEEn7lfRCE2SqmDNQznnwPKs5BhRC05qsTFQy8w7fAjEu9lhYHojqME/W6FuCTZIl
EeQzBDNs8ZMcZGcxX3XNHEAGxSC2n7VsOiFVHM6Q7VtXnHeZdy8BnnWrdMSvQJi5Aa9MAAA7G+OQ
ia5raoowDwXkuAXocjQC4rXAiJrnCpxquh69GDewhVLwuu1r011plRw1tgXV8Op6mUccht0NaN60
JHzRsnzQFxsgrS4MATZTKAog9LZt92yqjHVgDsmQAMwgFNYa/1LzMUQME5M2FmQ4dgnKRM4zGK00
mtm9PSpglVXfj3ddVbi38ejG7QaMgbx2cPXr5I+w/cgqXd539K3YwVP1tXTt7KNNK/AzBnlBVwMn
M/lB9KY6B9igHoIJTZglKnTyh9Jxs5usjuXzTMtmrtqu6d90MgTTtZKmR5Ng6S8ZpotdJKcKD1aV
DfcA2+z9ZE7Nvs41xy/wE/k9deJrm/atz8JKHgSJ2Keh6LMLXKI4x+s4KHyiAYFlwGPTQJ97qoXt
gzThYa5MseMKyZ49gg3hwppNSmvVTMwBFLi9RxY9HCPkm9WF35UuimXGm0umjO2NDyRptZuyF2yo
ZMqZEhB4Ga7LylRPjZVob7HG/sD09OTD0V14qmKYLjymC8+i0J2Nq5W2sYoyGBGY7ZL5m6WDzYE+
J8ODkJXzFBtWsDddIkancDT8CVz2uLYmU18Xos8ZODhFTfJVVhIxqhF0Uhbc9FbI7PBiQ+dlO6KS
/mK0lfHYs6zFUyKzK/J5591Q5AHrlwArgBPp7p7FjnfMY4zkcZ4YD0gi1S4ShMCt6lBp5/jRXL6D
Y/TuJVy2EbxhvDiiY3ebmvY+adBpDUalb+DviFe9qsyAzUwePg5wCHIsGbHYK2vscqyIVShQTNm0
f3Ud23dhYtX2qnMaZAPZmM9+2Vt8R1Vq+UMc17s+68TBSKb8rE6H5mhbdKArmnFS19pWOw6F0KC8
6+aRXJyWi3t2s1OMidHy27kBRN/P4I3Wwq2Gx6DgLGbM1ewbVFJ7Vi/uVUiPvvxLvHKIvxJ960YI
IqO5GA5jM8BFT1MDZ6M7z1wxnGnDvpTdGPpc0Pg7FN/K+1ZvilPG82KgWgYJc52nUPyIrr9urZww
CD3Jz6DqVZdFFoYfYPnUk4fdYTcPrY4akSaEsRZ7YQv5RcLSDChv40jGkLLc96xa2R95kKpK161f
hOycN6Mv2fNx+ZNH4uZI7RrN86qdS11xZ0U4YVhopaxPh+CUDrL2yeToL0QWVsDPLe9oNF4bA3sy
pkemg8s3VS9ukN8VZyTxxk9u03kHkw3+A3gvTh9lpdaKHbj+LqJeuwCFPbS7SU7Om0M20CtkFnUW
g2mgjzClumjFJE6aOZmHMA74Kk+TsL+B9zQuvDYQV8moNVciTbKDG3DRruK4VdhHEedu6rF1+XLy
1h5M0m1eCK/PUf6RTPVkJ+gCVllWMHBqtFKcmZTghJ7mfIGARDnvUzI2ByBL0ybhrDjhIvJ2YOcd
X0PQQoGhWf2FzNS49+KWUKwxR3IJI5/5RJhA28aJ6oUoCoyeAQRmJG9kJueGUJ9gji43W1I9Y6Cf
Y3eOWBIWtRV7Z4EkqqZvJPGgUZ28hbOKLtuZdN6mYRoLZBS0i0vrTgByV55mBp3IDVqZyw1Axhwm
C25dTgsLX13sFWrXwUWCL4Q7cs0gK9wV/MJn8TTrGP7yyoAmXRMY2zrOiImtdMw7h3IFEYjCxIYS
pH919TSdV/CSaKxNDbG1nveMntRYrYJoiHdwF9nGhxFGRjtwSBacIjPb6FAptx58i2TVMkk85LET
3Rqp2W6dAvXPqhVcD3iMM2Y5scM5jKhNEh5oYW5vvK7au4uDbjP2Vb5FA0K4q9fh3rHsRpIAA8SK
yYnj0CqgFMVs2Fr+1Mlxbw/Y+DmhDOekCjPdkzdNEm5pBArpqiMqeBSOQApfJFdz7uU3WTQ0F0IM
3ZWVmQnHZCKNy5T7yTeQlgaJad6orjpckBN3a/g/Q2jW9yiYraMbapGH9CaQGLftNFzXjWN/BHUy
8J3HsP7eQHeDCy4RvkMbyqN9WdrcdJzeuJlCb7qDYts8pUblbeNeam8emUFMCvkWgXLrhgc7toI7
0htLezVlufkoOic8BuYcPs8OLU7BWPhyhN5Ur7y2T94ExsmrJAGau25p9Xa97qiXwhhoniwWziQy
loYeM8MT8pRUciijXYvmaezXdhtR+B7qfprvPaOGf4P/O39HvEWwb2USPsBs2ToHODVeVeEAaqgX
tvbeFG1i+iquGyqjPiuxXhpLIqZrZngSm7Bh0BkQTPTU16yRfVyndbIz0VT3eA28Vm3wxHrDBpWs
TrpwXdfdBeEH5TsG2fqX5cZ/7tLYpeku+68/Gxys//G/mq/l26dV2o+H/bpKM4mqtXDBeDhfPq3S
7C/k1PI8y7ABw8xCkf4xN/C+mCbbNwiW+L4kQOvfdmnOF2lhnqFcgUhpesuj/sYybRFV/jZbY5fG
0EIu7A3BstowjU82mdHBvs2Bk25cpKOHeB+fKWcVfeu19e/emH+1BFtezH98JkRjUkjLsplR/Dyd
gLhpQOarAtqBtLvBjt8ku4BrnrO6UdNdgTGe2JWqJJmjyC4EJfRFxHxdJ03P9g5oX9W96KrxrphU
f0Gcun7Buii6xWowE1g5euK2S2ztgPva4e6QufkN0ARoixZh1mkQ4Y+2AhtWflRT/2QEuZoaLuxI
b7gX5Y32JIsofu/bytwFsBIjMnGpz1eJp0uiBJM8xGOdGm/0tIYv4fjNPL4yH+c4rD+EcojRjmaG
y1Tmo9pMU9uyBqvTGhKA19BsNfLDdMN+3lZOiL5eZoFGBd6Ike1KY5TxoaXqWXI4LW5+LVCQaw/7
kcaQwQxgsIkB+wVSE8zTTrtPzCC6j2ZDvniRN5/TQRnsMImhY4vZhckWQys0CiqtdR9AV6PLG79i
ZujXNJIcgYCYfeSRxZlbee1Jw0cBZWF2wFuaHlq2TeTMU7QXlBrrhuMXJijJLpD+v2OVpDsSfctw
nfQWJt7DhQFuOFhl1mBdexZkqD7V7BNCXvuk2ip9TnQlz8SChwInXNzFJP5iYhEsNVa2HoaUnTpk
7LWVNe0Rzs14DW4EPZ1H9Mke2096hsXAc5lDdQQreO2QPxbd2L8AFJtuEtDVGECRFkPusgFzFT25
CpmgIgFY1k2XxDM4d/00ybtQNvoWcGRdU4441QUaTtZ5iePlt0pV3rGypXnSFjhZ5NgT2EMkQeQ0
pYNiy1PX51KQfEMibZtc9X2n3xFeXJNy4ZDuQ2ncHYoxQc1kTanKV1zT8hgsJDe71DwM+m1ygHQW
nrehyXUSLyQ4wT/7iTtQyyZl39Us0HTIY/EwXkZWftCSAEGwanGaSqZm0+QaL9wOpz3G287YCovV
J+Mz+WIURba1UL+tCYw12JPEXnprImTjxcGWYbs86sDLZ5bSrLMyL7lAvUh8SWDmsNY6iXOs5I4h
z2InS+pj2MKUWzNECYytcisbDCOFanyA66q7Z0WUU+p0XlPMG6cYMrWt6yJ9VB2BcqsSsB6LG+o2
vn1t+BiZiXGuubV6ryM9FIQsE3yylpOHn4Uc6WyjApCheH8syOtGYOSXQWXHd8BbYmNLR2Kcprlu
H4wgm8kzbKKqAYCj4VqqcGk8ijYhbrDFyFJxfWvNgzFP5f2omuGtpd971dwsvUY9OVP9yAiVZ836
8dxJIXxSFBWENngdfNEz5L09RnowfVug3DAE/e/n3t+6P15VH8Vt13x8dBev1X9dHvpeVnPDwKD7
7z//sf3lz+FHuQypf/rD5vvA+rr/aOabj5Ym6tdDf/kv/09/+GPsfTdXjL1fv+aA22Oa9Pi9+/3s
2zMXTTzT4z9Wkfx7l/3jf/AbvX/yTvx44O/ufbg9JQ4I5KgL6+q3mbn1xbC5doS9LHYWacg/733I
SJjZY41AXYLzAN7cP0fmuvhiMNlGjYRV3sHd+bdiHHTnP9z9ULaxScPEoeNutr/DAX63SHNihM5Y
8OBNTShZV05tt/DpQEH3tJFDt2+biXFOr5F2YwScjJDTqtuMwfZ2HNvkvrDCZgnHgt3O1d1cUUFX
e8yDHLkiqely0/FlTKt4G1tsV3UPnjB5lYCcZlGzxvG+shB90ICzbGMPKG8WvNXx6PiM1SJgfqQk
zaolsYRwyehYeMqkJNeNs2AMiTGbFsRbyUxzXU+BvGqDBgMko6Vz02nk+TRU5qHpICgnTWFfVti3
GLp44kC2eHWWsFFu0MFWBZNZLeh2Y2JgsablJlaOXMrMbWSymuhVEHdsBmvYDK2gzOVQ3yzqtjVG
sAJ8UpMesxG4RlCZL/EUwecJJYv2lJyzsdK26E5t0CMYNY1Zdvi64FiOLHKZjyX6WdpPdxmUwxte
SX0qwlke43BmLChBFKF6nRnbigOzmqdCt0lzrNE7xzBcGFLKh66xXtrYC/atlOzkEfjCJdFfIqNC
Sp4L45izuPctq4bt6cyHOUmuvXqyr5TOHC7sDl0scKy10yYf0/ksick8Iyc192vdhiDZ4VIguZeE
3QJ9jtcN064X4xusH0YKLbM3MsxIupkRmeSaVWwClN3rWg4U26I56eC4drD+rXotnam70GmBSIqt
6ugGDW10iBIEPiFxDQwicmZtUfyVFlit9WKCuzjvSbMjLiJR35w5e+EAgw8W8VsrPTqKuS18CGQO
7hFGJW1YM14a4/pM67JnqEbZjgiBR6iu9g6dRXRKRIoreRy+MkJ65g6XrjPyDYqW5OrOw5Y4uOT8
ZM1wAIP2HBf1ZUsg1MoqMiI0+YhPy/5/NRjzC+MOYscGHZA1vEZ7U8M8QVOjB7uYscqVQRL8rdKL
+KsDw3vb1Z23Qf3CFl7WZvJ/0XL8v3ak/lgn/umZeuq7Pn+dfzpRf3vcr0eq/IJSj0XiryE3lNm/
+u6dL7QeBFwKjykp+tPf1pD6lwXewKYRzZ7NGs7+7UjVxBcLYSwrSDAojvHLKf3rveVHYc9t6Q+1
qaRq/lTos4YUVPkudxAX+D6w/E+r7J6V5zTSV/sTKomN1zL6RQevBlLna84m8yat3In2Xw+6dw5l
7KqlGafJ1jNE+lpaTvBSZxrTs842NnVSl4/pVNuXGsQqBvq2d2moZNxHWZQRFm6Z7rmuZZiksqKd
ji2o9fcszwekCgCtr9ldUct1NjxP38W7U6zdSXePrherR2i/A8PTKHlKyjrJVj2v6rLQpHk597r1
3OZEMypX5ds0HyZyRfRwO7Y5aeN5QlTIyhkbTDKjETEpUWYRQfFc+K8Dh8U2TlV8hv2H+XaRNOCx
8Uide3PcXRq6Wd9mrV2dQcEXDz29wCW6ZeDSReae2Xg9tx0zyaswrkNn5XlMtX27H5jrB0mt6dsu
IeFr21asPbEwqORUOGEGe6TQ03XfAkbjvtWz6OhG950MdXhAEyzHjMz2DhY8tD4Wcgyd2PpmY8iy
jjpslTQa9z5d5ZCUOpVdR01jk7aDfGltKrbMTHmFBrp87M/UoFnbIAmo8ZhRg6QlEUycoEmhyfM6
A2GYGbFJdcJ83Kp6yT0VTpjucmWaMZasqLmAlEDA7+iMTylL16+U+vmVcnvFr2iTo+Kn0m6+2iQg
PLgzsXmV0/ePiVtGe6M2wqd2ynrlL7ysW2DRxHBkfV8BYYwDjkREM4zMS6+AuFw7ihcpHSPwmXbi
HphEHh9iqFZ3uLy0CzNrjQ98DMbH7IFtMotMHTqvOBpyDs4mqwOkS2C87+YeY2eG6XIXtxGnbhpU
X1NQiCjJNG4N3Tywl4YVeOinttqDC4ZqODhm4pNrkj3OvSO3Obu9SzZ6zTfQzJrFeLXO9iUBsn6H
+2PtNjXfDntwcVSKZAs1OPabehjfMXwW90OdhrtBoWTsbG26mdGRHWaj6T9m0+qfbKmNV+zD+22X
xeoBtlPx3dOyIyh8vMZcB8CgKqMbU2QWLgigeuswjOVVgUG+W0O1zYHyY3rYJb0TPZs9wUkban9x
7APSolaV5i3u63YKD2PsivuOtvje6wi+YmsZdjelRy86MaPYT3U0fXXsMXgkwVB8K8tyblZ2EU1w
wFRrsWgrY2/d6KW67mTNrp9VJ3hjl+uK8mO61yNTI08giW26ucUTaMq4OesaiUzf9tpjoU9tx+qM
Ccsq1UPzFNsdI3sbbdW2zWzTWAGjq07sn/AiysWW2C4GxRY32k0e9uwTB72K2SaFffy1woV2jIsZ
wFlZm4Ryts0cXSbffZDjODJhq0DA70Y3KIZ3zTXat7kzuEBz1xmJ2AH6pQMNRVErHtNGudi09fjG
WQyYFdLTldawFegWe6ZQSfHAfs47zIt5M2ud6UrvZHVWmyULWKpKjos+WzewSh7iIQXXrwWpfkbB
2p5GLqiLcDDDDZ67+E6YBHQmSjPaVSImJALSxWKUk+yxDrOk3HZmzYoA6nX+TsTlDK18ElXte2nR
+0WbJw8JNPs9OURy7UkGpqgMFpay3htvlRmlZ52pG7fsPUrMPlIyTq/MpygICc5TblDetIbVLpP+
ibZ9cAhf5J/H7Mj9CL5FE+WMqmEa+DEf3iZhTH8goiw+YLcS8nwQU+utkkAZr5OI8r0qeBFDEUrI
mqb7lgsvuWwgVL4JtBL3oWVl550N7cy1EtCmdeleL4SMqwpp5U1hBKbPGZK8lFFqD6vaSCNyGrrB
3OmV2V4lyoz2SafFFI4D0xpbn55Hlc/sUUp3C8G9Oa9m/IVh5LUhx1vtwI0O9b1BEu+pZduNMHYQ
7Q1tpbgp8M+dGTZ6SUMUw30XshHsyqG869sZPOfcIIdw29k5kiIaSWAFPRj0KnWrt6E23HNcO/Ip
cktIFx33OzQK7CWS2chvqtFKtnyhwRfYrXsSXQnueerJKPE7Jefj5AiHc98BTIC2QXCqdaNXEa9p
q7vccGv0b8NQvDuxYZNhTwRCu+rNfji6bWo9O1G47AAqvZrWjZTeeAZiUzF5jlCCrDpAandJoZpH
1Kz5swO7xFwjpESJIGgN6ArMTkM7rLvZtUGcQbfS6jBxd2HXENLQGZa699SIjnSWYfdeWVLeoI6x
L2p7YEHoZFH0YHOQ3+sde6sRjyJYd64/tgl8xLuynuUpVJG6wPHorbuxHa4nS08QXA6Ru0Lqm7RQ
DirT18PKuek0U579/9+P/ygCcRX8cUP+8NpX//if/0rCxsN+k7Bx6tmSeTOLeLpxKrNfa0dwThKB
LC35QhP4rm77J8qAem75n0T0Rtih8dsoWtO/GMbyGObUFJD4Pv5WP061+bl0NHAa6fx13/9a1/ok
NrXDuTOHvnXWLLKGZy4MBMQuc09MrYs4DG0A9w7CY+S3vu914kDJrjh3p0I/1nE3PI3fxWaZ0NNL
o27cjTYsYjRQqIubN0wRFnhDtUkJfd4hpGhv9NIaHka+0rTqTuXHjOGZt6Xdzo74T9rMTH3kbj31
zHClV/U3pYaDdLBCsX3yQ8Ng+TybxjnKQP2gKzPh/+b4OBU05YU1oYetTHuNyhxPQVNNaI6TJQYN
04rMYZiBVMDFSHrgDucTuKK+k/vKaAKc3Eqs7YprX2tgk3LSQk2GVbzKCR0f/Vgf0BmntjiqsJVr
HC/JetLiLZ6GbbtMvDNxxOPS7UdbZ+aZEdCU6LZ2HSvRbCpD13zS++oNGKh0XeSlucXKSs1mdIwi
OX03EZwkv2xtsTbzOlxT/cqVblcZkocxPrk2t62WkNVV1tjFrtI0ZAml7vjVHC7p0bSleWMQ+G2P
8jIErLgdTRy+bZ72m85idKx3o3mBfyfaa01f7keSik+ho2nfstgWRLe18llwI2cPbITfAPZPG7BF
BcfVaGw0tJnn2WzU6IPipl8HucT3QjrmkY/X2xYRFX4+S/wRembslS4qa4VQxfywGKUu5FlkeYkb
xlgE2HMSY2WbvGVlfB8KET55CKt8vSnDiyKCFoCrRtTTg8hcM3iaQzeoryDCTsYrOoXuMEAeuvA6
SWZHY3R3qNZIUx+7/tDokDmpUyc/NYbvPwgfplSyGDfN3lnzDiPSQM9c6T7LzfyDGBpP41KZnJKy
FeGXntXGoW2APCyV5BPkz0UbOTjbwulZmeepc6eRt9ivjMogJxyPAGE6Q3q06oDfPMCAk8JGOo+J
RfoALK1us8nTTwBsmie7nrjpDKCPt1Bn9HOAvMGJMGe1SUvHum9x4sE/w465JUnsWyk0DDvkycRb
mTvwJHNymZiGOf+bvPNIclzJ0vWKUAYtpiRBERQhGHoCi4jMhBYODd9Nr+Vt7H3O6hJW1tVmPa7Z
HdzMpADdz/lluQmMUt8JJ+oPYDnDhbgij9ylyIkeM2oN79ELjb+suIFphzl3drYlsmpL8pbTrLwq
dR+VSunFSrtmSySEe66qrH8aZ4efu4Hr8G5MpPdoFrX7ZGgpMjQ9JVUVigIVmWlLwJU0eeInyq8V
uIoGzlrPkfwwyoqtpagZIxjwBqD2spiWpil0R0wIMcvOlZI3cA/p0m6dBzUrFjqSTZ5TF0c665Sf
Oma7r6lPou9haRMwYY/ohSQJKDECd+POimlz+pyl123noneerCFH8YPK9CWxKw9lLd6Pi8G1fso8
ai1XURHXEaHLEqNUWkevYoycbR7zTSLXi7LZs0kxs+cjn/Tymeh0J609FYhKBlaHJQWnR7qVlEtT
M90mquG9raofq5+tP9OEOp39zDdRRJT9pYMq2sPNaIiPKHxZ+yhJ72LhTGRf2fjJeeZMfrWuFknV
f0wGN4uxXSAUCDQl8yRaQUxltW6c6iOtBRrNxiyZjfUWPXoOvl930dVvMvNIKQ0hZr2q46p0sfU1
3yHgvXlN0kz7kJZJDY8nY6pohj8jaWM7YTZYLxpH7an6tjRym+xzar3oC43WpkbRHbWQLdY9Mt8q
ZovQRV66dZT/m/2LkOQu0dYCqGFjmXW08yhHv1gkuu95uBEvMAGyFExym9PDtKJzpqO7zmkOVY7n
LYWa2y78kzihoO7ZQ7qdi6yFDnix7F09rejLSvVParJGlBmJ9tQWOfolv0+/isEv94iqF06CwNmS
ysC6A473UVpusjf62aWpC0EIJ0i0ag1LEobnWD+OH8RsipRTLgQrr32iStcLtN5WK8wxLKs0QtvW
z3t4J49FyEoPWcGPreHF18nYrKvAKg7Cyvxt6rskqnpNHeKClMe2d7O1SxbhmeyQJmRtGTb6KImE
txbry1FlKgEr2paedXQanY1mOBklPhpfFXdjKEp2CFAQv8R29zqR3//TGnSKYIQi5WoUNmaogrI3
5l81idUh1wuGyiQZTpOg0Ax1jLvLy5wcCwp9E6cKcOjgXSr64bUxa20TExlBaH20cH0P7iswFD53
t6nbPbDmQtJ2S7r6qh/o1iJ7PNLOOtkNuyY3RLuLm4UqNZZD1LxEAuBSQ9/5MnbUs6zzbGrSddG1
5Z1rR+3rmJF8MtP3xceMxBPA1y37bdd18JDV0qdvyWTmh7gpPwZ/Mm3+qqS6BMjjL2ndIoGPut8i
L5NtW/FYkG8QoRyVLtFiZLQhOiwhIx3rbsm76jJ0MrgbS+itqCFmPB/adlWZMTI2t4k+ABZiXH0C
nCIjJ39qEXzPMJtny+4l1b19uknstNpKEii3aBHRZJZdf58NboJ5ku8RIa77Pdixv3bGiU1p8lTb
XuPRJBaZ3aPoHOsoFq/cmXPvhGi/C/B8nU3aG6sQMsB/7/uxfwRuRQorp1z6q4LEA8peqjjZqSow
Opac0j3pbtN9WJbotrGwkVXWsB5ofF3XIjjNyabgBQlLcxg1VztDEtKkIAr5ZEc6+lgLotQtIudS
TV3xhCmmPdJW6D3xFMVYnYjHwkZn05mDJsVniDA1KV8Ej0fo+U113wZLdHJ8tFakFJnGw2QkBfHf
i/aUR/HPwgeynb3BfYymSH8VTHDfY1NEPzgI5IsWuPkbE5h5X/M4PM0ys4+FV9BT35rGHnPn9JJR
zfaQJ3ALKgi/Rdq4VAe9a0UYzY7Y51yVoUUuBRLCzCHeHSDSwtGeotzzBe3VxN7A0JrioYbWfKlL
2z55EVEMABHZQhq/TbtRNgMSrWhjEKfZrrQtpUm0FQZDipe4TcIlz7V9Sq7z3Uxg3pr0ccAcegQo
A9JT7x4fQ007YqGKuGYeLuk4J0FHyDuuOO2NONT2IWoFVK2WlsOjg5KVHueKS2uh7mlxZ+2aFZZ1
9QnSZ2Ulfv2pK4zlubhJsHN33ldKlq11Ir8GdS7fUyXadm7y7ZuSGxYmumggJiZFnQX+x5hew2dH
ycFneNattJpy3SvBeJVozUtkLNVnq+TkKHmTX46ddmdMlsOTFVTJsw8i+Uz6wXKQSpROTwD69EhJ
1W0lWofc98+MOMy02hydBiVuB1RQiaFK8m7f1O92n43h3DpezwBvU1qihPKj3Zp/6AtGPc8YkMMA
98mhCpYWdb0S2msdknvfsZNX0pTaa6EE+eKmzSf5ydrldJBp9Aze1Ps3Jf9U6PqGBgUkw3GWhIGS
/Ju0KV88/nMIU6eqm3DA5PfHpAV7L0Y22C1BSvme+KTmU8WnfGZpkl7xhph78tvtZ0s5ENJWpFR8
KV+CyNSANJZ4U7GxoFrVuqX5RU+l/KknX5zzduQ8wxYwfzC5NzVGWjJDVuh7EeK2yikhJc6D4eae
4AjduQjXPmssndfUTnmDqk+F6HRlwViwiNH7gi0jmMnbyTg1h9U8F86xszz0yP3NzTGRNRK2xGaR
ikSYzFerjB+joeVn9EfR2SVBHmqzKEzuGspc9klMfGVg6dNeRHV/KPWcv7priKk0JCC65AWt9d7o
37KbBSVXbpTUxJeC+RLo2DIS42qkC33rmqFrJzfGzULFY/pqGFr5hnTNEZtej8svT5lTQDSIoIcO
i7Y5mTjtCsXecmadyS9p2lIzQb8ywwPI/09/s9iA/aH4W1xxwPyQIwDNxwiaNpqMakNzkL/TBjw7
PikVzM5mYn1rSgIe5r0PlaecPhUihjEsZliqVbNo7rOrTEGECaFezzvD/qqUaWiasA8JRzmJAhr/
dqWyF5UF2o8SBAJf85iCYRbT+P4fA0YAAvx7MGL9JYbf/f/7r38WFfw3iMGf+xuTRVqECRCBZc39
qzrgH2iE+xcMSHRgEVltw/Yr09zf0YgAhxPEP745rKA6CMHf7HQ6rVouXFYA7eRZkPQwU/9CXP1v
RJZ7074BU8YIken7gpTBz4d5D3kA8jxAE0V0/ZM6AKQt94yaor6R+MPhLUeZTlVMhtXVKrG/yDKN
7jNrah68BrH5FmN8XoadlVL/XbGon+XNiSJI/A8oZ1R4K+2SutwWo8v/ssxdprMo6tHHULnFPo10
Z9z2N8eLjNCYbtkGqfZMABDOgTl+O5nyyBQInaDRizHil0RBAoR5J0ksioeR1U7LhNuuZK+2msSz
S9o+a5tIQ6NwkhNIp/PcaV1gsT5jTQZ2DB5AJ7SrmzINxLdLR10/Mp3n17Gxkl9LbGPRsrrmOaj7
5JGUDfPdqQv/Mza42bTBdjmeGsPf9XmerUU8+3d6aWoPS6KKnNLF+lnUhVmqq1MzGm5RMeQZY1WW
7tvYbN7qRc+exjbSMfKqC1j3ivy1ckFLQBLIRvat9MG53dlYzNX9ra5ynVLk0Jqc6CjmXj/ZTYv/
oqfRbmXEqfkmhUjoKh7o1PLjEiwe7KL06mEnx6x+IjKzv++whL3zWBqnLFi0lUxNhmE1e5Rma7wS
D+A+mokxriehClPVsBKbojgSXWk8eJx6GI+k0A5pN4ktjZQLbSW69and5p9BqibJcUT5t6GzRCm8
1LhER2p7rNUIRWWY9TIQWfY8lbPEV8m8NanJa5r75gD6WT71ROXR4md1sOo54XR0OZ0stx6PZqAp
yV0X76zW5i7LBFpxDYPVJ1sHpaUp+SflUqDQS8fx2yZC7K1tBzes7SB+6v1O/Pjkm9HKHJXtY1zo
7kPb2AJ4zWcA1svgzTNp+65MLdg1VbrcI7vrv9vJEy9pOXno4KWBdypxHnuE1OuumoYjK3h8LvDt
Z0QeWNFhsDCYrcgD8/hiJakbCPhjxJdWecBTlQQr24mKq+lFycO0NPI8dTquJzb5Pt/WsvM2sZhj
cCcWzDtTM2BFaunPCA8MnYWU3D1U6MRkEuLmR+5ycL2J+Lt+8HbpnGsPCO/tXU9I1+fS+MFWLIu1
8XP2tbon/ANSMnvpvKL8yQsIO/wE2b1e9c4uRXId9rZWXszJk18wVdXBGkpt7zElroQWyL0+ivEN
OKF/r2LEZVXgjoeuI3cLEFA+BaIrjnKeKHzradwh4Qx/ALc964vT6pdqaJaQKR6vyIhGseGMu9fr
PH3iQDORZBrzfZBicWiMUluNlkPeonR4X7Nsz5o3GQ85B+XB0qT1e8DvceckJtRiHSX7rpy0rVFI
sD3iDa9ZQw+XUyyCOpMO17iXz19YUMx7t67HQ6w31VsRg2kOxBlkq6qYMJrQXYapJIrjQ1YJOGOB
0v46wjCFYpLi0Ffl/F73g7HLo7y9031BP1tamaHvxtlhaHLyiity0gs4+QeXt/FYDYb8xszDMNMw
Uq86PhxSQFov9zcyKiFBIz9ispjs9rsM6ljueIuI9sRIIgYB5PW+sIz+1MnZ5HAtynfMdTyp1Hpq
YWr07VfQeRBnWYr/iJEexSaEtmvpG7As4jySek6oveugrLR8aOi1cXXtqUGawojbz89ZNOYnMzbr
H07l+mIPov9G6lN+YL0bTq5jkCMdVZP8qOjhS5mXZ21kha+rsx8n7QsaXSLXojLCW9ZHjWKzyARy
cbtM9UOiD8PF6cpWbKizJqkUFFmld9q+AYo7EtKNkWcm548nzN8SUj6EPpVe8crUR/vJk64xhFHd
TQe50COlRJ1bokGAnyZ29bXWA26zsDmDOHDql1h5+66k/6fVxjcHSpPO2iKHbAdXgDZis+71I9kp
sGD4OPrVoFu5s9YK3jWd6kFESEw6PgRQSnA+HCivKD+XZz9tqmZLc5zzFEU5DOmYdxPxHKpg2DRT
YN88F8An2pKOAvPr3ETbHnwFd+EoNTLGu6B/opvNOjRloF0rPV68dYZBnuC9svvK9bEx96lXdpwx
pGSspOV1v/wRyQbsKQ6RtZ15gCRBjD9USwznwYQNoviKWKhszY1cxmGaTxacmV6n5BQO1pFrnT+N
p6vtDgZTK4VGvKuLJ20fCpae4JVRSfSn0uQU3bF8D8MW1Ln8NvvafvVawUc596jSV86oQqKGiMV0
nUDtYnsrqghAvrIkTX6Ip8rQnpA9rk2wwivNAfzmBZzod7uYCsBMc20HVYw6oZEBPptEb71HhwKt
A589JFq0MH1LWUU7StTB1WaHGmrJC/9DtI92tF3mDGJRUqoLfUohwrhN041t1NZ7o+nGesB69Np2
c0nEoURWyICb0PUk3H5XdW366ud9HEYTugk9iOxnUg7jw1CNaAJBdjdVM1hXzam5IBaf1uci4svk
+SfikL4w4Eq9AdlC0NDAhlzym8pBT8V8lyvpAw0PMxMQVek76GR7HyiRhJfJ9jOOreoE0Xposl8L
sfS1n9eHsq+mK+pc8zeaJUJm0f97J5Bg56OW3vgAlFo94ZSm/002qb7SacsCPsDnCwBFyAykoRwo
fsaMRd2mqdnDNVpGWdByaenv3iAwGyIPeKWcbtkTfmO+Zko9QrsuQhJs7kDAMDbxQ5/o4pts0ok/
g/qE88e9Z6WM76lbaDZSKVQsohDYT5RuJbtJWFg6kNjw/TtngFT5kCZOtJkzrKF87clI1Z7tbG1w
rrtcqWOsm1BmnkdXrPl1u6G8KWly37qg0eCp0qVNkmoBAxHfIS3Hhd3d5DmJUupkOZodM3eWZkVO
tTgHdle+dnVGSLMJSYL0PlOynyBTEiDdk2SRNEMs4pCo/uWPmIMI6r9ACB4zmt2VCZodysn0i0Rh
8ZortRFWS3ElGLa7EPc3nvreDnYVAZCknyqt0qBUS/VUcgowryWhzeXtrdybxGmwfUi08SZ98lKo
55aCOZzL8574snI7lzV+Bx32Y46z/KdXKqpx9BBUpSCS7zm9kltP6a08pbzqBlNUsFUiRyIjEuLF
DKXTym+Srbyehp9c6bjmztDec68vHquqHa2tiUFvr5l5dPGqGhmYEoQ1ShpWKZFYo+RiUym0T4ce
ra/qpiYTCQ2h4MKIzLgS4d9B1Sz7qbvp0DTpkfllGBUVkYGdJgyO5iLvzSojGcvWqu5kC13+6pRN
Oulr6yXRsE5b2dLgoo4xVCc3b7WzSP9a0Gn37Ny817ayYVcofIfNdHNnaykhapg9HXH2lX2bOxba
qbi5ujti2xlhYCdxAEekGa2MKIcOYI0YVUvEaFBFmif3doa/gtumcg5ZPXaPvI/s0SCdI1FZSS4J
rfZIeQb2NKCIm/3cgJVPsTlwtZvCLh598qOPLVbMceUp//oArLYg3TIBQ6XythMwjc09m5Tl/T9m
w2Xb+/cb7m74GtOv9vf/sOHy5/7Bt+Puwt/F8kjgnuejuvwb305HEgsqInfqvdiCVf7QPzZc0yZZ
MVAsPMU/8Pf/veHqf3GJg0PFyV8F20FXnf1/WXBvfxUc198WXGwxCOA8MpWIjFRJjjoa/H9ecEcQ
db8rCvqNSC94KkVX9psATpWwaK3Rm7MFmZSv8iQ3ISAsQphp4DnFGjj5KsUjdbLrIOACK4qIEbnA
UbPiIOkfmQqD905B1FpBQjhPY7GOLOmEs1fUu7o2llOr4O0xZ5LvyYJTng5eAPou6xfRdxyODgbd
YzOk5SvHnbYNyqba+gpPtxWyTozueM7pXtyneu6ERBPQptvmtGtSaPMxFUN0xwhnrRyMLTs/B71v
4no6zgrRdxW2XyuUP1F4Pz9cd2UrDgAnC3V1IKbhGHS/Iz/osEcP3cWg+uaiFJxPDbjaGwFg0apf
ovxQK6qB/ZTezAnNTL/FI53dGbhiaYlSFIXf1vbzlNg+l2clUrWow2YERba8gHvAceik8SOr1/Qp
pKQPFqRNDUsLKZ5EbqaVqGi5TDQqWNokTXg1Tv5mxvSW2uxsK6kx77oGRtEuqKq9vkgCJIS197Ul
OfAhe/tSUTdI57RNAAFEhm+JJFKJ5dpF9ptsnEiSMSGA6LwffuKs6F99RQ/F5pjsRiZxLhVFH8m4
mVSZJKQSQ3uy9aAf4TpM+b0Mo/HoKEKqU9RU3be0QMloDgtiObZAwcUOAg+K8UZrKYKLB5x0GtTk
+9EmtttUPFilGDGvoHF3dmDJPMWXNVLX1x4jyF3QTRAVtk7bFT6qbRVFEhOzokl6RPu6IuGIZkz2
w6Tr7yr25lCh893JuCdcWtb0iQMufI6ZWNBoGsm1xVUVOlPufyJ0FLsMS/y+c/30brIM2pTsxt/Z
MypOIg/lliD/cVUBZR70nFeFFIyeF37WvLexVJkOFNYaBIm4ipJsiynacbGRg6AISxVmhnYDRq3J
JA1bU1yE3tDz0Q40QhuK9vRoT10nigqdl8pYOwQL1HmbhWDb1caoy2aXqPYej4gKvmhascpZ+4A3
4k7PXWZnyFcWOIE5cvBCJP7xiXDP6OrxOwMJqosNimo+czExyWpccs2N3yUDAQ0gmpZNp/hfpG8T
zo3EA76Wfr2dxqXemgO9g3OM/EDaIykR7myu0cBxVXG1jNsORuLsUdF5Z2nuvG2YmJ+WpJo37GoN
1gOITeHFycYbomgXB474lnUjjwlcDfNuVe/9NJu3PFLeuRsd885ipjjEmBHY3QRlPFNnQiIGebwn
5r//5TZWEKKczPeDZmTbsho6jNNpclmEFj+kNJ8dltJpoEj8ie+xo+HULKcjMqglNKaieSAgMg4b
UTt7gIFkBYbn7mbTpaci6cuAMTMaSWYh1haHDSJWg+3yN/QB6ke97acQXVT8WZZ0XeNRL54RyxbX
1gzEXZzQMbzqOlmAjPAd+HRC78yMXu/UXJw36hOni2xsqp/4ax56Kt8UWlZ/EsrjbUo2N6R3fodW
JjG27Zg3n3Mn62tnl+aOMxtlI6zN8ONRRteT9JoNxzzQ23daOaK7COr5R7N61IR8rGGpD/ObRWTU
rm4Q05PYQl1LD56/bjikn7WKaEazwtKRzr4rCVJkUPRmqqNQWdNDx5DFKJhSWZXs577sjv3oxL8S
bP7qQc6rQ8SmdQaXaDYVIT13U+Mvm7ycs0OdZvKL4jvvmeojzsDG5Dg3JImpAFzaq0neyP24tHmB
XxbUXuSFdo6QZ/+W+GBQOUnSMvCj+O266gIVCt/kd/BgFbxn6r24SgMeJf5Lk3IHQFv2+S7HA7Gb
yap4INnHuYsE1bLs6Hwckxy7U4pv90NQ7LKSWJvfLUuvEFT2SCIDHRI7XuyLVTT6jsGaU3ZwWzKv
ZjwEa1oB7X1rTDriWadkvFq6lqnMiTOL48BL+l/+rNOvTYM4VWqkEl5yJbAaUFT+apAJX+wpSTAK
mCh/WlU51niOtZelZ1GtVWXFsaNb7E7LR/2CBB15Oq+F+7auqiuV8slu4pWu9QJ7MqYI44p5mVW9
kxOVD7YpY4bZoiAfcGSLbSufVw1NFj8FppPdeZMpIbYd4hhxe5uP8dy3FHaUbHSaVws0lTQXXIFW
SUZGulODY3QoPSo9fW0R/IUmbPB9nPhTH9bCoTqayI4E3ikiNx+VSxR2ehfgeXBsMGZo9uUBH2f6
aFmoizyCORGr2pP/Cg/v3k/0q6C015sdmowJZKoTz2UwzfE6StzmY6IU5NVKtNQhjEULrvh47R+d
9YsCCoJpgWc7PFvsVPA8o+0fAkO4x66M7P0C8rO3Tdu5RnaOHQ1nsX0NuDEPSVS0od7n8X0Ud+Mp
QeQxrMaZp4T3Xq9JvyLrhH94Zv+HGP1TjW6wg84p7oqiKH+hSIofCWfIP4oyWt5nDdZc8AM5MHEU
L21QmY/wiuJjobogbO1MXIahNi8Bt/CVap7sqI+YNbxepJuZJl8QKQpn8F3pEfFrzugR0DHYe8PP
028rkOTWVJlIdxq25kPP4/KL9jjny9E1Urf6AkeXh1roQGRGQ/21SewDKjO3QGqoZQcIZeaDofTv
tdaq9nOeGqeKboor+sz5AiJVPVdWK07KPk2nQDElj50+l7jZsumUJZrphl1d1h/zpBJSvSjd5agy
EIcUqN1Xi+bPT1h97ZVJHfQDmlznvvFI+s00ZX0TLCtvtjdNGy45UKEmrwH5rd7aVnUfrDyqF0nR
QdNHuDK636CGQ05cf7nvtN46J/G0fC0YD+3VBBmJ7b/GhdsAzd5PejG+Wnj6N3PSZN9pudjHSm87
duvFfeMXgJahmXK0b7Nxv9DLchd1Q3/0qry9Dxh3Q+IXyt/SiaIfwpWsrSHhaEHojSlEK5huxJRk
V/b8+I00o3o7dLa1zUjlXjuAUHIdOV28bGbiAsgJD8wn7BHk0BEHEqzZurBa0grz0ppN/VVgF/z2
EvLDNIjv44yU2XxZTLw8ftjUCACiG4LpKjCTsC9wzWqyJ+J1tY7hEuP1WxTk8ximMCNp2EmbrkCM
4ckn/4L8dtk3H2cjJjlalWr7SFw3noJYUwW2yhvsqgDYSkGxaPXm90bBsxmLMZcbkC1DtGoAV0Cu
vGG6pYJ3m2iyvgwugBUhCiYtkePyUBt1Gkpo041cyIrMFEpM7nGysRVyrDHirYU5WB8jhVEqphzN
g8KabYU69wp/lgyevzOFSbepbzxIhVMHQ5afB4VdF+oSmKU9Q0OAbONDtUI9GtMnQ4+D+0kh4PU4
pZfFnJZtpvBxp4+AyrM81olo5LIYcbqufYWpBwpd7xXOzng9Heob9i6i/h2zzfjWKmQeYWS0IhRX
25sKtzcUgj8norpkCtXXJZE2rkL6ufWqHaBa/LUoHoD+0mVH1WS6FwQhYZWBLyCZrPwExrfRAGvu
2RyJgnIUw+AprgF4BdrB/isFcaMjIJihJqBAoCkKxVjUUUWlfHXjMW6UBiADdNEQdNW9oTgPcKD5
2afOw0OuACfi1GjxyP2GKelACp/6G32CjyY6MAtCqugUCJ1KswnubOSnG3IF6oeimfw9nVnFpgK9
fskVS8MxMd+3czztnK7v3zUJm0PyFVcCj846UVwPcoPhyeV6BUbUu+G7UqyQM4BXxYVlvhFsXv2a
8qq50/uq+Q0yF3ximXGpW6Ltam8OMt4ZioCqIeKP7jy5Zyx+1td/CmagGOR/jxnsh7Tgo/h9M/Ir
hvmvlLj6Q3+jxO2/2IbhwvgQiG6aGOb/ARi4f3GJZ4HdtkHEdSjzvwMGyhFqk98AHBCwhuON/zti
YPzFcRz+X0ADXOtMI9b/CTD4F2sngAE9BmAGlunZumLf/4UR10goSguGzs2SSonsti32BpjrMcHM
uTZi90/bm9cEP8h6TMyPKbU/evjqi6jS9iGb6uQd0ix7n3LNPvO7wxw6+9NRODxWLerP/YIAibXP
JTYe33N3srrqj9+Z2o42nX6N9LV8bTiqNp6f6vcectNQwGI8FinpXKs59+twKPX4EknDfq3lUH33
/uRsq4E4NARwCes9iPxG85EWQami5FwDoKUXTSTjz1R03YYWQPnSOY64SAlAaIE+XsgoYNYyMs3f
9kEfbQajsezQy2DHiGCBdLAJBFszn00HPsBh18jEeu7FXO5B3omplEVDeWlA4EW05AiEaYj40EVq
hyWFW/lqofo2pBip25pVahyWxUsgiAvt1Hb0/3RxZHzp9C+GZGtpuGy0EUlhJghTaZioQfORoKo1
1nCIYGvI5ORW3dcmYt7K7695Ly+pNf8Mbf/EzVpckXRph9Gxkt8Cv8c+IOqFfq1xODZAi3yE2oxr
wNbWvhT22aq66hp5zX23WPKiuQWsdgwxw2CJVrMd4i355MGrTszwbqbGoV4tRTTVaw/m9XtqO+9d
ij6571xCFbdp1dQ0FpGJDsk1GG86/CbCnNJ9HLRJPwdOJc7D0HIJ9LXWbbvAiU7U4PGp9VG/1VKP
G8SqWr7h2l7XAYJPk/gGzG/wUI6wunvT7pYdHit/XTW0exTo6fdanfthD8axJ3yMaq3CSe+NNNW3
tFDQAUglx/vosi62yfBeEjQZyoxoRkuXa9ub7fulIbA3Hsd1zqr02AFqbGoYpnmVJvxbQ2QaoRnU
+hZrcb3R7Vqui7ptD/Q/Q70VbrQhNl7sqSUgjybCb3GuObEB8KnSbbKsy9aDsCnULALrngRjO/Tb
tnkcCUe73D6D1qja04zN9cDUO90tNe98FkGzIRmNPIPFd0+TwcyFgvCU5lQjTuP8nUfiFRDDAt8J
DiLmW/UMesUXo83YyCggbkqmn2CM3qTtjuvebus7fXLsVWLx/WA+7tYi0smm6eP6cdQ094fCNXy5
U0blspm8cbPhIsPEcjANU4bUFxxtv7f5bNuBsmOk5NOSgdgY/ZV552tkWOuS/ILgXf/WHRZ3Z1aN
D9SDZ/ovuPp8NwlI7JhUmKARz7XA56JHjjwaBgiZU+qouf10GxMInNndIzj3h0xgfQUf47pOh+tS
E07vkcyxJoW6IkB3dDekEHhrm7QECPro2C2jFUZEyNGLUJ4qGr0wfjp/2PKZ4SHkKdFTv2pUsyI4
8aDNGxqAH928z9YLJu/1wO985fLiw3gwpy3c4RUX4DHOO1ybBlmTNieR7S5o+vLoe/Td/UwGKioc
oCCQ4XRTSut97qvl2FQo8BEb3WW9eZek1Ued2MdMmMxFxbuv53g6vLZBaWoX6PfKaA1RyaTHIWOA
wnhDuQuQHRa5a+1KwQEgzPa16onumutMhuQzm3zHFpN6bgdfVMYerWBeSMTt6dJs2GLHMTnHogq9
PiFz2OQdo9ScK/PcFM1vpvC7Zcz2pOM063aaTtPkH8pYO7hOml8ie7BJL+FTKnvbpXuErhgiluP1
aEJOMyqUq4GWdkahuKAHhjzFqcCOXlQTGn9TF3eILG32Trd/Hr0Yz6GR70kEz8KMhMismNVpZjxo
wiKAEuh8Iy39mxZkYv4BOjd1MNPYQYD4OuYcAaWh6w6VbnmksOWXTaJ2WTufRdwxijkOB7M1w0hH
Vr3GFdvuMb7ZwHiWu6elBUdQK+mT5po5GPkwrGy27S1oy3NiGyZGHERWC2LQDZV1tHIaaHDHIArb
JK9xFPmAlqZ9RoaLfYJMFhIYsy/Ttj8Zp6gyLScgo9SrVl6XXHJyiAgq3ZKqeV9EnsTkP+M88kS9
SQombIxFdwN8F8OujCA1aeuJVdeFLOIXj0OQDANvSzzoA/EkZwKp9ZWrJFDT4H1lhNHDSBftE2P5
Q97F33g+HngqD+1iY5UxnnRvOWW695tssl8tNGyD8NyRSb2udadYm1Qatpmx0SLz7ATlKxTpc5I3
Dtqe5oJA+yTr4CiYRDaek7+ITjzOZXGxotkHKxHFhhCq47BE9+bUtMeRIssd2VnX3pVQhzQHBtEd
OYgNv3VMZKYLRNfqa73jS6brEJoKE7XhLQlBIbJfWWZhrhPe/WpAEWA65sUJCvJukNrTdXT1o4la
l3RQojfm3cwU7tqdI2/tJC2FlA1miy7CAm/4pDrDrK70ibinhujona4nL74F0ojp5WBBeD8MTn9u
AiZ2xy2Ira9QH2dlGdKmxsbHs0fspkOkT+TjtOn4EYocHIK5nuLAGUNfPFmPFeaC0Jp5gnrTJzW+
fZ4jdPeLJMiCbHcvjCkMpLsefUAF8ic6/Wkgv201+zSmlFnqhJ6rrBk8+8WO9a7idCdqYYh62v80
FcfAy2ON/ZMEDXnwZHRt8yl99HTSIbN8xkzED3bTzVHJptRUSP0TsgtmUkwn3aDak38K9LTdzKTq
IwsgPoYmL6pwsZoZY30O9EaslkiC4MB4t7alerPcYYuHm8jJhLziIIMESLIA4VzMSETO77RKoqHe
BUSj7uMKNJr7stlMaYbTSvacvoa8ovI0w9Rz/pgGLrexSgHqTFxEZZz6qNYzfT84hNZXzkDuav3/
2TuTJMmRLMlepS+AIMEkALY6j2amNrttQDY5BPMMAXCnWvUR6mL9NDIiM6Iqs4iidlXU20wPcnUd
IF/4Mz9+4wNl+Ri6yH6i+vInH3Ax9pmF1blqMYb9hwsEYkEii1IpNaidV2lqHrmXD/X4IfRsr9Mo
qm+dUQ/4irAYgaXj1Jldi5Cn56KVOYxGKPTLPJ/zw+Cb+Hi6vOaY5pGBEUd9AYao1zS9ROeBtKa9
nsKkDFDKEOb7MOEeOtUJlHnX24SUZS5Sn0FNFYjQZROHxxDpaFMjXyxpnAk3lsNFuXKI4CT0ZXFz
neZFM5YzK5me8ygp/KMhUq7WXd3uS6peDwlwusfoeiLmqsE1Vnd6L3O73Pbj/BPRUKxduOKrsKui
bU3CdJcEZX6WIsQq6jTvOCbNx5blEk3CY7x21HQq27hetrql0bhltds7xgVgLOeX3+P4TPBARE61
YlYKD0oZxhp2SHCAONsvh6ERGxPGAOh8Byc0MR1HJzT/jdmA+FNyo5ftxFyZkMvilrj2uFRDe8Kh
qYc4XE7cxy+TUU9vUZWy368YdN2Ig6Av9R6JXCNFlx8pe+gHmGRASnL9ZVOdTF8v9PxIIl4OGXqW
U4U+PQoEGkNSylvdl0W9ceYhXceTO5B3rfhlezbdwtJDmvXCKtnC4G1PhYbY2OqJHWJ5U4Uyu8na
QZ8cgkNPrGAxyQ7hd200dz0+EW4SEMODztvH8AMWQwUTPO4tnEQiQd+urlm/Cu1qMqxmCdJ3XM9p
Ep1xeKbXdyTbN1XmXhoytow5A9ylwb4Z1bCvZ/XNUX/d3wC+aVPzY+Q5fcvpAfC59hyg1OR5er4b
WEqHCcxe+17Z9TuZRrWci6B4UJXs1pPhFesqxMJvjCgXAePbw6yre8torXDBc8BaW/lAR+xU+z8s
GdIYhYC1YJFg4oIzxdKEWrOtM07Silj0GcgYF/ggR4aKOFh5rhIaDuLokF4n8oFZ+kC8kxKHAUGS
rP89WKlLELEXGceif8V/QJjKI57FYprBVU3hqonKI/HMekmMqr/LTN0gKzrpGtUwPOWVSH66g6oQ
r8BN0nfcP9Y4yHboj8WW+GF0Z3WpuzGuUHKTjBtTjvGqnQrXCrXBEDTS/NmoS7X0ZtqeDMOCtGI7
snsI2sxbFhKp2BplQ746IjaozdH/rjqXx+RQdAxrcwbVOM2O7N3JMZdm8pEG9rBpZD7vEmMazsPk
kZEsp3sxJu26ksK7cVgI+GkarVxFiJP1UHMaZHxJlXphMZn9SBhfn7Mm+FuT0/9qOuBvqgWGhX8t
dVz6uPj693/7Jyira+T/d7XD/YU+CObmf+CqfndHuL/4yBj0Lv0RYgVI16KINsD5T5erD87q7zqH
8wuWL8ABkAt4eT70wL+ic/zKOvyzMQLegXQ8HBPoMAG9jX82RvSO2XJ1MuYVZrD0ZF5v+bO27uYc
NIEGGo/HCo2ytpJDMarPgRUHBi9W9DLjfAbKNiwizodFNjUvo6k/qhC6u4ysbI+nKXgZrktSN4H9
Bn+ETmis8xhzyJ31xhcM2W1ommw3AHqsRFToxRWhhpgNer3TJabZMeNREGNcK5ns8mla58P8hUGM
HzlL3iVr8R92xYg6Y6bzxPBYA9hbKMsbQFyVT2bERnqWUPOw2NLUExRnOyDD78p2OEQeMcbMFj+4
h3e0T4CVJXZWLWno/Vk5AUbaMWI+r67oHD97NGqXCjofUZnuuac67VMsflmydFt0bca2ty4Ki701
V6eY28M6Smb3rHtApHXkfsKlwsymXWuj/Twn7uvVu0I2ECs9Sdc7xWMbDGrB3qahfNH6w6sZtdHO
tHJ7G40QTpKy45ChS3nXCSv9ihwT/EGIiQETnH7N2/SbnRfWOcP+FkLby6FyX40hL7bxxF0yd7wr
bNu6w4ZT7QX3r4WbsQAYCqu6Y+N5N9rgFLqyKA+eUXV3bsayIunH6PYaocI+71EAR1/nFg395M75
ucGr5yu8JKXjEWRtVlh7Ttrp0w2B6s8hVRlrTtdcWWZ70uGw8gUNiQHnREE67aoCcUSPcp81gtKl
InvD3sibXHYe5R7OBUt5suis5DRn8gAc6TmkG2EJIfhQWt0rW6OMJ1oKwNDt7WLBmmcvGdzWgN+d
M2H1N6ew3s0wAAgP6iEP28ck7x8DCgnBzrgf2mDKbc0R56ZN0ft1G5YVxwxjLdMxHZtMTxc1k0Sn
YOITN+MxgWy0iOtkw62IdiY67xa9qzUjh2uv2DftwBjd2OzJNzpLqLEAT974Y7dQ4CX60DkOMJGr
UQMjU+obRs3a6EFPYkV8bGegD0V3DC3jMnX1TcF2kC5A7t96PAydDJYGOw5UtPGIyT97Fb48ToPl
LXpVbTurvTZ8R1TIB8HOGOZXNJk3rEfFKprZQrqFe67M6JQqGPgG0RWzg2XZ8stg2d/zVbePtTJ2
Get30QQbJwrug4FZCPPd0S0ZA7zwkOnkfsS4uMxbDt1gCF6jxPmMyA2u7bpw1m3Y7ZKeD4qSSeA9
BW/3yK1rlvmLplV9z4bowhh2VwfAN2PKbpaO7fxoRveoYuvcUGTDstii07T193wj6aousBCXbbum
SoFYNGlw7i3DfWBUL7HnP06x+yMLeG95UdwNzYTMu2h2LVuFG2VmYjuxllknhf5pdeHAdwcto6lT
d0/xS3Hu6shYuYwK64qk88qL4vYiVNIDIjGmVTa3p3DE6YyBtnv1ygibV1cnWCarllvFdPvXhf9z
TM6mLX92fwbj/prj+gc1938m/vF6jPzrM/NvJN6u/D/L9yru3rN/singv//97LR/QdMX3GQwvZuo
/1j3fj88WSIQqrM5PD0KEDhC/74pcH7hvCVt5pNA5sbgX9GMv3kLbQ5X3xT8XxJ3IX/K/CsnKFZE
Tsg/WQtxQdmsMDixsRdSSPLnE5S1U27MFHqtAM4SSwvD/eB4w0Yyqa5cwLh4mVp8PZIBGyM5txPz
TKhrWJjaBtbWG2ufEjZ+UfPdhMUJX+H0A6r10W3StyDQx6GzL4FD2JzY+i5NceAT11w3XviSBFzg
oe/eioaUC6n9527qUO4C0GKCIEnDjSl3ZhegBLZmz9cDaqE8WjKu1g5ACUyDEDQ0PTGrZkzsU1Lm
FxVSOUn1zhHFBt5LkF8arfBbNGmNCQNiLxGM7EmQKt1PHI4YO2pzmdUJ5SADa4Qiz9tF2Nqn2cm/
INbMy5Ioylldeaz9oO8QXurVNItxVVY1e1MxrzKrOTjY91AhJNv5qL6TzthyXvjNbuy54dXX+SJ3
Ox4USl3MrnieWUYv3BjvgpGXd3wsgNzjfpc70QVV3F1wZ36U9HLgDAvKgxbBmjWmXMRFFq94r/Ot
xxp15VjdczFytqixOaRXKAjinVj1tL6weOCk94KEwm0dOBevI7WSEAncWC6vVMC9WeS2rYHxWw9z
x+O1xT9mKWPrhNNZpf1lwoFHS06I5Okw/FTi0apsIHalWDkRnTIjyQqLCWpqQA55fUBLCokhUh3k
6cBB44MxjWc46cegCqeFn9kvaT4nx76p32eLJ2ltNu0q08wpeez/6CKD21w8m+vJhH3vDRIFOxLG
OnCTT5IachWPzQ3e3QKYhbnuKfSFW178zIBKEGnPh23sTP0a9kyyFFPx0Jbps5VX1ZEJi690HL3q
LG+2XulRmTwFMUpMAakHvOY+UMK+dwtTLeMa2BD4Q0SNargJBvNzjphpMLUuzS4ayDYAigbkto4U
H1/iygveoQMWK/Zgvq8XpWd4t8JXei+cEOpezqrFmOO1i+d9gRf+qdfpcxXET9xQIRyBZ7evR1cD
omoF7yhaxAlridxNyfiV830M34I50sueXI69Q9/YcgWQ46gq6/PKYDRByG0EPp11o9FBy3BaVQo5
OFQURJFx4h8UNjc27O4luY6WTu/+zcZquHA92wIV5N5yyKqlisIPI+lfON4RU4bmc3bSTwqWiEKG
2Vkb3ovX5D+hlA5rDRlkC/EI8J5PU6Q5xsey0k9iMN4bZMC8pwDNi4duPQ80FCqx1YGJi6xk8Mku
OSfhMrf9bOkjkbll/8HzaJMTOs8KL1yyj7ubq2TX0XOuIjZsAFOHIeXUU4eZEMfUq1ONq6aqiocp
cY9JNvA9VkCuBeC73rK3Yd6/hYH1bZJkHevp0fP5ZloGN1AKEKDYFCdALbzJuv2G89iSN+m2ARlS
mgWmR6D2L11r0cFXgErscO44ZnLvWDaxqzxH++dJVXrDh63Q9JM4uBm79JzCuaiSDhtuV/B9bW3i
WlH6EVv+o+7an45DWjPMoE978cE1hpspKG9jrzxEs3+GznrpVRbgl4WhHfkMln4xnfxshAOuzNd5
9lhpBB4tFQW/P6O8T+v0KDr/rYnlBw1SF2MMulXkN/de4/2YvOGztrwLpUV3ddcf2KsS93B4BECC
BT5zE3blg8uOKhPzvAMTUh2cmBRCZrbMZIK6AMkzUrOQ6+iJrJvzNYcwTwHepRjVkVjTksGwbIr7
LuyP3OuwgI0W1kaykGgZIjTZkCXhzw4m90A53SI1qk1eGXwCG2PV1vWRoC0+oistLHftt2riIWXg
y4trDTFgxoJn+cHR8ymcDGKiR0GBpIv/hVydn/OEbuk7jUNryS9cLsekuiRmEO8ouCPAXcU5pppr
E5lRucsmUEfPKulOTDE/m25+GQpU/jRDrLanO2+ajZU1t++1jDFly/AhtLq9iQpMq5HUa1RlmFle
62M6l/cZFJlDgfHIoxyhy+YfmM2feAjSE4RSlcajXsDpCrmcmekhn7pu49RsEKfQa7aEHY9u7Hsr
UyTbbMCNVEZ6Z1eheZuzdqUaTMy3SnXupjTnJ4v+84XFN4nNLG9b23Crwyif3owJOea0HZdQRNNl
MGRi4XFbWiNKTsRl80voifjYJiajcc8rkQWaak+q0uDgWeBCSDdDU+Ie00pz3kyI+HYBzzH7mTXd
LYBewm+D65zsOeGq4n2R1Nwqy3iGOVnzJA7n00zwEbQSD43S2wGXOOI55LKMh98l7AXtdBO4LAd6
thNPEYLMWz3R+BLY6pZ3CyWemlgMxNkPPWDvx1TxluKsWvQa41kVu+xAyDWtKiPccJis//+c2k1/
cKQwFv7rOXWJBygu3mGHfP4zNwv/7T9mVAEL3PKEJe3ruAn74R8zKtOra/rXC6j3t2KI3+IvSD/2
lSgZSEuakK9BSv5xRr02BwkT8RcWY/CX3CwYpv/VjOp4MBik/x/iLyNg/IrYAwOggyRru017mcdi
eOzUCNDZ8qfnAR8HkOmc8hHKt8iKrFThctpkzLEvsRUJGu3c/n0eQ/2JO6fdycYjryFC4bqEG/hR
Kqd1AVTFESxfs6s3Qz35W2ol6ejiun6OOEXvExWNaycsGS3VtdDR1/WDCmd1NsFRt6sYA3kJ1ywG
sGpjE2hXo3STvX1dCxsl4Wg6i+dzR1PFBPStFidKLkFf186PGArhOZBUHPLmq21cGeMVbh5gK+ep
2gINXISWVd2XrBu2uDh81kqgJOzJw6JcOxLrvrIe8qHTG9s1w3dgR8ZDhwkNPGE8rcfE8ohzT9O2
SojShAHTAkVu5XaWkbuWYmiYLVLgZdceigr3+yGAfHMUVWXfmLMyD5FO1MpCtfqMZ91tq0rg5kdp
Jg7b9u5r37q9h5hRqss4uc5SExral2MnqezxgRdpTScv/ZUvZhxYx8ihK3UZ9yoCXlirRwyxxB6S
YdxbSDkScYwoPzsLs163qtJngE3DpoqHuLrA9aPQjSD9abaLjFk0KtZmQ8rYmCYGzVqY+Qdk4eQM
KConKDDO01cUg0xe+UAXT5HVZeuSq/etF4ocJ0hoZreuMzV7w2ucE1eO6JZ3jRUXfAR9iqYMdKmH
kZbBoa0J/xaFw2dncz8hI9t2091cJzcyZN0wCqjVTj+mrFJa5BSaJprHOhIN6ztFoBR7AVEep5mT
Zu2MvfldzRbNhVkoWHfxTwvY3MXpmRKdZu0ndWIuHJulKM6SHpfA5JhchorrlaUOk+BJluj5i8Qa
zDvIX+09VneKwGDHz/2CLHsVke8WIzsOF+EILTauV4YKc1wgxWgHHObz0OBCJwh2I0lAjzuypDsT
jXPpKfdsl9a19IlkLxOtcqzqh5GLrn6plHAPgszNncJ8n62xeuZYRsvhNetMFDOFP3FL0499g2ve
qGHZ1wHA796Tn43dV5fKaqqTERPMSHIwlssx8uSdz0hPRXY8GW9d3cWEiGPM27Ue9BG+kvaWZR0G
G0LM+a7DSPRSlGHz0CRFsuO8izsMnDOmzKy69pTHviWxKOS4C4gxh1C7e2ks3YpLrZ766CaY43QT
MHDeDkUIM8iPglNXo+O1UnbR0h1G8zWMYvOYGh0ozWIovtLIgtGVS4AWEU6qe3cSxUrPyuE1mnH5
HkZ+sNe1CRBxcIZto8cAaqQWB6KjxWPWjflNQiHyaWKb82apxG4XttGUiGoebjnVdm+OLOWb8sMg
WfWAj7DaFumSsvK+XGcm1I2hiyy8YWSjkrlrbmQ84XbNRfFmah9FkAqH4xgOxqOWMnmi/YVCKXTu
SFMEkDpbQHH0efcyTV6VOcoNZlNIYix93Z2Xp9Gj5sayHHp/OFWFFmSiawgoM3++4oML0g/N2P9K
AUD1KCOfi8+cYv7AtUGe3WHhDD4E6D5G8Zw+alzSct21oSQ5Nlp4PbgJDxesJ3TPwu0voZiF+YFd
YMw1zKxvp9SyNo1DI0APInRnX+cpJZL0zrI7mLGg32ClMlFtqqEsGCyL6M2vjX6Jgg47a4Sbyipa
tDcWGY5n7dndJS/Ih4Vt3sIAapioDFObpAFaoC70brxds/ukTXqP+kWVeT+ItEdoZAEjZtPbPYRA
P7/3M5NvVKI9RQh6Sp4mwDxrXDT9yTaNng43ZkSiWn3/1aeOw9aVpTzqLHbQrRSRuI0IX8lFW8XN
8ZonfrnCCuwdMUJW9KwZWfe6friWbtFt59Ly3qo+I//slDnCsZqI9+Y4sQETBvHRs0vuLMTL48/I
MGiIsa2m+Oi1Lh6jKZjOeRakb5S0opqECVV8PJe/cPRM7wWoePpnYsu+raAWbDpVB8dSVslNWTXG
a0W3Xr3A2VxsZCeA1dWVNbyGesqaRRj45cmrhH/r8D48JaomhZTbfGX5K9u3nDqcZ7gQtbNw8pLC
S3jDnB5dFj77RqgOwPipNyoh0Nh9rY+cFsWR6Hy/5fidan6t7i0vq/4eXSXfjasVBwv0upP1xYY7
/6qMqD5R+h5fmD+RB5S0GurE8ICsMzJad32WzvvMC+djl2fGXakEDiWXCAUumeaqfFABeOsoitSa
tC9v7QY2SV9ySg9l+YDTsMWRwn0UBblyxoU2XHmH1dDesXkZWeo6+jm+2ukoaMvOlVQc3Gquswfy
3u5/oxznf7WG+l9T0ONP9f71z8bSP1DQvV8o47wKo/heGFv+aLI22SOCHQN4J4mU/gpI/20shUiG
/ZoNo2CUdWxTMiz+Jp1av3jX/42yMo9fO+en95ek0+vf/2fplBclPeG4gSfZQorr2PoH7JjCZVV0
xBtXDkayVYIaxabKGrCjZnO9y2k9v81+TdlJziGAUGF+Lq4hvLor6a2nG/5sWCamABlk536Y4nPD
BXAf/Zrla1sj3WWjzZ90GslVqYidpcQ9DPCvvQNpczvP5kpjNbfXvUtsiYE3cu4aWETonbwHnPu2
GfcgWxxJKYxtZPNSxB3oRsuVe/pQMMAZRKAfq1HWGGdy74Dg1VAB0xknJ3WDV9/GwIZH2PDPfjrV
u1DV0YvwDXMVCafa1vTyHqqynTZ5Ek1bkh3pS0ON1WasU/POwZt9kNQDfxOKsPbEH7FkXP1BFl2a
d1AnxI5HLCH1NkfK6UM5X2SfSFxP3vguhR5/OlksDm4PKWGdKbN/KiMvMhauU8yPNsfFobas/hSq
jsYgPN7dS9tV8KtDxtN+tKYj47w6iMQGZx0bbbcLxpYGZ/KPAEaHcCyXcQwEiIe53npVbD9ih7MO
aVjY9zk+FWOZRUZ7jGvHRIE1LXxcSat/dINCwUo8DOxU/VgAn6J6KywatsO6DD+QmrKtU0ftR5Wp
ImX51UjMDzQMXhqSRSc3lcHJ1hzWdtY0u7QhrMscXpDfDpX49is8hKsiZ58cdTPnOGw59dYEgSKx
PTjIk+1ogl81uFbbpj29lIHSb7LL84urey7k2TVfT4l29m4X5fxRhiNpGzGaT3jQbCCUjghP8Vyg
vRpdPu8xn+tHn064pS57uXcZUZZRH4zxiuwjNiwG8eBMc2edLyHApccAoOdpAIb9hWqZtfj6svix
AtO+6owUL1XHuhl7FHZZBo4x21SRl94HXmS/zKzdtlSzZs9NxB7QqAr0pMIeHDzMPL0/7CY0noYu
tghgAdQgPTyR+wx63HfVEKRHGNYwNsHinkweA0hSIXHlEhb4WWsr/wmXN+PSlBBbDYU9nABtCKw3
CXKnpq4JOJ1X/NQhdpWFb6qWzjkS8CwEJI5W3x/yR0AxcDaiZgZ6bbPFGAa/2A4J8n1RVy1+04m/
FBBi/4Udp74Z5jy76wuKcfG3gHTpkyHrF3YTmRcuZ1grzXE8O17utstYSG+lcgligdXy09DgUOVL
g8YzO7PGsmi7csPjLP2G+4R2zOy6vTpIjUWD12czphCbGkb8lCTHJI4JNK0XeIQNKKvR6X92SDSr
NJ6bF+2yTUSaregOsfwB+29oFli8JjsFup+I9lYiab0TUh0HwFadt87iRoJHTqOnytdyI+naXPO8
6nZTMquvhuI6EvpudpBVj0FxGiEVGlGr3HUEUfcoqZM7cG1tjuQmILdl8fAWUy93nxQe1apJ3bCu
aA1qbgbRO9WlT4Vl7j2h4LPBMqp3mtACjbX4RBgipWvfD7UIb8giYlCWYoQ449GoehNXkLv5wF1j
l3Zd99l6NPYtrEGiXJVRzkYW3tdlyAW0h/Dq7yWWB7qVqAJsO8RRcP5l2wT2OphZxK0zupAktgqE
8QU1C51e9rVZ499uLO4WaFXfQeEW+6TlquI2w9CvZ5Pb2BpkVPnC+248AzfLm4VZRMMPk6WsuZmF
1fq7Tl+9XfXoiqdsFAUFNKknf9ZILvQjosx/k9ZgxeS1pfnidUDiNrAkhdoqEfTh0rM0rxw+Elm6
2EdvVb5VfE1tOTxVBQDalXRTtYcvy/8lSpxpi9gwii/DDot4JbWQFy0nK1z2ZIIObastSOY6COJl
xYbiHOIr/CznEos8TD6oYAIotwY9VvbeqjC4sQG2AcV+OyRD2mFIpcayCWrz2cfwRWOHir7ROoh1
s9+vQrZFyva3rsxHxuqaOKrlFVw2SUG26JI93100kuaGix45xTAf0zsDVfKNot1xpiWkSfZ8/jUa
Bu3JFS7guP+ZBT0L+NLkCcqJVbVf7Wj7j2ntzFhfdR699WNgwDgrKAOCqa/eopy8AkJvc4fHNN9y
VTFrcpu+Oic9rXyLurC1oGnArB/C8soNwsDvKSIm5iRJxvddh7opq728RlkWrmj1yZXwg5l/XetH
mRRRuPcRX+WqpeSU5ky3hDdbtY47LEO07m9OK/9bT1ennyhVPB6LaaqwhLPpPVY2PZa8WdnYLybh
24+qp764iR3rGwvjZB3EFCj2S4pzxZt8zHqtIYoncq2W5Jpfeg8Wt1o6FOQ0iUMNDoE+MH+Ctegl
rXuq2sE3ltFg928ev+m3a/3Tj8qtmjWksOo82QkMpLkqw2A5XtOnC/QjNhyhHYRibYKpTw4R9pV6
nRYigakRGbcySj21tPwefvvkYG6/5roQ7zvRqOpAP0Lp0tmUBU0crLqo8qHDm0nww8HQ+9jJazLf
9EvZLbwpyS6CxrddkurgKTB5Pa2Q8RbbLQcaRW72zovzb9xEzXPwKxCgc5A8ZGoK/l0+bgWw6Vso
DOk2C4r+3TR9QHxWPC+rajB26NXWpWBd/WYmBYGOzodHgD/KTmgxoKfccQz/iyvs+N+Y1v9nehns
/9L/t1Tl57//3//sYLj+V7+rw/IXIf5G9/3Vh/C7Muxh/bMZ41yWCB6GBObs30Zw/xcJYIAnqGfa
uBsCweD8d/cCKCWwD6i4jo1s7Fl/ZQTnFPjTCO47NuO3NB1+VAJCE+HJP4/gjRYum8vaopOudZCJ
DIOS+NJxP62cb9cCiCu7vqi03UueQDOxx7g+enEU3HEnT1m3xiPb97a0i1dicMDrvdJcocr6wdIi
9sUgkHfRU8kSDo8rcABW3K1RL2dOQezwKSZXGTYjzdVJ3LyFBRUnK7600d6HqeiS/mrUi5PG9ccU
GOXWMgb10xA20cTUZYxAIy7DYwprCKSul4ZrAYOnWujEGa4hDhtsZxq3zdrL6xI6XWWQEO4QYXje
jhY9EXlQEDdkiztWhOiy6UaBIvgqUohn8IDAkbi5G3x3TMMdlSJlu7rmKVbzaHlrWCA2CmavZzSo
rCTOkmoOhHLGas0jrnN2djkAP6SEMDu3Bs0I2O9bDHYDr7Lr9L02Za/OFuo5EEnS7O8MkOTFbaGP
DqDbO2EI99F1tM3C0g6SXTkZ7FDpALYuXuoIFv0iP82zZe0h34BLJ/N5tluL65PON9pOc05OzBF1
HfQveRcISp5A7m6dQNFkpODtc3eJK0a0Mlm39CriWrPJ81Gvs5W2z4OwksPGGtx2G07dYCyla817
v9PVM7P7nC3LIvVvCrPFsN30DdXwmZmzextyCtQan/l7JmpKbscDlFfb8YEvWvLTTECdYhTP1gEc
wO/M9IIPaxb5trKK8AHQAHMPGIOAky6LtiPf2JNzTR22QV4f0qhuHpiY84Ml2mQnOt08GoAYVo1D
nKiB9XKAWthus7mzVtLizwG+xQKRSmKMfGXjPTflbDNTdJEt3aa0fxquX36U4+yecto2ksUkzfoG
xdR/ojAyflRQOvaqZ1vZUgB7yoiuLgX3tQPRJPc7oFZmHeded5fzA15VrEPWPvfWxx5TGwnXLvph
qr44Y2awWRhwqfQr2sMJjLXsJ4zQQzIu69tEMz0s3dIOdtRJ6y09HsWHE9cYIkJwF3dm2Lbfaehi
1dRxuYdpadzjKqAg2pgqCqJMYl0o0tZNzrLiWGYRP9fQS4PbtmnkYWr89r7li7hytK53ON/GJcGc
GIM6+5WnrtaE5hig5HtX03HQRljxKorzEE5H4+ACOlsPCK3FYgTs9jmAM3j2qc0Mt2E8G6eKqOna
AJmJ6X/oKQRx1Ixk6aRHO0OEXgFQysUiGXT6Eok+p0hM+zXCIS7KnTWzMZ5tblL49+gIiKsm1i9E
a1kB61JmLDn6uaWtLNN4MnB7vGRxOQKMKX0RESFoIjhJ2k1/jqZoP2ZozD8aoI93fYecyBDRXP3z
0GRvMoMFsJtBlcKyYFVfcWBOr2FW474X2kQzhlmVIF03CZcbxwW7tISvrZE1qTkgrBrWFZZGyc+y
1NTwsumK6e9h15PrIX2nHgOGjN8HTxHy2c1oT2LPBWbwN2PR6oNL4+NH1FnT2Zo7ZijisrG1ojIx
vdSRb51Z7LTcmIR18AqyCh2r8fOE6n9NLaSfzjCYS7Ba06sfGe7enWuJ46qsnZO0C+8Bbsh875TT
fLYz+ndVKyngdRhVH4y4N/cCWi1fbNF80otCXEDXVzNzAJxiE/ZiJK+eR7u687tjMI/mj6YhatMS
JPiCvlaiw+chEW1tMBFH8hjyAwLs1fdnVnberh0hRgx9PP00fK+9B3DUDvhvCnUqiW1yz2Z+e+Af
opamcKsTDDJvGWC+vA0iGW+SQuivvogktbONjl5m6c+Xsg36DVP19MS8OCtYsEX1FLj2cGhyarsn
yqCPygwosJNV/dx1RkNjHY0qNm/eOKGmqjH2n/IQR6jr5KSnHR4DsYtUXgcvkZmp7ey0xSlwU/dN
NNe6dsDVm9rK3e+yjouTb/cme3/sFFlkqQe70jEY0Xk4uJYBtSzJgXvIOXcXXNKtbxnOzirDb3FL
vNplom9k6bJpCYpDCATjYaDD98bsjfLYBi0XypYurXg10zXznTcKu7o2QvERNECg/TrAtzUoXEcg
ce5kptxtAT10bed59BwB1jxRcK5o3LP5wLgzVFTdma28cTNKyYAeOXdY0JyV1rNK8dSlPIdjblB8
FxKdwTLj5Vn2XHNbkAolyAdax5wKzTDu+os14lQjul933DAVXVN4vXlAYBOezP0YN/aKiwa9WmOQ
/GyC2DtNdmFjBWqLe4r6ipM9lN7BLicS9vBEflrajo6DOdWX0CSNtFBx2vKXmoXDWM3QzWejuJb4
0bhPITHucTnogxnWLk0WgXjihAa5wC/NfLXTXiyzCnyZR7ntTff/uDuPJcmxK02/Cm3W4zRo0Waz
aGiX4R4eHmoDC5EB4YBDyzfq5+gXmw9FspmZVV3ZXM5syKrKyIC+95z//ILYJeQC/RCgdW18Uamx
mOfz9eGx6TBGzJxVtiw19tkpPbI2wrtJ1VbCTKHy6UuyC4Iz+VFr8UJvUAjvWqp/P74h6rO6lZoc
enJgQdnmzk0BcLYauWrewEQvBrvvS8+YDfFyZeNZq4PYalaMJMLpiaipiTq5goqXYbYOV9HKXkk0
fbYQDQrGXrH8lasRXdGUtXJuK615xd4tGjRnVrHNucczahIsgDnEfDMKCJqZiyheJQM2zZC8ir0Q
PxZwH9080ojsU3CVtvTrMH9GsLqdDunT6YatmZ+LSC6Nq5w+xRmi28pMhT2vbOOuDObHKQXdnZTq
w7HW5hTOZYk1FdVSW3sQFSP32qi1y+Ks3g83dfISNIPeygD/iKyoCSuytMTyeMVaamuY2PCAVQ0b
qV00CmMb3MJsvlp8yOFO1+DsN3KB6X7L1steFjPo1wXA15xNuOmy8VuPNlal2pzj87URhkcF87Qv
UiB0JMdhD1Fcy7r32DTDS53BUc34r858mzLsEHCiNDGhtq8idKthqk0n0sb+uVJjjCPTG0IP8zbR
O8tamLBMFN8IosndKzymdV5NeRCFUgY3MC29VYowwpBV87NbRUzRu7iGk9kwo8SwCqXYnBiwCczh
pb4arSfiok5pp1R32PO1n7F2JZ3hRlKRxbyx26xMOYrtSNCaRzkd1IvM6B/moZTOftGmrR9CDOET
GIZ1PcJOVbOhTjwCFKXb5nYTxG1tXPUTNLb3seDO9QB0+zhPG7+o2tvVWfifWDUl27rXE2dSYO4T
/dBsqx7gWm8G4Y3VXHq5GspwxM6BhS8ZkDeULKy23tTyLl4BQd1Q9h8YMRYwoMLuLVaphu28bNJ8
m+FAKdvZJFRrI6nrJwUXohPV/2qDiA1DLCNdiL0S3ySpVgS7E1hSPEICJUQvVvV9Lq60dU8Q015G
vv6h1yJKkVKdPsMsxtw+FcZlO2boZXVduwrwQQrURAJX6aNsD8SfsL3C/3yOEj27q1lTDNrRWMIS
OGVnt8AR661qXOlF6ihHLL+KF66fEBbf0l7EozpNIFsZY5wGM5qYfbtqxKe6IlGoo4TBDBLMYsQq
5ZhOmrkYbxtQXzCdhpDX3hSwklkaLrekWEVwRU3jjh1n3ukVqzNQFMPWuZSUo7FSSNwYRhozW68k
9VVl2LBpukF+wTUr+SQfS/jCqqJjMRDK9FzNYqv/rYH+GP8t+lYc/0Yo/8uty49Fcmub//O/fqTw
LI0aLhMK2yV2uJCFVMhC389K6tGcgcmRoebCzLT/hVA/5Myy9R3B6Q+OIi6/5p9s9t8f5iffGym9
3a4AX5m7CrTL7Alu5hDNTNDg4GkeVLgT+mr7F8f8kUHPMQ36XJj8XJ8hcIk/XZraDPAsRwPnFwcp
ud3Y2VlzPgBP3dUx9X9xsN/dRw6G+ggSNei2JhpLQ/zdzCnrOpII8hLyhSt6kotM6YJllCPey5vR
196zDaGx//IF0sFjdsNxDU2C9PXTBWZTQSx2i1x2/KAzCho/8VcX+Mt27pS+7vx2hf+S0vL/57mo
8qdzUftb81b/Ho5Z/tI/4Bjpr7RrEFnIOTIWM2hwl39AMspfUQsYKKlURTf+NjD9OyQjCn9FSKKJ
pioq2GTQZ/8XJKOD1tATsx8wNpX5qX8JkpEVXLG++wRVVUfgiZMVNH6Tt5SEuR/fUKOoiy4j48OB
M2C8LxE7u94gg5easVS+NHlFbFAs4GijhiWF+gTnzoa3tXrTMMu96yDHXVSC2fw2VFM8cbTrKFki
Xs47wUyo7BJo5S6mZ4YDjmlkViEYN9PHPqe8YKg9lnaK9RGmEBmCPqCPyEuucYO1L4b/pTUx/PS7
AUizQyh9j1Fx/G7ESFWE1aifKS6nndhprBrXZvVEGq/8rU+r+CPG4mU7wtjFiqfqHFNLmOkMZXN3
Y8RKz49i2ZkgRD7iOJju2nE1egNOoAftJuZ+zrWDcstK/CTHhVHYMsnFWzgK4WXIdVyWm/aav9RQ
kM8jXlvBNIQiorLbuIHVHKOdHyMiEoe+eLqabM8GmT5HQ1akJxyoS48vt9uaI75yljLW+EEM/FSQ
iUr/rMLKyCH1qytvZl8A8sqar366dsj7DAytrtJ08+VQMs7MwyDiRvKcHUO4FoGpY9mN3L4pH6EW
jYfYTFZ3i+02Kb2tLDwlBQatAs4deIxW0mqDfa60zeMVbHeiCGDDY1mjP9EiIb8AtsXdRpJuu7Ad
pRtQu5y7REOKNGrK9K6O6CgtkPh+p0DnrJ101QxniHgSTUU4HsnAQh3U4sTvY9SbQFUxr7cHXYyU
PmhoMEUyZAbj0g5p2KAPupWPNQnT3q2S5gfK+uxOrNo8KLKu9MH18k3Fjok9zpCtfG1I63flRlqU
EmflZsD7+zOdoIIh1xhvgdrCeazSMXnljo2jhWCz2xlGKJ1WXYTpQFETo4xUVLkG+J12ZxliP46i
jT4ee/m2DIMJuKlTga5WU2MBj+dUZKiaoVe+X2U1PKYpHZk/obOHYMnm+yWRXdDh7cxgIQp16XyT
kvzdlFpMI+pWKyyRscFWJbgBWWV7XRqIkuAAbS7wUyHb1w8VedFgtDhiM4CNr4+4pWBQIEjUgL0y
wNAcWtPD8gESOSBhssGDJFqvbssXSI4wdVIRRigJcHL7NtQ9CNe1Dk/1Qlqzm5upOBHJkhsMbGdy
s6/SYNJCYlXsaFF8g9k+5FjqELD8CTQc4uPQSjuMt/RLhl0F/cIEwabCZKfHEhuzoNgsAnLMmouK
58jRwGTySI8S+h3DVFT+5XQIi6rc6quu9lBzqbtVfkVDkOtgF9HYESeukw64pFzEaGBueIUwOanj
Z1aWEReCSW8uGn3jRzTlwk7qMJAcx9BcF7pBhuEk7cpueij6zIFbCSsjdmTO625VwcdHW321m6zs
t30vveC0aOCjouYtLvCqhlFStIp8FWGTK41qs8cKD0GbpHWGV+B3XeJe3GngnRHqGiYf8Rd20Ml6
ilb9qYD3ST9mkBjj8rqqzyJJ7CsPoEZQLN5zAsExJk7RpCs1KmQD4gs9JLjRQxEmdW6HY3db97na
oYfRk12tJDIyWngKRRbE5JBhKDHG16ee7vaArKFvvTRXhudbYQwvpAPhUyF3N12yYFinL9Pcd6kj
502Lj0Nhqq8zxPAtOZ2hG5GOoTp4HpvryDTFfaWLyNduC8wRE8sUrnU5zO2qTidnANNwo0lLt4Db
FMQ5hrn0GkblwAqXLnUuqG/SXKovCn4qetDn6fwxrxQmXjoRnAgUyitiEqBSvhI9LZUTHqP03Qx5
56e46VE/xQPYYxG2qeREdRg/rMpSfC0ph/ENq8LVc6KK/RkiTv3Scf+fqnoea/6kg1qt5ESzEF05
qjSO+M3jRBYeh6HvTvB0hb2Yl8gC+2nsXjqiBn2kswyLewXc2xT6kPaIHQhIGtY3CIKhdc8ZMdEn
YwzTwxwbxWtd4L2DH+qMAXHUNoIFLt19QdrLt2WjyS9hmofPIm7Dj/96ifT/5jBKpez47wUL/14T
41Um//kf2VtU/OXz21/Ob7e//Pvts/7P/2j+919IDeuTz2+3j+TtL9PyR+0bClz0t2gcfl8xLUf6
R8XEPIpPBc3jb14UsMX+q2IyxL8aKi6eGIf9JnxYdLb/qJjQNxgqVhUqpbYkGcsv/PsQS5T+KmoC
4VT8j6IIyr+kbvjNouKfLQvzs2UMxu8xlhqbiv6n6lqWe0zWyxEFPryWHbGqcm/TVRIn2+3Dl/Az
wfT9HS7Dyu1tIi5luyJWfI8xbGF6KgKk7Xe3/I9aqGVk9s/zoZ5kQCeh4aIWNIk7EX4SBMu6WnZ5
NCZeUntE6zmJS6ut2jAjsA7FjNy4m93CSfAbszvtJJi/OP5PYZ6s5AZgPImOpiZq1LI/j/RSWUsK
AMSVi5PFWnLBjvzUEa82MVSuaaOlXYtft3vxrTnHrxgM1L9oVJWfO6zfjo8IUkauDTKhLX/+XYel
0VFXaT2hAfR7Zi6Ej6OA2+CpvCQrEEZL7Ej2DKNXfUIwOOCJQ+y5q2EIiJOnid+Er7w3Z+1mGV6K
iZQjH7EoK78pT8PTVLo4DoMklfvEsNTjeJcNdvgqDycYU2fD/fMHKf9YiC83UiQzRkWAI2LSwjT2
xwtR2ywRh+gWeaywODwREuzMa8DGbEWKxa7sPVW3siex8oaXaKcjR7X1fe/KLpWS6Sjktw24z3nN
ahsejEP+JP0KEpB+f6c5QToZWROBBzT9p04BCgK9wswJwkB3FBpnuSVmCQMJG5OMJUpppzgTvvRW
9IBKZ8LmSLXEpe30QhJqsEO8tGHw5zftJ6nR32/ad+dEd/X90++VtgVsLyKvLE9gtx7QnNO9UC1n
X5yDYWEb5t7sX7XYCyzx/Tf326P67qg/vXMFOlKkvBy194wNOnlf9he44lfoweLh87vj4P0kSTqr
Dm3fT/BIzRB1HPAp84QT22HuNJrVfoaIbXBdPPdb3Z688EM1bGlC1GdNjuzeNjHGUBag7C9u9HIj
f77k705FX97e7z6zm4xF31RUWNPuQZ79nCA2q28tdnDH9ENL/qYDhd7/+UH/4I0Dv8DLCM4uay2h
TT8eFLKUnEztNeWNG1y0KdUBgPV1dVfc54/1GoMzN99DRLNHt05sGY8YL3eEd+Q0ifd3nOO/BcR+
B1XxGGjTRJ0NBE4ElOQfz2VqlQkvwN/OxfCx4dG3BmauoRNPVjk4S/SLT8iKi0y/K214AU3pFr9Y
aw1xWcx/fAo/nsRPN6SWw+QGSzP1Grd3ZqfaIO7/Eji8qz9IGzTbjKj6I/Lj+5Vp4WCUmXfELYhX
zEVxUV2JX2LllB/GbC2mswOtLHEvNtzCfPE8tFIT9fXLipCnjDzHXYad2XpU3eSgneS7mraPWlHe
0MRT3EpfAIR2pVnjTthIhE856S45hH57xPGnOtRYpgVYphD7uoEwnK3bXX3MjgSLi1a5nnfmlrhb
q8I0oXZRftMt2oQOoUEK+p1UHhqC8Sh8Eyt8bA5A0t1jcnMZU5S7+UMCwq2D+a53OAcTuq6V4py7
0gL4cDLM100x4A7LmPrYf8ST12dkfQRoHiDQDZZ20NwJStpWUq1y5d12o4On9o02z6nur1u9XRuq
N2WBwUgElsrovA5vgnwSY3BJkoH3GiaGABzmB7w6xMJF8izqn4Sk087lh9vxhqFUhEx4p/aHYdyX
FT6kLOaOZjhT5RnE0EIP7ejCt6nsaNUhCsLTBDvRo/mwx4CmKHqtIdn6eMwV+6y1Ui9ufG5m/BnH
2N0SW7WFD4qMLm1JcOK5OfRUeWrLd1D88jfcCHpo5iDAwj6m+2IielSP5k49U63MFMQ+fFDycvEE
Rm7e22gyW5dAzcl8Vh6lfgeFlbUFh8fr9agWztXOtgz1jAfYDPW6zb+MyI1Xbr5bvYU7Xvx8zQgF
M4bG0+/JYShoCgKMWGO+1tDHnL8a3dxNvRCp1NXi1ALSRfogtqsDCaWzc92snm6dq0I+s+v3hggo
972D3ReMQRuM9/Ope/42YwRqqe+VJWy0TbuuNjOobfV1fYtfcjfa6AyoUtv4nK3+ofOxH8Dm8bLk
d6nOTXAKX9at3MZM1l7lNo4Y/pRaCZv8SWH8bT0UmT+b/mDLD41LNuhNdcddcyG2GsHpY7fHijHB
hPNe+pTxBt4U9nv2KYaYkfGaMt8Jouta4utvMP6+hw4xm5eQV4LcC7yltPum+cgJFw8txvHUIVs5
qJivlCjN1tGpfepQZGnurXwKH9ALxMRfHleXGVGkozhGF6CAVVzUZzV390XilJtjFQW16sfXO+5z
jyVJiaLeqZDbWLDc9ScVW0IGURsA9PRmm08YlhAgTIwSy/RMt7tYeQa9sTG+1XddHMihjV4VZFgZ
nqpnXDGlc+eRSXxgCQ2UIIFjqjEKssPn+n64U6lq/W6LHNOBt3uXm+vWlfALIKjXbTo/9xG779vc
0e3rvg5KPIs9yN/kgNi5EYy2eNJ9whs20xZr+bu4sjGutPEgDm15bYJK53fJBy6dxMBWNspc6Xov
KqdyQ2BKIVFm4MrO+UPM3cjSvjgaz7r8MJbf5GKbC4c4Yqy8nTIP8WffXyLpUU3PXE8LAYVLbN3y
AL/yY5IPQrfGe6NU7si/vuhbAatxtHUGvgqW/hR7qjtIu3GjTtx6hzHMC7NAWDY7rN7Xo1sdETtO
2LYMW+xF2mtwVTCGdrIv6Sweajd/iOAQdfdEyqq2eLndJ5BD3HHlSu0mNhzupYGGZM0oMV25RKhp
eEJZwnryOoltC++c6Wx4mniM6rs8ccfHFRPlYSfkHqBqlgXlW6Z5ZkXVtybjg0Cw6CUTg2mn8tbO
GMM4LhBfdmiO5eKA5mRoLKGNB/KlPVyBPFN8J9BbYrFsSVZpG/fYrZ1y7/p8NQNCl0TSO5z6GzQy
V/H0U/fRu/wOt4XzhvFKgHQ6tULVlY2tuF9GFiQCXjHg9aWSrAxbzI8LdnHbdOBGjNoKn8F4Za7N
TRY0dyTBXj8G2bn1qD/conXRH6SDw2y0d1WbuOLVUmLjyuMV6/Eg2tVz/iBHHjiFhmvRvj5kb5oX
6/aMD/chPQxsCyfVp+Z4XuG+tx3OVyfB+Rjv4tCeCSWpt011rqCER4H+Qsm5n0oHmYY87htjHz5h
pGYtBm6qY0aNNahrXQGudFtl2whnOOrwiv3OA4cAu04PFXrBIPqIN+W39GS8A8l0D3q+qW9umy33
k5CVx8GJbMQy6+lmKbvaXo1+xDdXkt3lSUWgkqxyZyrWyAdEarbiILSVUqrktbFt1rj0+pPPrQqg
TtAikhd3gKJeOmwK8icD4vAgvGe+uZs/i3RTPJlH+QWOgHapB+vPa60/qKQRZxmqgNZKlUWGxD/W
N2kzS3k851jPybbGK3oW3yNO+8QMuXxDIdmdkdAGgNH637w6//vK6vdVLkcG0TaI8mQSsXTu35eW
RpolxPz9VlklB9xGXahAx8wy/cKDTvP0i+tcupQfS6gfjwbZ9fujpb0szXjtpF70ln7qgbGR8W/0
MWjd8Txz4X9Sxmu/L55/POZP95Z8vxKNJbZ+7MnjMd2NphUdMHfcER+LNfMSxbYPL7wE46ZBkvMh
fuBpgx0Pdc54hOL51Kn7ZmuCxleO/LwwjQJ5N7wauSM+axvZaS45G652qh7To+m9Cl/1OtwUm5R3
3EosbaMdKurF0IeP5o7BXcgS/5jcF9sJ75GvnKbCWcpH1ctP5QNhQU45v0PhIhBwP/LGe73bv7Ez
fGEJxH9sTt0hcQv7FnSe/EXncWFB9dst5i7DXnTYHaXGY80xY9J2rf7TeKteo9foW17YbEkVo9AD
5sfLXadgf0PNTbRzv+7vQO0oqijy2gTNr4/XD/+Qku2e3GuGPe4wq9+bB2yV4Bh6mjNCLBvx1Xel
l9AjfeDt+mlIztx4COfCs/mqnCVSn1cW2DYSV+kYk65Vr9n3We+SY/3YPYuvbIDQFtx507+JmzAA
rrjD5bHZrw662zmTswxMK292Zb9cdrvGGZwZkYV9u0dw3+vOtbhjI9BxcX5juXciTM0CPLrd+h7N
8YDf2n3+Ym7C54gzwW6ACGQuDZuhZ5ZJobdW8kZ/E0drHinRLR1aoOHA4IGOjBEP9594uycK69Vn
PNo9cyyKMNzVMKu3a5a7xDNfOtHtBzJU+EEQ8/jqj8p5VJ0SFxyrORuC9T8YLy8v6599QD8DYMtE
K4JtTVOKgmlwQQJ8xA+QUPTtAvlgo4FDK2IeMvWAU/7lz1cFehMYbQN7m+BNP36+jdznMb6PuWee
E3E/vUGFcdle3VZ+EBxW31+P05fr+fF6fzii+VPnm5Qky4TLEUevqWwc/D1hdom1xEM+SD1kMVjM
HUY+RTd8+nXf+ZNqdUE4SBqCjYElK+IJcKEfLziDMB/rXUMqPbzXAtcgP3ojiPAdG+c0fYXNYwnT
q9BfKI+gE7NlWumdfJ+svIoI7tEC6YJ8l5Pc+dgjF9wNSEHSBSAsgEpEe2bTLN2IN03ajtvoG24Y
d+TAfhHU4lXnqT+u1KN4dRGJYAxLnYZxXvaIhImOo/zFDvQH3T6O0LJECCP+eAJuND9e6Q0hJLSu
IQFVKQ43P7WXrj8x7e5AHrHb9W60p+D2sKhwb3sjdq4vKW+YYeN39CtY6fcLNqeiySpjdkjx6FF+
PJUcZiZmY3JCjxod4qPuVRS4iqWfJE9wrs7NDu1fvNe/R/80XmZckQW47Qrj+B+PSGgvHgBEGP8G
dRBzuoFYCqgUb34FKv3BC7XkVUEeUgioxizop80IV4lcm+Yw8W7PuDbcgA4qB1FmHe6J2EmZuhv5
1+KsntX7ZnZnsJ0cb2QLm/OosHtcIUpsFj0tcXUsbTRhq7Rkg1gkGdMZkVM4+EnniuK+kHDr3cWz
S72rpsHUPeRE8gCQqF47u0OPdNVKHBjR5q7+0MJjwugdxA7fSiwKoaMDn7z/+T2W/uCpigoAq6rJ
Mji+8tM9FqQ6HcqJEmcBMHFc9MAYItXD0+C+oMHY0+zCnd3h6ryKbQjmG8mj0Ltcz7gR/mohk5Y6
48dlxcQkDXQLvjsovvHTY8DLQEbmSKUbXmKsZdmdDgbkvuB2vN4T6dudilfuDd6Zqj19XjHHUb0r
LvU6wrX96urXlxWVAVTEP79Hv6HMf3ZaP63u8aRNeZNwWoofBd09fMGXzk89+uyFSWG3G9KlG5Bm
mmTUsF/TM6lab9HNrk9w2G4+64Oj3+kiqLVHGSwcekJr1+Zauq+dX30zf7Bg8J3AUePLkflapZ8W
jIHEg6wa9chjdD0Ch5l8o1WHkcpDLqCOeOXBQoykZKHFCN1Q/ormg1KdqvJFdLXajyoHAwz25oqE
rT+/jSJg8O+fL2cEWA7PhJPUf6ozpy5cVfADYg9bpC8zAqKLy30fuenayF3ylMLaMpe8aHQNNjmE
U7xHwbIq79J2DVs2EYPh5iaS37whIa3XkUYZV6+12cYeUevuSdJqFTvC2TR3lI1OekOIK4sNY9jC
OjzC8/kFlsD0mCZui65hdATDhsJg1uuOAsYx0FK56rtyAZhKCDh5yyNvBq0T98qXafp97qGf0DNv
EoI+xkTaxmi1/WwfEnAsrE0x1wmuh9tu2pQ787nnRO75K4OPH16o2XB5zdBvcF10S2whUWvgTgmU
4JsfwGoD9NAcCYqVPdQQ4RJrdYezJHxIcnfEAKpBfH0BylBI6XBwQvRX6EwPyAEGfavP5yIPKgx9
jG2un6+ao0JLQu3OxoS71DdgreJQmFy2oll16KeDT1oM2mX8wkIhmLNdDDej8EH5anpB6t7YR6xS
gLJ8rmK/hHJji4i7Zi/uN6YV+iZh66qlnKSNAvaUAerSBwHCmRbA21xY8RoD1W4jbGjZ0JW+NYkt
ZZtasobYXp3HwromNr9Tk3yAIxz5PrQFbPqUrfBUUkyXtupV1QHFMQgiUo42t5MbSaFWdQ+QmMyg
n4JLmfE4ufJODEJ+wAKI9JaEcWrU7gU7RU97ZH2uWXs3z1XQOtlDybfQrylVqgNAUUY0Cq4vjpDZ
xN661Z5YCLycbnj+dG5rBuRJS49Xd3Vf3imXfg3ZIsi88R0m7gu+K9WBaUPEQMzrZkuxy7XuETW9
v93FL5otdE72Ej7Kwc1h6Faa6wbVJ7LgBLo0PorNs7lAzhiI26aOz1SQNoC7PJP4g6trz/ULfp0m
+jN0EIjjXHW7jri8cZOdyZU5px6hRKonO7F6WSF5eO1OmQM/yr9RaAZ4S25FDnrG0iZ7kN4Ed+lb
NF+wcQN2cnfcElaxbdfhqd9hd6vjtrXFEdyu74Q33uV+3X7Okn0Nxp3uUfLXGsgf8HbLBcZH3rDi
YHqjg4R7QwGyesKl6GX6Fn8QPtN8K8+6t3pXUw/jhySyZo+cXuTJXmfawqNE9va4oHLSpUCQYw2v
RGctQTA2frTNJTrNFvMyGyCgAZQe3Pkhdyu/uEBvRzTnTd7k9Ac//0af49INMYqMrV340CNLKlGj
ExOyoD1q5oqHFYEAB5Cq80cFUBMsbk8EDBa2sOcZ0D8/8xAd/PGs1ftwKO+uQfMWben2OlfbM6rd
JI8E/EI/9/JHmUW62RYBOze8pY/5RfLnZ+FeUK3xDrek0M4uMr6/TiGC4DDDNVx9xzC39TJE7piu
WqZ126VrbZM+XzfGOn9GFrafTmxQ9DVO6XTurbcmH626M+9avujAOJSA3ZDdLY3Tid7m8+xxpwTH
OGkbME9/8MMvCuyj6o3nYQ+rPzkRUJYfROfqFj6KGm1Nr3egWzrT5Q7HcXNMDSBOK/H7Tfuk9Nsa
Ag3QF8k8s88t9m9eYTUBPK7Jmh6FffQqvfTbdXWKHW2NretMAtk6WZu+7Gof1Q7cA02ChS7+swCj
/jpefZX8qb3hiMF4ro/dI8tWIFoPzWWk6YsfaRBr5imjRZNqd4/SY7XRn64ArNTYmdeWlgj+rLrU
FbawRuLolF/Rnrg+x/RAc8dzBcQtLAtttel3dNHN4+0IuW1+0J8BM4Eorc7O9rdL8tQ9fRHhtcYq
mAqqCZDFWJpoT+8j8EEw3ePtl+2xt+02jCK+Re/1YH8lTndHqJc9gU6Oe5Gjt41t7DrPrK3rZZnT
Nzs6cQejm4d8n+y6/fWSuLFDl+5d7dgT1up965q+j8ze6Tzkk/7NFbbTdvUA/3JJ8Oq96Iz/a7i9
fTBWynju6yKIDrXDPJ2nrEZwnhDeWrf91wC+te22RN3sm0cV6zrGFM8Icyj8R4iZL7KHQ9ZjeNFO
DJ0YfAZltdb8hVswBtVJ4a4GfFniU3leHRCp8zM2pOohuVc2xYH6MzBx0EDnaieza6iWfF5Ec5Su
VvoQHYzYVk6oaXtPXBt07iN4oU3kVP8cLYlO9or84meTPak5TJt2p9gVT0X8mCa79jAE8brH7hRt
xdq5PpprbS/YEwOM8LrBjO+KDS15ViUfB//PzlGvrKxx6x2Xka2bL2GChcV+Fz8IvnFAAk/0mjtk
jr7ONokjrjMfr1f+ZvqgOvM5JrvThrB0BL9krnXmO5xA3xDN814jcmA1Gw71utCsyRZexY/GDe3k
LuJrU/ya15o6ezfejR62mIfhno2WF9qOTwa08OaxXbd3/Tp9aNcaL2dDnwXB1J79yK2gtF50ZHMs
s7nV27p/7J/krTLYyQbVnW2s1d24Nd3ueTyV7wP7VHqgGkx7T2AcoyCIdeDrUrhW366byB1Pybgh
RW5mLvCefnW4Ml6jIJMuivxkpBQnrFgI8baNBh3D68odEUK3bpt+DL/t5K6xmb5UL0PBYi0Ak8+H
QTZbnbz0CdlgTqKh/HbGrXAcelJJHYpUMSBrZVnZARKPUCGXfaN9L5DhuBVeK2vWUbxv3OgImI/T
ZAkbEyOWmpRFe/jIaStzG7tIGH7ux+DEgeCVhm2cQy/8xM/MU+q1xLyD/YWFlDnAo2ayyc72GB6A
wvzeLtbzJqMS6+z0ABDSxQ5W3ZPTHphKTm7PP9fO4qyL92/nt0ivSbArD8OuON4OyocKV4YTaJwe
YYpAjqxNG699jBOLrL0glPy9nnKks+MDwH++q4jLkZejtRiRXwPlub25+Kk065QRNXM5aWMQmYIf
Nm3zQSNgpSOCA/UmknMbLH2iiLkP78pDZCsEO1kFH3xOmYg8ZZuv48DwmnOWbTuCzS3z6lyzeyW0
8uP1KH8lYA12xHkM63QDh+9u+bfex6Mn8qoAvJtv/SC7WX9HBFzCGbX2tMXFe1N5xZFak7Stp8MV
uB2OiFu+RZy+pQGr7CvvCcm9jYeyFdmFJ7rJka/Zqw+9yxrMAooT6La220P7xui0st54Kh722KSN
phtIAg+MZu+QxFbWBj0e8yzk51dn+YPoeQFokAQdx0P+om5qw5ZfI8kyHmR/fEyDKrRuCSa0Fioi
7fl6TAN9g+WHP7sr0Zc+1A2KHeYonX0l97NeL2MY4XDV7iVScCrsOAL5zaBH40XbmZeEcsJlsjKr
nmRaPI44PKz8/rC8AvMh+hQZ3aDsayy0jUwTEcs+kix5L7sFxbIrf/FiqJvqKPNxqSMiOrS5HxKE
4T47ahDMbPnCOMJgy0OPKICbWjeXyvkt+eBW+SQiPlVuGqSMW6wqmLbla6j6MJHNY/KU7jXXfEk3
/YlUIPlSU9otU5UF/6YhJqrz4cV45t1lEmKi22Q+NTaWsuUWa57gkW4YH7LDUuTiU2Zhvbvvjulp
eNe2XejfqMQiawIyYOCqk823jhC1cv7hszF4ChE9DJvXVyI1rZFiySIxh6qvsQpnduOaoyg76alw
pN2Kqf9O2vVv0bGOPEBbgrFNw27ILYTPy2+GDQAzm02r96uj/hVnaxXrlAsBfQXY5Lsh2iaxC4zQ
T8yHskv1dMOLBufXS3tC7+vEjMtLelJzjSHcU3xZBZSrmR+faFuBRdaS37+kfr+P7gjrjIPaBs52
a7CJIwd26HycK+HDh9gVCMh1SbulPe7d8JALfsEsa96XTr2b/HBf6Ja6Dl+3pS05MJWhcr2RUKOz
5bJM6PvhKNyRTYfd+tdk+s0aICU+oNbBVekhvlvZsj/ssg2qzbvESa2Vny4P/O36MKxzh8gPJ/MB
w4KSGZF8Tv2I1+DKVXX2xtxMZx7igopOW+09d+r7Zvbozfajy/vNPX5qT6kbBznsQIJp7HITn/4v
ddfSnDYShP+KK3eqhAAjDpsqowcgIzAv2+RCjUEgGb0QEkb8mxz3kMPW/gT+2H4DyCAho2xEUuVL
qoKhp7tnpnv6jeCsanGCQxgBobk+4niNN4Fpb3gE4ZF8q2Autj70uuzLTBq8Cf4z4o/FsfkQNJGW
1jQLIoeYGPIe+3Nb8Rtet6JuRMxqlUZPFRll3c+2xN7bQvG+8Bj0fHTmWfbn5SnS33Ml4W2Smz2V
H5d03FMVUzCdAVLa2k6Nk1Y1a83reYxvrVZwo61vzhw0eS0IRp/Xh/bwtQPcctMy8RsMWy3I8Dlh
GG3XlVc1u72QECfk7lctXG743rXufMUXVzhNYklDKXs16C/66MGO4QsL3oU1UZBzPp60w803fGTV
FjphJLvywgUUDoTmYsLiWqP/FmpboIYhAipVBGZzNQ9XYt5G3gQPz/+6xuKAo6WcCNUuYXIwJwXN
VYWfP+CfRSOPmaJ4kY1Qj53j7SFbd2TqPhGBGPK30f++t0LBtwyZKG6gEbyWIzP4TrG5Jogf4uWM
c71WIZM9BcKNqWPlIfeEviAaoru3dWtg9m7rc6EiLGXzCbdHvIWbrpprjF48FdkrUwfX1ZYQYPDb
OO5OB5VvCodYMxKn0DoMPk6wG6mPhMW+jhZwt6Lvoe21grxYytEnyHomo8rF5UR/IfJLhNlTYoIJ
rjr4vhASRMYuHCjluNe7kGPg99kgy/a1adfRgKq2aSCxVTTlpUqrXcHgOgqSITPQahubvRLxSctV
oMLNNFfOudcQqCCpGBm2hTx1Ckc9s5xmanmUsSPhd5/2WMUkdk2Aq6ERINyLcnOllBLk2FUFxpxw
WLKIbLMC9W4xFKWTZLuRa5fLcw1FwyspNy7yMEfx7NIJzVVaDuwaYg54zOA13CjBouYeTXnd08W5
ggpUvNoKdXuAkeQSRvcQdmp2i6LRs2t5s+pBHwUCZmHDmha8+qg+6jsIc63FW8kWHGXEaw0Dh4vf
KKi8/Obxswn6HtfQiqLLKlMajWXq/tMSiUkPBk6EeV8eah2jZQveINX/fh6kpTw/MiDGcx+DqvUc
qtEltsPV6At1fY+uz4L5MOMdPj2fM5+8x8f1Ys46dEnTGRZt86TXhgcfSBGGRhEGeB55BnmRRhnS
3L+pK8bcv6XRKtA8DyuiMMJpIEtKyOH5/SbNlVmDocG/Tprjn86ninucwVRUGhZYeP7B3uip2hjo
s/8632gw2lH2iqQqDebeLR5x/oNTS8tVRFZ9wmoVlIcVMEYLUZSYs32FmXEz5FRqkj4NYBeI6JqZ
X8pQ0s/wtssjzDTNCbB7kcRVrtqyKRtWFYangqBt0LbhwOgvGmuSh7HZf1tVMc3R6K6nQXM2MSd+
w++5A72Ntpqviqag23ua8zYB9SKahKLxHDKemXiuazlfthmzhL2BXd1hgirGi8AXDtPXuUcDGYF9
djBrQ2YEJIyH4cb/VU/7u4pFDkgIqMIQLU/3go6vukFXRScEb7mbBIficBiYxmT3Z11FKP/nv/Ax
gBt1txodhFE6jj/bLdQPHHW/9P479P9fyQQ9qPZj28b7eXUnf9zNrwvxPPz8QNg56ok4hR/WddXF
sA0t2FEbHLBsEVP96wtPjAlZntapoFIWUuiIyF9fImieHLFLcLs6CoYp7BAUZQqLO4nrkRU20hV1
MwIYKpQO38gK+JEYhooCHwMFPH50OEmBjvjIvkLLdj26wr5OyJqobgiT8qeCciAIkvAjuum/xv0W
cfXtP5HpuRQ2tGx22AqZTYihRoubAJ3bzUfJugX89l93Yr9Edhfz/zgUbmdH/WxXARmV6lc47lXb
2P5YkdhuolKHg4bNypM7z9h+h2QZxzaURfnXNcCbZGNbUSGAIchIVaO5c1mRR/anb5IggvoB+hVw
fyS+gyq8EM3jCKI83hlZUefJwle97fcQ0gl0RIuzQq/5ZKUTVw0hnUC/gqCp+7oRuUR7nrNXEABA
XLe2P5Kg50Nifl10pUz+3inYX4d+GI16EyrdEN8j82kdZNatVVQviTtX0FB8+uysjBx6vDgBISNw
niyJlXjm2SvcqDs3rrUPh/4K96lqB2ScJAquoVIvdrvNyPI7/N5e+HrCgSxc4ajv6p3j75g92wtX
kO89f5wkIYtXEDSXWtpk5HmT3EBIorduAtNhGGSWLyf15zfEmpyWoIfAjwJtV3F+kaAkq+JrxPwQ
6e+jZlLqF94NrQdceMtLAJH+jdCCSQBxYOKRTupae6/h360WtXROhfJlBXKyWgiCLkN3DguEFu5H
VF3AeW+BXvjCOVEQi5eIigvUz0MYZPIlwqKy/NOQRbXBJbJiauTz0AVVcYmuMy3zeSiDlrpE2ZmC
+zSUHeTVvj4pQSCea6lPQBpS1CspO3Znbv929THZOXJ6/rtNvqdubEOXWVBIJ9v+gcAvIE19f5//
kMw/LvjhpoX6fU+MYxBL3VPyh1BMO1S8bdjmy/G1GTLdtzzqgUWXausnGP++yX+IKtpicOequSQJ
4j6e33tb0ijH44l+ZWyoxP36HwAAAP//</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openxmlformats.org/officeDocument/2006/relationships/image" Target="../media/image1.png"/><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1358153</xdr:colOff>
      <xdr:row>48</xdr:row>
      <xdr:rowOff>62752</xdr:rowOff>
    </xdr:from>
    <xdr:to>
      <xdr:col>7</xdr:col>
      <xdr:colOff>282388</xdr:colOff>
      <xdr:row>63</xdr:row>
      <xdr:rowOff>71717</xdr:rowOff>
    </xdr:to>
    <mc:AlternateContent xmlns:mc="http://schemas.openxmlformats.org/markup-compatibility/2006">
      <mc:Choice xmlns:cx6="http://schemas.microsoft.com/office/drawing/2016/5/12/chartex" Requires="cx6">
        <xdr:graphicFrame macro="">
          <xdr:nvGraphicFramePr>
            <xdr:cNvPr id="2" name="Gráfico 1">
              <a:extLst>
                <a:ext uri="{FF2B5EF4-FFF2-40B4-BE49-F238E27FC236}">
                  <a16:creationId xmlns:a16="http://schemas.microsoft.com/office/drawing/2014/main" id="{6A24CE40-7FCA-4D08-8F7D-9A94C6E94C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6303" y="9702052"/>
              <a:ext cx="4420160"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4</xdr:col>
      <xdr:colOff>1251921</xdr:colOff>
      <xdr:row>64</xdr:row>
      <xdr:rowOff>152400</xdr:rowOff>
    </xdr:from>
    <xdr:to>
      <xdr:col>7</xdr:col>
      <xdr:colOff>304800</xdr:colOff>
      <xdr:row>83</xdr:row>
      <xdr:rowOff>30480</xdr:rowOff>
    </xdr:to>
    <mc:AlternateContent xmlns:mc="http://schemas.openxmlformats.org/markup-compatibility/2006">
      <mc:Choice xmlns:cx6="http://schemas.microsoft.com/office/drawing/2016/5/12/chartex" Requires="cx6">
        <xdr:graphicFrame macro="">
          <xdr:nvGraphicFramePr>
            <xdr:cNvPr id="3" name="Gráfico 2">
              <a:extLst>
                <a:ext uri="{FF2B5EF4-FFF2-40B4-BE49-F238E27FC236}">
                  <a16:creationId xmlns:a16="http://schemas.microsoft.com/office/drawing/2014/main" id="{A8CD012F-0C19-45E2-8058-11223424B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00071" y="12906375"/>
              <a:ext cx="4548804"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48</xdr:row>
      <xdr:rowOff>62752</xdr:rowOff>
    </xdr:from>
    <xdr:to>
      <xdr:col>4</xdr:col>
      <xdr:colOff>1342757</xdr:colOff>
      <xdr:row>63</xdr:row>
      <xdr:rowOff>71717</xdr:rowOff>
    </xdr:to>
    <mc:AlternateContent xmlns:mc="http://schemas.openxmlformats.org/markup-compatibility/2006">
      <mc:Choice xmlns:cx6="http://schemas.microsoft.com/office/drawing/2016/5/12/chartex" Requires="cx6">
        <xdr:graphicFrame macro="">
          <xdr:nvGraphicFramePr>
            <xdr:cNvPr id="4" name="Gráfico 3">
              <a:extLst>
                <a:ext uri="{FF2B5EF4-FFF2-40B4-BE49-F238E27FC236}">
                  <a16:creationId xmlns:a16="http://schemas.microsoft.com/office/drawing/2014/main" id="{BA0E4976-96C8-437C-BD9F-F526DB98F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9702052"/>
              <a:ext cx="5590907"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64</xdr:row>
      <xdr:rowOff>152400</xdr:rowOff>
    </xdr:from>
    <xdr:to>
      <xdr:col>4</xdr:col>
      <xdr:colOff>1299883</xdr:colOff>
      <xdr:row>83</xdr:row>
      <xdr:rowOff>30480</xdr:rowOff>
    </xdr:to>
    <mc:AlternateContent xmlns:mc="http://schemas.openxmlformats.org/markup-compatibility/2006">
      <mc:Choice xmlns:cx6="http://schemas.microsoft.com/office/drawing/2016/5/12/chartex" Requires="cx6">
        <xdr:graphicFrame macro="">
          <xdr:nvGraphicFramePr>
            <xdr:cNvPr id="5" name="Gráfico 4">
              <a:extLst>
                <a:ext uri="{FF2B5EF4-FFF2-40B4-BE49-F238E27FC236}">
                  <a16:creationId xmlns:a16="http://schemas.microsoft.com/office/drawing/2014/main" id="{60D8B0BB-4BB3-41AA-A635-A6F9AC5870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2906375"/>
              <a:ext cx="5548033"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2</xdr:col>
      <xdr:colOff>481855</xdr:colOff>
      <xdr:row>22</xdr:row>
      <xdr:rowOff>103711</xdr:rowOff>
    </xdr:from>
    <xdr:to>
      <xdr:col>6</xdr:col>
      <xdr:colOff>1165413</xdr:colOff>
      <xdr:row>43</xdr:row>
      <xdr:rowOff>5997</xdr:rowOff>
    </xdr:to>
    <xdr:pic>
      <xdr:nvPicPr>
        <xdr:cNvPr id="6" name="Picture 1">
          <a:extLst>
            <a:ext uri="{FF2B5EF4-FFF2-40B4-BE49-F238E27FC236}">
              <a16:creationId xmlns:a16="http://schemas.microsoft.com/office/drawing/2014/main" id="{D45D27AE-B40B-4DFA-842A-49C0DDFDE421}"/>
            </a:ext>
          </a:extLst>
        </xdr:cNvPr>
        <xdr:cNvPicPr>
          <a:picLocks noChangeAspect="1"/>
        </xdr:cNvPicPr>
      </xdr:nvPicPr>
      <xdr:blipFill>
        <a:blip xmlns:r="http://schemas.openxmlformats.org/officeDocument/2006/relationships" r:embed="rId5"/>
        <a:stretch>
          <a:fillRect/>
        </a:stretch>
      </xdr:blipFill>
      <xdr:spPr>
        <a:xfrm>
          <a:off x="2005855" y="4675711"/>
          <a:ext cx="6857999" cy="4014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914399</xdr:colOff>
      <xdr:row>2</xdr:row>
      <xdr:rowOff>57149</xdr:rowOff>
    </xdr:from>
    <xdr:to>
      <xdr:col>13</xdr:col>
      <xdr:colOff>492565</xdr:colOff>
      <xdr:row>6</xdr:row>
      <xdr:rowOff>19049</xdr:rowOff>
    </xdr:to>
    <xdr:pic>
      <xdr:nvPicPr>
        <xdr:cNvPr id="2" name="Imagen 1">
          <a:extLst>
            <a:ext uri="{FF2B5EF4-FFF2-40B4-BE49-F238E27FC236}">
              <a16:creationId xmlns:a16="http://schemas.microsoft.com/office/drawing/2014/main" id="{3D8F34B4-C7D1-2CF8-296B-D696AC703D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4" y="447674"/>
          <a:ext cx="7617266" cy="733425"/>
        </a:xfrm>
        <a:prstGeom prst="rect">
          <a:avLst/>
        </a:prstGeom>
        <a:noFill/>
      </xdr:spPr>
    </xdr:pic>
    <xdr:clientData/>
  </xdr:twoCellAnchor>
  <xdr:twoCellAnchor editAs="oneCell">
    <xdr:from>
      <xdr:col>2</xdr:col>
      <xdr:colOff>560294</xdr:colOff>
      <xdr:row>34</xdr:row>
      <xdr:rowOff>56029</xdr:rowOff>
    </xdr:from>
    <xdr:to>
      <xdr:col>7</xdr:col>
      <xdr:colOff>705488</xdr:colOff>
      <xdr:row>59</xdr:row>
      <xdr:rowOff>190062</xdr:rowOff>
    </xdr:to>
    <xdr:pic>
      <xdr:nvPicPr>
        <xdr:cNvPr id="3" name="Imagen 2">
          <a:extLst>
            <a:ext uri="{FF2B5EF4-FFF2-40B4-BE49-F238E27FC236}">
              <a16:creationId xmlns:a16="http://schemas.microsoft.com/office/drawing/2014/main" id="{FB1E7055-FB6B-7115-8EF0-CC7DF7AE840F}"/>
            </a:ext>
          </a:extLst>
        </xdr:cNvPr>
        <xdr:cNvPicPr>
          <a:picLocks noChangeAspect="1"/>
        </xdr:cNvPicPr>
      </xdr:nvPicPr>
      <xdr:blipFill>
        <a:blip xmlns:r="http://schemas.openxmlformats.org/officeDocument/2006/relationships" r:embed="rId2"/>
        <a:stretch>
          <a:fillRect/>
        </a:stretch>
      </xdr:blipFill>
      <xdr:spPr>
        <a:xfrm>
          <a:off x="2084294" y="6757147"/>
          <a:ext cx="8583223" cy="48965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545929</xdr:colOff>
      <xdr:row>113</xdr:row>
      <xdr:rowOff>77407</xdr:rowOff>
    </xdr:to>
    <xdr:pic>
      <xdr:nvPicPr>
        <xdr:cNvPr id="2" name="Imagen 1">
          <a:extLst>
            <a:ext uri="{FF2B5EF4-FFF2-40B4-BE49-F238E27FC236}">
              <a16:creationId xmlns:a16="http://schemas.microsoft.com/office/drawing/2014/main" id="{E22B5589-3120-4DF2-A417-108B6511E719}"/>
            </a:ext>
          </a:extLst>
        </xdr:cNvPr>
        <xdr:cNvPicPr>
          <a:picLocks noChangeAspect="1"/>
        </xdr:cNvPicPr>
      </xdr:nvPicPr>
      <xdr:blipFill>
        <a:blip xmlns:r="http://schemas.openxmlformats.org/officeDocument/2006/relationships" r:embed="rId1"/>
        <a:stretch>
          <a:fillRect/>
        </a:stretch>
      </xdr:blipFill>
      <xdr:spPr>
        <a:xfrm>
          <a:off x="5295900" y="12954000"/>
          <a:ext cx="15596257" cy="8649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546757</xdr:colOff>
      <xdr:row>113</xdr:row>
      <xdr:rowOff>77407</xdr:rowOff>
    </xdr:to>
    <xdr:pic>
      <xdr:nvPicPr>
        <xdr:cNvPr id="2" name="Imagen 1">
          <a:extLst>
            <a:ext uri="{FF2B5EF4-FFF2-40B4-BE49-F238E27FC236}">
              <a16:creationId xmlns:a16="http://schemas.microsoft.com/office/drawing/2014/main" id="{7DCCCA6D-395E-40F0-B449-30F499596F00}"/>
            </a:ext>
          </a:extLst>
        </xdr:cNvPr>
        <xdr:cNvPicPr>
          <a:picLocks noChangeAspect="1"/>
        </xdr:cNvPicPr>
      </xdr:nvPicPr>
      <xdr:blipFill>
        <a:blip xmlns:r="http://schemas.openxmlformats.org/officeDocument/2006/relationships" r:embed="rId1"/>
        <a:stretch>
          <a:fillRect/>
        </a:stretch>
      </xdr:blipFill>
      <xdr:spPr>
        <a:xfrm>
          <a:off x="5295900" y="12954000"/>
          <a:ext cx="15594601" cy="8649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23</xdr:col>
      <xdr:colOff>232018</xdr:colOff>
      <xdr:row>113</xdr:row>
      <xdr:rowOff>77407</xdr:rowOff>
    </xdr:to>
    <xdr:pic>
      <xdr:nvPicPr>
        <xdr:cNvPr id="5" name="Imagen 4">
          <a:extLst>
            <a:ext uri="{FF2B5EF4-FFF2-40B4-BE49-F238E27FC236}">
              <a16:creationId xmlns:a16="http://schemas.microsoft.com/office/drawing/2014/main" id="{109EBC49-73F0-F3C7-3D0F-7C24A5901655}"/>
            </a:ext>
          </a:extLst>
        </xdr:cNvPr>
        <xdr:cNvPicPr>
          <a:picLocks noChangeAspect="1"/>
        </xdr:cNvPicPr>
      </xdr:nvPicPr>
      <xdr:blipFill>
        <a:blip xmlns:r="http://schemas.openxmlformats.org/officeDocument/2006/relationships" r:embed="rId1"/>
        <a:stretch>
          <a:fillRect/>
        </a:stretch>
      </xdr:blipFill>
      <xdr:spPr>
        <a:xfrm>
          <a:off x="5162550" y="12954000"/>
          <a:ext cx="15594601" cy="864990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LIAN CAICEDO" id="{8B4C904F-D39B-41A2-976E-9CF6D3CCE00C}" userId="JULIAN CAICEDO" providerId="None"/>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c7e7183a8049fcd4476666d530c02af4&amp;qlt=95" TargetMode="External"/><Relationship Id="rId2" Type="http://schemas.openxmlformats.org/officeDocument/2006/relationships/hyperlink" Target="https://www.bing.com/images/search?form=xlimg&amp;q=bol%c3%advar+department+colombia" TargetMode="External"/><Relationship Id="rId1" Type="http://schemas.openxmlformats.org/officeDocument/2006/relationships/hyperlink" Target="https://www.bing.com/th?id=AMMS_0e8011aa83ff1393ab0287f9fd067d1c&amp;qlt=95" TargetMode="External"/><Relationship Id="rId6" Type="http://schemas.openxmlformats.org/officeDocument/2006/relationships/hyperlink" Target="https://www.bing.com/images/search?form=xlimg&amp;q=putumayo+department+colombia" TargetMode="External"/><Relationship Id="rId5" Type="http://schemas.openxmlformats.org/officeDocument/2006/relationships/hyperlink" Target="https://www.bing.com/th?id=AMMS_bd5df3a48eceaba2bf9c4ff931b54459&amp;qlt=95" TargetMode="External"/><Relationship Id="rId4" Type="http://schemas.openxmlformats.org/officeDocument/2006/relationships/hyperlink" Target="https://www.bing.com/images/search?form=xlimg&amp;q=casanare+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2">
  <a r="1">
    <v t="s">Marcela Amaya (Governor)</v>
  </a>
  <a r="1">
    <v t="s">UTC−05:00</v>
  </a>
  <a r="1">
    <v t="s">Didier Alberto Tavera Amado (Governor)</v>
  </a>
  <a r="1">
    <v t="s">Ricardo Alvarado Bestene (Governor)</v>
  </a>
  <a r="1">
    <v t="s">Vicente blel (Governor)</v>
  </a>
  <a r="1">
    <v t="r">39</v>
  </a>
  <a r="1">
    <v t="s">Carlos Andrés Amaya (Governor)</v>
  </a>
  <a r="1">
    <v t="s">Salomon Andres Sanabria (Governor)</v>
  </a>
  <a r="1">
    <v t="s">Oneida Rayeth Pinto Perez (Governor)</v>
  </a>
  <a r="1">
    <v t="s">Luis Enrique Dussan López (Governor)</v>
  </a>
  <a r="1">
    <v t="s">William Villamizar Laguado (Governor)</v>
  </a>
  <a r="1">
    <v t="s">Sorrel Parisa Aroca Rodriguez (Governor)</v>
  </a>
</arrayData>
</file>

<file path=xl/richData/rdrichvalue.xml><?xml version="1.0" encoding="utf-8"?>
<rvData xmlns="http://schemas.microsoft.com/office/spreadsheetml/2017/richdata" count="96">
  <rv s="0">
    <v>536870912</v>
    <v>Meta Department</v>
    <v>30c3c263-a281-f2d2-6787-511d37d41ddf</v>
    <v>en-US</v>
    <v>Map</v>
  </rv>
  <rv s="1">
    <fb>85635</fb>
    <v>11</v>
  </rv>
  <rv s="0">
    <v>536870912</v>
    <v>Villavicencio</v>
    <v>061f744c-689b-fc4e-336d-58ff74f02bb7</v>
    <v>en-US</v>
    <v>Map</v>
  </rv>
  <rv s="0">
    <v>536870912</v>
    <v>Colombia</v>
    <v>c396e3d8-2a85-d230-f691-7850536d840e</v>
    <v>en-US</v>
    <v>Map</v>
  </rv>
  <rv s="1">
    <fb>179624</fb>
    <v>11</v>
  </rv>
  <rv s="2">
    <v>0</v>
  </rv>
  <rv s="3">
    <v>https://www.bing.com/search?q=meta+department+colombia&amp;form=skydnc</v>
    <v>Learn more on Bing</v>
  </rv>
  <rv s="1">
    <fb>1039722</fb>
    <v>11</v>
  </rv>
  <rv s="2">
    <v>1</v>
  </rv>
  <rv s="4">
    <v>#VALUE!</v>
    <v>en-US</v>
    <v>30c3c263-a281-f2d2-6787-511d37d41ddf</v>
    <v>536870912</v>
    <v>1</v>
    <v>3</v>
    <v>4</v>
    <v>Meta Department</v>
    <v>7</v>
    <v>8</v>
    <v>Map</v>
    <v>9</v>
    <v>10</v>
    <v>CO-MET</v>
    <v>1</v>
    <v>2</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4</v>
    <v>2</v>
    <v>5</v>
    <v>6</v>
    <v>Meta Department</v>
    <v>7</v>
    <v>8</v>
    <v>Meta Department</v>
    <v>mdp/vdpid/10106924</v>
  </rv>
  <rv s="0">
    <v>536870912</v>
    <v>Santander Department</v>
    <v>98fbfaa3-063d-4261-a806-2b84a0339e05</v>
    <v>en-US</v>
    <v>Map</v>
  </rv>
  <rv s="1">
    <fb>30537</fb>
    <v>11</v>
  </rv>
  <rv s="0">
    <v>536870912</v>
    <v>Bucaramanga</v>
    <v>b2b7d5d4-6e24-8927-87fe-0c327b2b2c86</v>
    <v>en-US</v>
    <v>Map</v>
  </rv>
  <rv s="1">
    <fb>495179</fb>
    <v>11</v>
  </rv>
  <rv s="2">
    <v>2</v>
  </rv>
  <rv s="3">
    <v>https://www.bing.com/search?q=santander+department+colombia&amp;form=skydnc</v>
    <v>Learn more on Bing</v>
  </rv>
  <rv s="1">
    <fb>2184837</fb>
    <v>11</v>
  </rv>
  <rv s="4">
    <v>#VALUE!</v>
    <v>en-US</v>
    <v>98fbfaa3-063d-4261-a806-2b84a0339e05</v>
    <v>536870912</v>
    <v>1</v>
    <v>14</v>
    <v>4</v>
    <v>Santander Department</v>
    <v>7</v>
    <v>8</v>
    <v>Map</v>
    <v>9</v>
    <v>10</v>
    <v>CO-SAN</v>
    <v>11</v>
    <v>12</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13</v>
    <v>12</v>
    <v>14</v>
    <v>15</v>
    <v>Santander Department</v>
    <v>16</v>
    <v>8</v>
    <v>Santander Department</v>
    <v>mdp/vdpid/10106936</v>
  </rv>
  <rv s="0">
    <v>536870912</v>
    <v>Arauca Department</v>
    <v>39038b52-0399-9385-24de-5d0c69b46eba</v>
    <v>en-US</v>
    <v>Map</v>
  </rv>
  <rv s="1">
    <fb>23818</fb>
    <v>11</v>
  </rv>
  <rv s="0">
    <v>536870912</v>
    <v>Arauca</v>
    <v>64f5d309-32e5-4ff7-24bc-d973ce26e70a</v>
    <v>en-US</v>
    <v>Map</v>
  </rv>
  <rv s="1">
    <fb>35636</fb>
    <v>11</v>
  </rv>
  <rv s="2">
    <v>3</v>
  </rv>
  <rv s="3">
    <v>https://www.bing.com/search?q=arauca+department+colombia&amp;form=skydnc</v>
    <v>Learn more on Bing</v>
  </rv>
  <rv s="1">
    <fb>262174</fb>
    <v>11</v>
  </rv>
  <rv s="4">
    <v>#VALUE!</v>
    <v>en-US</v>
    <v>39038b52-0399-9385-24de-5d0c69b46eba</v>
    <v>536870912</v>
    <v>1</v>
    <v>17</v>
    <v>4</v>
    <v>Arauca Department</v>
    <v>7</v>
    <v>8</v>
    <v>Map</v>
    <v>9</v>
    <v>10</v>
    <v>CO-ARA</v>
    <v>19</v>
    <v>20</v>
    <v>3</v>
    <v>Arauca is a department of Eastern Colombia located in the extreme north of the Orinoco Basin of Colombia, bordering Venezuela. The southern boundary of Arauca is formed by the Casanare and Meta Rivers, separating Arauca from the departments of Casanare and Vichada. To the west, Arauca borders the department of Boyacá. The Caño Limón oil fields located within Arauca account for almost a third of the Colombian oil output. Its capital is the town of Arauca.</v>
    <v>21</v>
    <v>20</v>
    <v>22</v>
    <v>23</v>
    <v>Arauca Department</v>
    <v>24</v>
    <v>8</v>
    <v>Arauca Department</v>
    <v>mdp/vdpid/10106929</v>
  </rv>
  <rv s="0">
    <v>536870912</v>
    <v>Bolívar Department</v>
    <v>38fa99f2-3e47-af72-2f25-81f620fe1128</v>
    <v>en-US</v>
    <v>Map</v>
  </rv>
  <rv s="1">
    <fb>25978</fb>
    <v>11</v>
  </rv>
  <rv s="0">
    <v>536870912</v>
    <v>Cartagena</v>
    <v>722cd66d-65f4-7a40-33a0-17719bf6238a</v>
    <v>en-US</v>
    <v>Map</v>
  </rv>
  <rv s="1">
    <fb>391055</fb>
    <v>11</v>
  </rv>
  <rv s="5">
    <v>0</v>
    <v>9</v>
    <v>25</v>
    <v>0</v>
    <v>Image of Bolívar Department</v>
  </rv>
  <rv s="2">
    <v>4</v>
  </rv>
  <rv s="3">
    <v>https://www.bing.com/search?q=bol%c3%advar+department+colombia&amp;form=skydnc</v>
    <v>Learn more on Bing</v>
  </rv>
  <rv s="1">
    <fb>2070110</fb>
    <v>11</v>
  </rv>
  <rv s="6">
    <v>#VALUE!</v>
    <v>en-US</v>
    <v>38fa99f2-3e47-af72-2f25-81f620fe1128</v>
    <v>536870912</v>
    <v>1</v>
    <v>22</v>
    <v>23</v>
    <v>Bolívar Department</v>
    <v>7</v>
    <v>24</v>
    <v>Map</v>
    <v>9</v>
    <v>10</v>
    <v>CO-BOL</v>
    <v>27</v>
    <v>28</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29</v>
    <v>30</v>
    <v>28</v>
    <v>31</v>
    <v>32</v>
    <v>Bolívar Department</v>
    <v>33</v>
    <v>8</v>
    <v>Bolívar Department</v>
    <v>mdp/vdpid/9421486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5</v>
  </rv>
  <rv s="3">
    <v>https://www.bing.com/search?q=antioquia+department&amp;form=skydnc</v>
    <v>Learn more on Bing</v>
  </rv>
  <rv s="1">
    <fb>6407102</fb>
    <v>11</v>
  </rv>
  <rv s="4">
    <v>#VALUE!</v>
    <v>en-US</v>
    <v>d3614470-a93c-5d64-a636-9da2dff33c3d</v>
    <v>536870912</v>
    <v>1</v>
    <v>28</v>
    <v>4</v>
    <v>Antioquia Department</v>
    <v>7</v>
    <v>8</v>
    <v>Map</v>
    <v>9</v>
    <v>10</v>
    <v>CO-ANT</v>
    <v>36</v>
    <v>37</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38</v>
    <v>37</v>
    <v>40</v>
    <v>41</v>
    <v>Antioquia Department</v>
    <v>42</v>
    <v>8</v>
    <v>Antioquia Department</v>
    <v>mdp/vdpid/10106933</v>
  </rv>
  <rv s="0">
    <v>536870912</v>
    <v>Boyacá Department</v>
    <v>951b3076-f33d-486b-9b35-d6d83aad8b98</v>
    <v>en-US</v>
    <v>Map</v>
  </rv>
  <rv s="1">
    <fb>23189</fb>
    <v>11</v>
  </rv>
  <rv s="0">
    <v>536870912</v>
    <v>Tunja</v>
    <v>27d685ee-2724-70fe-3ed2-724fbc283d31</v>
    <v>en-US</v>
    <v>Map</v>
  </rv>
  <rv s="1">
    <fb>336296</fb>
    <v>11</v>
  </rv>
  <rv s="2">
    <v>6</v>
  </rv>
  <rv s="3">
    <v>https://www.bing.com/search?q=boyac%c3%a1+department&amp;form=skydnc</v>
    <v>Learn more on Bing</v>
  </rv>
  <rv s="1">
    <fb>1217376</fb>
    <v>11</v>
  </rv>
  <rv s="4">
    <v>#VALUE!</v>
    <v>en-US</v>
    <v>951b3076-f33d-486b-9b35-d6d83aad8b98</v>
    <v>536870912</v>
    <v>1</v>
    <v>31</v>
    <v>4</v>
    <v>Boyacá Department</v>
    <v>7</v>
    <v>8</v>
    <v>Map</v>
    <v>9</v>
    <v>10</v>
    <v>CO-BOY</v>
    <v>45</v>
    <v>46</v>
    <v>3</v>
    <v>Boyacá is one of the thirty-two departments of Colombia, and the remnant of Boyacá State, one of the original nine states of the "United States of Colombia". Boyacá is centrally located within Colombia, almost entirely within the mountains of the Eastern Cordillera to the border with Venezuela, although the western end of the department extends to the Magdalena River at the town of Puerto Boyacá. Boyacá borders to the north with the Department of Santander, to the northeast with the Bolivarian Republic of Venezuela and Norte de Santander, to the east with the departments of Arauca and Casanare. To the south, Boyacá borders the department of Cundinamarca and to the west with the Department of Antioquia covering a total area of 23,189 square kilometres. The capital of Boyacá is the city of Tunja.</v>
    <v>47</v>
    <v>46</v>
    <v>48</v>
    <v>49</v>
    <v>Boyacá Department</v>
    <v>50</v>
    <v>8</v>
    <v>Boyacá Department</v>
    <v>mdp/vdpid/10106930</v>
  </rv>
  <rv s="0">
    <v>536870912</v>
    <v>Casanare Department</v>
    <v>e7b3ed4f-03e8-7516-f976-b525e8a0b565</v>
    <v>en-US</v>
    <v>Map</v>
  </rv>
  <rv s="1">
    <fb>44640</fb>
    <v>11</v>
  </rv>
  <rv s="0">
    <v>536870912</v>
    <v>Yopal</v>
    <v>b5d1013d-669c-c464-2466-3c8409cb17e0</v>
    <v>en-US</v>
    <v>Map</v>
  </rv>
  <rv s="1">
    <fb>73701</fb>
    <v>11</v>
  </rv>
  <rv s="5">
    <v>1</v>
    <v>9</v>
    <v>37</v>
    <v>0</v>
    <v>Image of Casanare Department</v>
  </rv>
  <rv s="2">
    <v>7</v>
  </rv>
  <rv s="3">
    <v>https://www.bing.com/search?q=casanare+department+colombia&amp;form=skydnc</v>
    <v>Learn more on Bing</v>
  </rv>
  <rv s="1">
    <fb>420504</fb>
    <v>11</v>
  </rv>
  <rv s="6">
    <v>#VALUE!</v>
    <v>en-US</v>
    <v>e7b3ed4f-03e8-7516-f976-b525e8a0b565</v>
    <v>536870912</v>
    <v>1</v>
    <v>34</v>
    <v>23</v>
    <v>Casanare Department</v>
    <v>35</v>
    <v>36</v>
    <v>Map</v>
    <v>9</v>
    <v>10</v>
    <v>CO-CAS</v>
    <v>53</v>
    <v>54</v>
    <v>3</v>
    <v>Casanare Department is a department in the central eastern region of Colombia. Its capital is Yopal, which is also the episcopal seat of the Roman Catholic Diocese of Yopal.</v>
    <v>55</v>
    <v>56</v>
    <v>54</v>
    <v>57</v>
    <v>58</v>
    <v>Casanare Department</v>
    <v>59</v>
    <v>8</v>
    <v>Casanare Department</v>
    <v>mdp/vdpid/10106928</v>
  </rv>
  <rv s="0">
    <v>536870912</v>
    <v>La Guajira Department</v>
    <v>5dadb66e-c4f1-8556-c08f-671a606edf84</v>
    <v>en-US</v>
    <v>Map</v>
  </rv>
  <rv s="1">
    <fb>20848</fb>
    <v>11</v>
  </rv>
  <rv s="0">
    <v>536870912</v>
    <v>Riohacha</v>
    <v>f49d0eea-63a6-74bd-7610-26e440494dda</v>
    <v>en-US</v>
    <v>Map</v>
  </rv>
  <rv s="1">
    <fb>123078</fb>
    <v>11</v>
  </rv>
  <rv s="0">
    <v>536870912</v>
    <v>Uribia</v>
    <v>079ebe16-eeaa-f321-420d-7a8c4b2a599d</v>
    <v>en-US</v>
    <v>Map</v>
  </rv>
  <rv s="2">
    <v>8</v>
  </rv>
  <rv s="3">
    <v>https://www.bing.com/search?q=la+guajira+department+colombia&amp;form=skydnc</v>
    <v>Learn more on Bing</v>
  </rv>
  <rv s="1">
    <fb>880560</fb>
    <v>11</v>
  </rv>
  <rv s="4">
    <v>#VALUE!</v>
    <v>en-US</v>
    <v>5dadb66e-c4f1-8556-c08f-671a606edf84</v>
    <v>536870912</v>
    <v>1</v>
    <v>40</v>
    <v>4</v>
    <v>La Guajira Department</v>
    <v>7</v>
    <v>8</v>
    <v>Map</v>
    <v>9</v>
    <v>10</v>
    <v>CO-LAG</v>
    <v>62</v>
    <v>63</v>
    <v>3</v>
    <v>La Guajira is a department of Colombia. It occupies most of the Guajira Peninsula in the northeast region of the country, on the Caribbean Sea and bordering Venezuela, at the northernmost tip of South America. The capital city of the department is Riohacha.</v>
    <v>64</v>
    <v>65</v>
    <v>66</v>
    <v>67</v>
    <v>La Guajira Department</v>
    <v>68</v>
    <v>8</v>
    <v>La Guajira Department</v>
    <v>mdp/vdpid/10106951</v>
  </rv>
  <rv s="0">
    <v>536870912</v>
    <v>Huila Department</v>
    <v>2752ef70-1772-e264-2348-e4146224c108</v>
    <v>en-US</v>
    <v>Map</v>
  </rv>
  <rv s="1">
    <fb>19890</fb>
    <v>45</v>
  </rv>
  <rv s="0">
    <v>536870912</v>
    <v>Neiva</v>
    <v>1ba988f0-6907-b536-88ad-b89bb1269fc5</v>
    <v>en-US</v>
    <v>Map</v>
  </rv>
  <rv s="1">
    <fb>253348</fb>
    <v>45</v>
  </rv>
  <rv s="2">
    <v>9</v>
  </rv>
  <rv s="3">
    <v>https://www.bing.com/search?q=huila+department+colombia&amp;form=skydnc</v>
    <v>Learn more on Bing</v>
  </rv>
  <rv s="1">
    <fb>1200386</fb>
    <v>45</v>
  </rv>
  <rv s="4">
    <v>#VALUE!</v>
    <v>en-US</v>
    <v>2752ef70-1772-e264-2348-e4146224c108</v>
    <v>536870912</v>
    <v>1</v>
    <v>43</v>
    <v>4</v>
    <v>Huila Department</v>
    <v>35</v>
    <v>44</v>
    <v>Map</v>
    <v>9</v>
    <v>10</v>
    <v>CO-HUI</v>
    <v>71</v>
    <v>72</v>
    <v>3</v>
    <v>Huila is one of the departments of Colombia. It is located in the southwest of the country, and its capital is Neiva.</v>
    <v>73</v>
    <v>72</v>
    <v>74</v>
    <v>75</v>
    <v>Huila Department</v>
    <v>76</v>
    <v>8</v>
    <v>Huila Department</v>
    <v>mdp/vdpid/10106920</v>
  </rv>
  <rv s="0">
    <v>536870912</v>
    <v>Norte de Santander Department</v>
    <v>d44c8def-e6be-c3f1-ab4e-e27af99a2e0b</v>
    <v>en-US</v>
    <v>Map</v>
  </rv>
  <rv s="1">
    <fb>21658</fb>
    <v>45</v>
  </rv>
  <rv s="0">
    <v>536870912</v>
    <v>Cúcuta</v>
    <v>5a90774d-aeea-6f03-17a8-2126ffdffef3</v>
    <v>en-US</v>
    <v>Map</v>
  </rv>
  <rv s="1">
    <fb>295605</fb>
    <v>45</v>
  </rv>
  <rv s="2">
    <v>10</v>
  </rv>
  <rv s="3">
    <v>https://www.bing.com/search?q=norte+de+santander+department+colombia&amp;form=skydnc</v>
    <v>Learn more on Bing</v>
  </rv>
  <rv s="1">
    <fb>1491689</fb>
    <v>45</v>
  </rv>
  <rv s="4">
    <v>#VALUE!</v>
    <v>en-US</v>
    <v>d44c8def-e6be-c3f1-ab4e-e27af99a2e0b</v>
    <v>536870912</v>
    <v>1</v>
    <v>50</v>
    <v>4</v>
    <v>Norte de Santander Department</v>
    <v>35</v>
    <v>44</v>
    <v>Map</v>
    <v>9</v>
    <v>10</v>
    <v>CO-NSA</v>
    <v>79</v>
    <v>80</v>
    <v>3</v>
    <v>North Santander is a department of Northeastern Colombia. It is in the north of the country, bordering Venezuela. Its capital is Cúcuta, one of the country's major cities.</v>
    <v>81</v>
    <v>80</v>
    <v>82</v>
    <v>83</v>
    <v>Norte de Santander Department</v>
    <v>84</v>
    <v>8</v>
    <v>Norte de Santander Department</v>
    <v>mdp/vdpid/9406503</v>
  </rv>
  <rv s="0">
    <v>536870912</v>
    <v>Putumayo Department</v>
    <v>45f7bd51-6a99-6e2e-3095-604393add4b0</v>
    <v>en-US</v>
    <v>Map</v>
  </rv>
  <rv s="1">
    <fb>24885</fb>
    <v>45</v>
  </rv>
  <rv s="0">
    <v>536870912</v>
    <v>Mocoa</v>
    <v>fb0d0b7c-d2b3-307d-2e00-ace8205ad474</v>
    <v>en-US</v>
    <v>Map</v>
  </rv>
  <rv s="1">
    <fb>69570</fb>
    <v>45</v>
  </rv>
  <rv s="7">
    <v>2</v>
    <v>9</v>
    <v>55</v>
    <v>6</v>
    <v>0</v>
    <v>Image of Putumayo Department</v>
  </rv>
  <rv s="0">
    <v>536870912</v>
    <v>Orito</v>
    <v>0b32c096-7333-77fb-af4e-abf896aec920</v>
    <v>en-US</v>
    <v>Map</v>
  </rv>
  <rv s="2">
    <v>11</v>
  </rv>
  <rv s="3">
    <v>https://www.bing.com/search?q=putumayo+department+colombia&amp;form=skydnc</v>
    <v>Learn more on Bing</v>
  </rv>
  <rv s="1">
    <fb>348182</fb>
    <v>45</v>
  </rv>
  <rv s="6">
    <v>#VALUE!</v>
    <v>en-US</v>
    <v>45f7bd51-6a99-6e2e-3095-604393add4b0</v>
    <v>536870912</v>
    <v>1</v>
    <v>54</v>
    <v>23</v>
    <v>Putumayo Department</v>
    <v>7</v>
    <v>24</v>
    <v>Map</v>
    <v>9</v>
    <v>10</v>
    <v>CO-PUT</v>
    <v>87</v>
    <v>88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89</v>
    <v>90</v>
    <v>91</v>
    <v>92</v>
    <v>93</v>
    <v>Putumayo Department</v>
    <v>94</v>
    <v>8</v>
    <v>Putumayo Department</v>
    <v>mdp/vdpid/10106916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6">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
      <v>12</v>
      <v>13</v>
      <v>12</v>
      <v>13</v>
      <v>12</v>
      <v>12</v>
      <v>12</v>
      <v>2</v>
      <v>13</v>
      <v>12</v>
    </spb>
    <spb s="0">
      <v xml:space="preserve">Wikipedia	</v>
      <v xml:space="preserve">CC-BY-SA	</v>
      <v xml:space="preserve">http://en.wikipedia.org/wiki/Arauca_Department	</v>
      <v xml:space="preserve">http://creativecommons.org/licenses/by-sa/3.0/	</v>
    </spb>
    <spb s="0">
      <v xml:space="preserve">Wikipedia	dane.gov.co	</v>
      <v xml:space="preserve">CC-BY-SA		</v>
      <v xml:space="preserve">http://en.wikipedia.org/wiki/Arauca_Department	http://www.dane.gov.co/censo/files/cuadros%20censo%202005.xls#Cuadro4.9	</v>
      <v xml:space="preserve">http://creativecommons.org/licenses/by-sa/3.0/		</v>
    </spb>
    <spb s="1">
      <v>15</v>
      <v>16</v>
      <v>15</v>
      <v>16</v>
      <v>15</v>
      <v>15</v>
      <v>15</v>
      <v>2</v>
      <v>16</v>
      <v>15</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
      <v>18</v>
      <v>19</v>
      <v>20</v>
      <v>19</v>
      <v>20</v>
      <v>20</v>
      <v>21</v>
      <v>2</v>
      <v>19</v>
      <v>21</v>
    </spb>
    <spb s="2">
      <v>1</v>
      <v>Name</v>
      <v>LearnMoreOnLink</v>
    </spb>
    <spb s="10">
      <v>1</v>
      <v>4</v>
      <v>2</v>
    </spb>
    <spb s="0">
      <v xml:space="preserve">Wikipedia	</v>
      <v xml:space="preserve">CC BY 2.0	</v>
      <v xml:space="preserve">http://es.wikipedia.org/wiki/Bolívar_(Colombia)	</v>
      <v xml:space="preserve">https://creativecommons.org/licenses/by/2.0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
      <v>26</v>
      <v>27</v>
      <v>26</v>
      <v>27</v>
      <v>26</v>
      <v>26</v>
      <v>26</v>
      <v>2</v>
      <v>27</v>
      <v>26</v>
    </spb>
    <spb s="0">
      <v xml:space="preserve">Wikipedia	</v>
      <v xml:space="preserve">CC-BY-SA	</v>
      <v xml:space="preserve">http://en.wikipedia.org/wiki/Boyacá_Department	</v>
      <v xml:space="preserve">http://creativecommons.org/licenses/by-sa/3.0/	</v>
    </spb>
    <spb s="0">
      <v xml:space="preserve">Wikipedia	dane.gov.co	</v>
      <v xml:space="preserve">CC-BY-SA		</v>
      <v xml:space="preserve">http://en.wikipedia.org/wiki/Boyacá_Department	http://www.dane.gov.co/censo/files/cuadros%20censo%202005.xls#Cuadro4.9	</v>
      <v xml:space="preserve">http://creativecommons.org/licenses/by-sa/3.0/		</v>
    </spb>
    <spb s="1">
      <v>29</v>
      <v>30</v>
      <v>29</v>
      <v>30</v>
      <v>29</v>
      <v>29</v>
      <v>29</v>
      <v>2</v>
      <v>30</v>
      <v>29</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
      <v>32</v>
      <v>33</v>
      <v>32</v>
      <v>33</v>
      <v>32</v>
      <v>32</v>
      <v>32</v>
      <v>2</v>
      <v>33</v>
      <v>32</v>
    </spb>
    <spb s="11">
      <v>5</v>
      <v>5</v>
      <v>5</v>
    </spb>
    <spb s="12">
      <v>1</v>
      <v>4</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13">
      <v>38</v>
      <v>39</v>
      <v>38</v>
      <v>39</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
      <v>41</v>
      <v>42</v>
      <v>41</v>
      <v>42</v>
      <v>41</v>
      <v>41</v>
      <v>41</v>
      <v>2</v>
      <v>42</v>
      <v>41</v>
    </spb>
    <spb s="14">
      <v>1</v>
    </spb>
    <spb s="9">
      <v>5</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
      <v>46</v>
      <v>47</v>
      <v>46</v>
      <v>47</v>
      <v>46</v>
      <v>46</v>
      <v>48</v>
      <v>2</v>
      <v>49</v>
      <v>48</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3">
      <v>51</v>
      <v>52</v>
      <v>53</v>
      <v>52</v>
      <v>53</v>
      <v>53</v>
      <v>2</v>
      <v>52</v>
      <v>53</v>
    </spb>
    <spb s="0">
      <v xml:space="preserve">Wikipedia	</v>
      <v xml:space="preserve">CC BY-SA 3.0	</v>
      <v xml:space="preserve">http://ko.wikipedia.org/wiki/푸투마요주	</v>
      <v xml:space="preserve">https://creativecommons.org/licenses/by-sa/3.0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Largest city"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Name" t="i"/>
    <k n="Image" t="i"/>
    <k n="Description" t="i"/>
  </s>
  <s>
    <k n="UniqueName" t="spb"/>
    <k n="VDPID/VSID" t="spb"/>
    <k n="LearnMoreOnLink" t="spb"/>
  </s>
  <s>
    <k n="Name" t="i"/>
    <k n="Image" t="i"/>
  </s>
  <s>
    <k n="Area" t="spb"/>
    <k n="Name" t="spb"/>
    <k n="Population" t="spb"/>
    <k n="UniqueName" t="spb"/>
    <k n="Description" t="spb"/>
    <k n="Abbreviation" t="spb"/>
    <k n="Housing units" t="spb"/>
    <k n="Country/region" t="spb"/>
    <k n="Capital/Major City" t="spb"/>
  </s>
  <s>
    <k n="Na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IsHeroField" t="b"/>
    <rPr n="NumberFormat" t="s"/>
  </richProperties>
  <richStyles>
    <rSty>
      <rpv i="0">1</rpv>
    </rSty>
    <rSty>
      <rpv i="1">1</rpv>
    </rSty>
    <rSty dxfid="0"/>
    <rSty>
      <rpv i="2">1</rpv>
    </rSty>
    <rSty dxfid="0">
      <rpv i="3">#,##0</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2-08-11T05:06:44.42" personId="{8B4C904F-D39B-41A2-976E-9CF6D3CCE00C}" id="{B5DC5291-6A6D-48C7-A6C7-D48CFE382A60}">
    <text>BP is Beam Pump, PCP is Progressive Cavity Pump, ESP is Electrical Submersible Pump</text>
  </threadedComment>
  <threadedComment ref="Q3" dT="2022-08-11T05:08:53.00" personId="{8B4C904F-D39B-41A2-976E-9CF6D3CCE00C}" id="{554B21F3-EFB7-49C5-962B-7A8B26EF7170}">
    <text>WI is Water Injection; GI is Gas Injection</text>
  </threadedComment>
  <threadedComment ref="R3" dT="2022-08-11T05:10:01.24" personId="{8B4C904F-D39B-41A2-976E-9CF6D3CCE00C}" id="{8A7D8302-9A73-4C71-B1C6-4B3DCE14D226}">
    <text>SI is Steam Injection; AI is Air Injection; CHI is Chemical Inyection (includes Polymer and/or surfractant injection); nnI is Nanofluids Inections; NI is Nitrogen Injection; SAG is surfractang alternative gas</text>
  </threadedComment>
  <threadedComment ref="Q43" dT="2022-08-10T01:54:57.66" personId="{8B4C904F-D39B-41A2-976E-9CF6D3CCE00C}" id="{EC31951F-36DB-4BB9-889B-66C815AE699D}">
    <text>Using ANH (https://www.anh.gov.co/documents/4172/Cuencas_Sedimentarias_de_Colombia_PDF.pdf)</text>
  </threadedComment>
  <threadedComment ref="Q66" dT="2022-08-10T01:54:02.42" personId="{8B4C904F-D39B-41A2-976E-9CF6D3CCE00C}" id="{0366A16D-EEAC-403F-96A9-4310780EA050}">
    <text>Using Upstream Characterization UPME (2021)</text>
  </threadedComment>
  <threadedComment ref="T72" dT="2022-08-08T22:10:25.19" personId="{8B4C904F-D39B-41A2-976E-9CF6D3CCE00C}" id="{4262ED9D-7D4D-4979-A886-69ABD815975C}">
    <text>ANH use to report de fiscalized gas that includes:  Gas lift + Reinjected gas + Gas to plant + transformed gas + gas to gaseoduct.
In 2018 the fiscalized gas production was 2253 Mscf/d, but the commercialized gas production was 1050 Mscf/d.
in 2010 the commercialized gas was 1040 Mscf/d.</text>
  </threadedComment>
  <threadedComment ref="T72" dT="2022-08-08T22:12:13.01" personId="{8B4C904F-D39B-41A2-976E-9CF6D3CCE00C}" id="{278CA538-86F0-4BE7-AC98-3FBEBFDAE74A}" parentId="{4262ED9D-7D4D-4979-A886-69ABD815975C}">
    <text>https://www.valoraanalitik.com/2019/01/16/colombia-cerro-el-2018-con-record-en-produccion-de-gas-y-petroleo/</text>
  </threadedComment>
  <threadedComment ref="R76" dT="2022-08-10T02:26:10.91" personId="{8B4C904F-D39B-41A2-976E-9CF6D3CCE00C}" id="{D776B7B1-62B5-4346-9580-94152522D5BD}">
    <text>Data from ANH report: Reserves 2018</text>
  </threadedComment>
  <threadedComment ref="T77" dT="2022-08-10T02:18:04.53" personId="{8B4C904F-D39B-41A2-976E-9CF6D3CCE00C}" id="{BA761599-396A-49D5-AA6D-4BC19FBDF2BD}">
    <text>Chichimene + Apiay + 10 oilfields</text>
  </threadedComment>
  <threadedComment ref="R78" dT="2022-08-10T02:11:03.45" personId="{8B4C904F-D39B-41A2-976E-9CF6D3CCE00C}" id="{E320C1C6-DE32-49A6-870A-0918B7BE0E85}">
    <text>Infantas + la Cira + Lisama + LLanito + Yarigui-Cantagallo</text>
  </threadedComment>
  <threadedComment ref="T78" dT="2022-08-10T02:16:29.46" personId="{8B4C904F-D39B-41A2-976E-9CF6D3CCE00C}" id="{21204627-F6DC-4143-9567-33068CB8C7FA}">
    <text>Cira + Infantas + Yarigui-Cantagallo +12 oilfields</text>
  </threadedComment>
  <threadedComment ref="R79" dT="2022-08-10T02:04:44.28" personId="{8B4C904F-D39B-41A2-976E-9CF6D3CCE00C}" id="{9873AE17-3FF6-4804-B27E-E3E701DD8B0C}">
    <text>Caño limon + 24 campos</text>
  </threadedComment>
  <threadedComment ref="T79" dT="2022-08-10T02:14:05.47" personId="{8B4C904F-D39B-41A2-976E-9CF6D3CCE00C}" id="{56DB3520-C5F7-4FA4-B4D9-82B6B2808C68}">
    <text>Andina + Capachos</text>
  </threadedComment>
  <threadedComment ref="R80" dT="2022-08-10T02:07:49.33" personId="{8B4C904F-D39B-41A2-976E-9CF6D3CCE00C}" id="{91993813-061C-47E7-A3AB-2463BC6DB191}">
    <text>Boquete + cicuco (Yarigui-Cantagallo is not considered as part of Bolivar Department but Santander)</text>
  </threadedComment>
  <threadedComment ref="R81" dT="2022-08-10T02:03:42.76" personId="{8B4C904F-D39B-41A2-976E-9CF6D3CCE00C}" id="{10EC9C8E-F434-45E3-B814-D8578688DD09}">
    <text>Casabe + Nare + Peñas Blancas + Teca-Corcona</text>
  </threadedComment>
  <threadedComment ref="T81" dT="2022-08-10T02:13:35.79" personId="{8B4C904F-D39B-41A2-976E-9CF6D3CCE00C}" id="{2E6F47D5-070C-44D3-BAB1-67ADAE18466B}">
    <text>Casabe + Peñas Blancas</text>
  </threadedComment>
  <threadedComment ref="R82" dT="2022-08-10T02:09:10.23" personId="{8B4C904F-D39B-41A2-976E-9CF6D3CCE00C}" id="{0023FFC6-039A-46E8-8E63-6F287132D253}">
    <text>Gibraltar + Girasol + Moriche + Velasquez + 8 oilfields</text>
  </threadedComment>
  <threadedComment ref="T82" dT="2022-08-10T02:17:12.43" personId="{8B4C904F-D39B-41A2-976E-9CF6D3CCE00C}" id="{70A75F81-4CAB-4384-A689-206C8CFA0516}">
    <text>Gibraltar + 5 gasfields</text>
  </threadedComment>
  <threadedComment ref="T83" dT="2022-08-10T02:14:57.33" personId="{8B4C904F-D39B-41A2-976E-9CF6D3CCE00C}" id="{99DC78EC-4683-44A1-AD26-041BE706B124}">
    <text>Cupiagua + Cusiana + Pauto + 9 gasfields</text>
  </threadedComment>
  <threadedComment ref="T84" dT="2022-08-10T02:15:35.17" personId="{8B4C904F-D39B-41A2-976E-9CF6D3CCE00C}" id="{CD64E6C6-5474-4A71-9BAB-A199E58F34DC}">
    <text>Ballena + Chuchupa</text>
  </threadedComment>
  <threadedComment ref="R87" dT="2022-08-10T02:20:44.65" personId="{8B4C904F-D39B-41A2-976E-9CF6D3CCE00C}" id="{D2921E57-2D44-4B35-989E-5AA00252E3C8}">
    <text>https://nuevoportal.ecopetrol.com.co/wps/portal/ecopetrol-web/nuestra-empresa/sala-de-prensa/boletines-de-prensa/boletines-2019/boletines-2018/Grupo%20Ecopetrol%20incremento%20sus%20reservas%20probadas%20de%20hidrocarburos%20al%20cierre%20de%202018</text>
  </threadedComment>
  <threadedComment ref="T87" dT="2022-08-10T02:24:15.91" personId="{8B4C904F-D39B-41A2-976E-9CF6D3CCE00C}" id="{1371A6D2-3AC0-4404-BBF4-3F45CF4B722B}">
    <text>1 Equivalent oil barrel is about 5800 scf</text>
  </threadedComment>
  <threadedComment ref="R97" dT="2022-08-11T14:45:12.33" personId="{8B4C904F-D39B-41A2-976E-9CF6D3CCE00C}" id="{7AF6FB8E-74D6-4C88-BA41-503CE35E7727}">
    <text>https://nuevoportal.ecopetrol.com.co/wps/portal/ecopetrol-web/nuestra-empresa/sala-de-prensa/boletines-de-prensa/boletines-2019/boletines-2018/Grupo%20Ecopetrol%20incremento%20sus%20reservas%20probadas%20de%20hidrocarburos%20al%20cierre%20de%202018</text>
  </threadedComment>
  <threadedComment ref="Q104" dT="2022-08-11T15:22:25.65" personId="{8B4C904F-D39B-41A2-976E-9CF6D3CCE00C}" id="{4D46370C-7FFD-4489-9A9B-2DC1439F982E}">
    <text>Boletin Estadistico UPME 2016-2020</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FR@%20Primary=%2013%25%20(CASA%207)"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A207-A31D-4333-AF3C-69874402C6D2}">
  <sheetPr>
    <pageSetUpPr autoPageBreaks="0"/>
  </sheetPr>
  <dimension ref="A2:AH27"/>
  <sheetViews>
    <sheetView zoomScaleNormal="100" workbookViewId="0">
      <selection activeCell="L24" sqref="L24:L25"/>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24.140625" style="1" customWidth="1"/>
    <col min="6" max="6" width="12.28515625" style="1" customWidth="1"/>
    <col min="7" max="7" width="16.42578125" style="1" customWidth="1"/>
    <col min="8" max="8" width="17" style="1" customWidth="1"/>
    <col min="9" max="9" width="16.140625" style="1" customWidth="1"/>
    <col min="10" max="10" width="28.7109375" style="1" customWidth="1"/>
    <col min="11" max="12" width="43.140625" style="1" customWidth="1"/>
    <col min="13" max="13" width="34" style="1" customWidth="1"/>
    <col min="14" max="14" width="11.42578125" style="1"/>
    <col min="15" max="15" width="34.85546875" style="1" customWidth="1"/>
    <col min="16" max="16" width="18.5703125" style="1" customWidth="1"/>
    <col min="17" max="17" width="27.5703125" style="1" customWidth="1"/>
    <col min="18" max="18" width="46.85546875" style="1" customWidth="1"/>
    <col min="19" max="19" width="40.28515625" style="1" customWidth="1"/>
    <col min="20" max="20" width="22.28515625" style="1" customWidth="1"/>
    <col min="21" max="21" width="34.85546875" style="1" customWidth="1"/>
    <col min="22" max="22" width="32.28515625" style="1" customWidth="1"/>
    <col min="23" max="23" width="27.85546875" style="1" customWidth="1"/>
    <col min="24" max="24" width="33.140625" style="1" customWidth="1"/>
    <col min="25" max="25" width="28.28515625" style="1" customWidth="1"/>
    <col min="26" max="26" width="89.85546875" style="1" customWidth="1"/>
    <col min="27" max="28" width="11.42578125" style="1"/>
    <col min="29" max="29" width="6.7109375" style="1" customWidth="1"/>
    <col min="30" max="34" width="11.42578125" style="1"/>
  </cols>
  <sheetData>
    <row r="2" spans="2:29" s="1" customFormat="1" x14ac:dyDescent="0.25">
      <c r="B2" s="1" t="s">
        <v>0</v>
      </c>
    </row>
    <row r="3" spans="2:29" s="1" customFormat="1" x14ac:dyDescent="0.25">
      <c r="M3" s="1" t="s">
        <v>1</v>
      </c>
    </row>
    <row r="4" spans="2:29" s="1" customFormat="1" ht="25.15" customHeight="1" x14ac:dyDescent="0.25">
      <c r="B4" s="2" t="s">
        <v>251</v>
      </c>
      <c r="C4" s="3" t="s">
        <v>3</v>
      </c>
      <c r="D4" s="3" t="s">
        <v>4</v>
      </c>
      <c r="E4" s="3" t="s">
        <v>6</v>
      </c>
      <c r="F4" s="3" t="s">
        <v>7</v>
      </c>
      <c r="G4" s="3" t="s">
        <v>8</v>
      </c>
      <c r="H4" s="3" t="s">
        <v>9</v>
      </c>
      <c r="I4" s="3" t="s">
        <v>252</v>
      </c>
      <c r="J4" s="3" t="s">
        <v>11</v>
      </c>
      <c r="K4" s="3" t="s">
        <v>253</v>
      </c>
      <c r="L4" s="3" t="s">
        <v>254</v>
      </c>
      <c r="M4" s="3" t="s">
        <v>13</v>
      </c>
      <c r="N4" s="3" t="s">
        <v>5</v>
      </c>
      <c r="O4" s="3" t="s">
        <v>14</v>
      </c>
      <c r="P4" s="3" t="s">
        <v>15</v>
      </c>
      <c r="Q4" s="3" t="s">
        <v>16</v>
      </c>
      <c r="R4" s="3" t="s">
        <v>17</v>
      </c>
      <c r="S4" s="3" t="s">
        <v>18</v>
      </c>
      <c r="T4" s="3" t="s">
        <v>19</v>
      </c>
      <c r="U4" s="3" t="s">
        <v>20</v>
      </c>
      <c r="V4" s="3" t="s">
        <v>21</v>
      </c>
      <c r="W4" s="3" t="s">
        <v>22</v>
      </c>
      <c r="X4" s="3" t="s">
        <v>23</v>
      </c>
      <c r="Y4" s="4" t="s">
        <v>24</v>
      </c>
      <c r="Z4" s="5" t="s">
        <v>25</v>
      </c>
    </row>
    <row r="5" spans="2:29" s="1" customFormat="1" ht="25.5" x14ac:dyDescent="0.25">
      <c r="B5" s="6">
        <v>1</v>
      </c>
      <c r="C5" s="7" t="s">
        <v>166</v>
      </c>
      <c r="D5" s="7" t="s">
        <v>255</v>
      </c>
      <c r="E5" s="7" t="s">
        <v>256</v>
      </c>
      <c r="F5" s="7" t="s">
        <v>30</v>
      </c>
      <c r="G5" s="8">
        <v>11342</v>
      </c>
      <c r="H5" s="7">
        <v>152.77000000000001</v>
      </c>
      <c r="I5" s="69">
        <v>754.35</v>
      </c>
      <c r="J5" s="7" t="s">
        <v>257</v>
      </c>
      <c r="K5" s="7">
        <v>0.68</v>
      </c>
      <c r="L5" s="7" t="s">
        <v>258</v>
      </c>
      <c r="M5" s="7" t="s">
        <v>259</v>
      </c>
      <c r="N5" s="7" t="s">
        <v>28</v>
      </c>
      <c r="O5" s="7" t="s">
        <v>260</v>
      </c>
      <c r="P5" s="7">
        <v>0.05</v>
      </c>
      <c r="Q5" s="7" t="s">
        <v>261</v>
      </c>
      <c r="R5" s="7" t="s">
        <v>262</v>
      </c>
      <c r="S5" s="7" t="s">
        <v>263</v>
      </c>
      <c r="T5" s="7" t="s">
        <v>264</v>
      </c>
      <c r="U5" s="7"/>
      <c r="V5" s="7">
        <v>0</v>
      </c>
      <c r="W5" s="7" t="s">
        <v>265</v>
      </c>
      <c r="X5" s="7" t="s">
        <v>266</v>
      </c>
      <c r="Y5" s="11" t="s">
        <v>267</v>
      </c>
      <c r="Z5" s="12" t="s">
        <v>268</v>
      </c>
    </row>
    <row r="6" spans="2:29" s="1" customFormat="1" ht="25.5" x14ac:dyDescent="0.25">
      <c r="B6" s="6">
        <v>3</v>
      </c>
      <c r="C6" s="7" t="s">
        <v>166</v>
      </c>
      <c r="D6" s="7" t="s">
        <v>269</v>
      </c>
      <c r="E6" s="7" t="s">
        <v>270</v>
      </c>
      <c r="F6" s="7" t="s">
        <v>30</v>
      </c>
      <c r="G6" s="8">
        <v>4514</v>
      </c>
      <c r="H6" s="7">
        <v>182.15</v>
      </c>
      <c r="I6" s="69">
        <v>306.27</v>
      </c>
      <c r="J6" s="7">
        <v>52</v>
      </c>
      <c r="K6" s="7">
        <v>0.68</v>
      </c>
      <c r="L6" s="14" t="s">
        <v>258</v>
      </c>
      <c r="M6" s="7" t="s">
        <v>271</v>
      </c>
      <c r="N6" s="7" t="s">
        <v>28</v>
      </c>
      <c r="O6" s="7" t="s">
        <v>260</v>
      </c>
      <c r="P6" s="7">
        <v>0.05</v>
      </c>
      <c r="Q6" s="7" t="s">
        <v>261</v>
      </c>
      <c r="R6" s="7" t="s">
        <v>272</v>
      </c>
      <c r="S6" s="7" t="s">
        <v>273</v>
      </c>
      <c r="T6" s="7" t="s">
        <v>264</v>
      </c>
      <c r="U6" s="7"/>
      <c r="V6" s="7"/>
      <c r="W6" s="7"/>
      <c r="X6" s="7" t="s">
        <v>274</v>
      </c>
      <c r="Y6" s="11" t="s">
        <v>275</v>
      </c>
      <c r="Z6" s="12"/>
    </row>
    <row r="7" spans="2:29" s="1" customFormat="1" ht="38.25" x14ac:dyDescent="0.25">
      <c r="B7" s="6">
        <v>2</v>
      </c>
      <c r="C7" s="7" t="s">
        <v>166</v>
      </c>
      <c r="D7" s="7" t="s">
        <v>276</v>
      </c>
      <c r="E7" s="7" t="s">
        <v>277</v>
      </c>
      <c r="F7" s="7" t="s">
        <v>278</v>
      </c>
      <c r="G7" s="8">
        <v>31197</v>
      </c>
      <c r="H7" s="7">
        <v>218.46</v>
      </c>
      <c r="I7" s="69">
        <v>459.81099999999998</v>
      </c>
      <c r="J7" s="7">
        <v>46</v>
      </c>
      <c r="K7" s="7">
        <v>0.72</v>
      </c>
      <c r="L7" s="7" t="s">
        <v>279</v>
      </c>
      <c r="M7" s="7" t="s">
        <v>280</v>
      </c>
      <c r="N7" s="7" t="s">
        <v>281</v>
      </c>
      <c r="O7" s="7" t="s">
        <v>260</v>
      </c>
      <c r="P7" s="7" t="s">
        <v>282</v>
      </c>
      <c r="Q7" s="10" t="s">
        <v>283</v>
      </c>
      <c r="R7" s="7" t="s">
        <v>284</v>
      </c>
      <c r="S7" s="7" t="s">
        <v>285</v>
      </c>
      <c r="T7" s="7" t="s">
        <v>286</v>
      </c>
      <c r="U7" s="7"/>
      <c r="V7" s="7"/>
      <c r="W7" s="7" t="s">
        <v>287</v>
      </c>
      <c r="X7" s="7"/>
      <c r="Y7" s="11" t="s">
        <v>288</v>
      </c>
      <c r="Z7" s="12" t="s">
        <v>289</v>
      </c>
    </row>
    <row r="8" spans="2:29" s="1" customFormat="1" ht="25.5" x14ac:dyDescent="0.25">
      <c r="B8" s="6">
        <v>5</v>
      </c>
      <c r="C8" s="7" t="s">
        <v>166</v>
      </c>
      <c r="D8" s="7" t="s">
        <v>276</v>
      </c>
      <c r="E8" s="7" t="s">
        <v>290</v>
      </c>
      <c r="F8" s="7" t="s">
        <v>278</v>
      </c>
      <c r="G8" s="8">
        <v>8374</v>
      </c>
      <c r="H8" s="7" t="s">
        <v>31</v>
      </c>
      <c r="I8" s="69">
        <v>153.01</v>
      </c>
      <c r="J8" s="7" t="s">
        <v>291</v>
      </c>
      <c r="K8" s="7">
        <v>0.74</v>
      </c>
      <c r="L8" s="7" t="s">
        <v>292</v>
      </c>
      <c r="M8" s="7" t="s">
        <v>280</v>
      </c>
      <c r="N8" s="7" t="s">
        <v>28</v>
      </c>
      <c r="O8" s="7" t="s">
        <v>260</v>
      </c>
      <c r="P8" s="7" t="s">
        <v>282</v>
      </c>
      <c r="Q8" s="7" t="s">
        <v>283</v>
      </c>
      <c r="R8" s="7" t="s">
        <v>293</v>
      </c>
      <c r="S8" s="7" t="s">
        <v>294</v>
      </c>
      <c r="T8" s="7" t="s">
        <v>286</v>
      </c>
      <c r="U8" s="7"/>
      <c r="V8" s="15" t="s">
        <v>295</v>
      </c>
      <c r="W8" s="7" t="s">
        <v>296</v>
      </c>
      <c r="X8" s="7" t="s">
        <v>297</v>
      </c>
      <c r="Y8" s="11" t="s">
        <v>275</v>
      </c>
      <c r="Z8" s="12" t="s">
        <v>298</v>
      </c>
    </row>
    <row r="9" spans="2:29" s="1" customFormat="1" ht="25.5" x14ac:dyDescent="0.25">
      <c r="B9" s="6">
        <v>4</v>
      </c>
      <c r="C9" s="7" t="s">
        <v>299</v>
      </c>
      <c r="D9" s="7" t="s">
        <v>300</v>
      </c>
      <c r="E9" s="7" t="s">
        <v>301</v>
      </c>
      <c r="F9" s="7" t="s">
        <v>302</v>
      </c>
      <c r="G9" s="8">
        <v>0</v>
      </c>
      <c r="H9" s="7">
        <v>207.5</v>
      </c>
      <c r="I9" s="69">
        <v>214.703</v>
      </c>
      <c r="J9" s="7" t="s">
        <v>31</v>
      </c>
      <c r="K9" s="7">
        <v>0.56000000000000005</v>
      </c>
      <c r="L9" s="7" t="s">
        <v>303</v>
      </c>
      <c r="M9" s="7" t="s">
        <v>304</v>
      </c>
      <c r="N9" s="7" t="s">
        <v>299</v>
      </c>
      <c r="O9" s="7" t="s">
        <v>305</v>
      </c>
      <c r="P9" s="7" t="s">
        <v>306</v>
      </c>
      <c r="Q9" s="7" t="s">
        <v>307</v>
      </c>
      <c r="R9" s="7" t="s">
        <v>308</v>
      </c>
      <c r="S9" s="13" t="s">
        <v>309</v>
      </c>
      <c r="T9" s="7"/>
      <c r="U9" s="7"/>
      <c r="V9" s="7" t="s">
        <v>310</v>
      </c>
      <c r="W9" s="7"/>
      <c r="X9" s="7"/>
      <c r="Y9" s="11"/>
      <c r="Z9" s="12"/>
    </row>
    <row r="10" spans="2:29" s="1" customFormat="1" x14ac:dyDescent="0.25">
      <c r="B10" s="6">
        <v>6</v>
      </c>
      <c r="C10" s="7" t="s">
        <v>299</v>
      </c>
      <c r="D10" s="7" t="s">
        <v>300</v>
      </c>
      <c r="E10" s="7" t="s">
        <v>311</v>
      </c>
      <c r="F10" s="7" t="s">
        <v>302</v>
      </c>
      <c r="G10" s="8">
        <v>0</v>
      </c>
      <c r="H10" s="7">
        <v>30.6</v>
      </c>
      <c r="I10" s="69">
        <v>31.34</v>
      </c>
      <c r="J10" s="7"/>
      <c r="K10" s="7"/>
      <c r="L10" s="7"/>
      <c r="M10" s="7"/>
      <c r="N10" s="7" t="s">
        <v>299</v>
      </c>
      <c r="O10" s="7"/>
      <c r="P10" s="7"/>
      <c r="Q10" s="7"/>
      <c r="R10" s="7" t="s">
        <v>312</v>
      </c>
      <c r="S10" s="7" t="s">
        <v>313</v>
      </c>
      <c r="T10" s="7"/>
      <c r="U10" s="7"/>
      <c r="V10" s="7"/>
      <c r="W10" s="7"/>
      <c r="X10" s="7"/>
      <c r="Y10" s="11"/>
      <c r="Z10" s="12"/>
    </row>
    <row r="11" spans="2:29" s="1" customFormat="1" ht="51" x14ac:dyDescent="0.25">
      <c r="B11" s="70">
        <v>6</v>
      </c>
      <c r="C11" s="71" t="s">
        <v>314</v>
      </c>
      <c r="D11" s="71"/>
      <c r="E11" s="71" t="s">
        <v>315</v>
      </c>
      <c r="F11" s="71" t="s">
        <v>316</v>
      </c>
      <c r="G11" s="72">
        <v>1</v>
      </c>
      <c r="H11" s="71"/>
      <c r="I11" s="73">
        <v>53.6</v>
      </c>
      <c r="J11" s="7"/>
      <c r="K11" s="7"/>
      <c r="L11" s="7"/>
      <c r="M11" s="7"/>
      <c r="N11" s="7"/>
      <c r="O11" s="7"/>
      <c r="P11" s="7"/>
      <c r="Q11" s="7"/>
      <c r="R11" s="7"/>
      <c r="S11" s="7"/>
      <c r="T11" s="7"/>
      <c r="U11" s="7"/>
      <c r="V11" s="7"/>
      <c r="W11" s="7"/>
      <c r="X11" s="7"/>
      <c r="Y11" s="11"/>
      <c r="Z11" s="12"/>
    </row>
    <row r="12" spans="2:29" s="1" customFormat="1" ht="25.5" x14ac:dyDescent="0.25">
      <c r="B12" s="70">
        <v>7</v>
      </c>
      <c r="C12" s="71" t="s">
        <v>317</v>
      </c>
      <c r="D12" s="71"/>
      <c r="E12" s="71" t="s">
        <v>318</v>
      </c>
      <c r="F12" s="71" t="s">
        <v>30</v>
      </c>
      <c r="G12" s="72">
        <v>0</v>
      </c>
      <c r="H12" s="71"/>
      <c r="I12" s="73">
        <v>39.1</v>
      </c>
      <c r="J12" s="7"/>
      <c r="K12" s="7"/>
      <c r="L12" s="7"/>
      <c r="M12" s="7"/>
      <c r="N12" s="7"/>
      <c r="O12" s="7"/>
      <c r="P12" s="7"/>
      <c r="Q12" s="7"/>
      <c r="R12" s="7"/>
      <c r="S12" s="7"/>
      <c r="T12" s="7"/>
      <c r="U12" s="7"/>
      <c r="V12" s="7"/>
      <c r="W12" s="7"/>
      <c r="X12" s="7"/>
      <c r="Y12" s="11"/>
      <c r="Z12" s="12"/>
    </row>
    <row r="13" spans="2:29" s="1" customFormat="1" ht="11.45" customHeight="1" x14ac:dyDescent="0.25">
      <c r="B13" s="27"/>
      <c r="C13" s="28"/>
      <c r="D13" s="28"/>
      <c r="E13" s="28"/>
      <c r="F13" s="28"/>
      <c r="G13" s="28"/>
      <c r="H13" s="30"/>
      <c r="I13" s="30"/>
      <c r="J13" s="29" t="s">
        <v>319</v>
      </c>
      <c r="K13" s="29" t="s">
        <v>319</v>
      </c>
      <c r="L13" s="29" t="s">
        <v>319</v>
      </c>
      <c r="M13" s="29" t="s">
        <v>320</v>
      </c>
      <c r="N13" s="29"/>
      <c r="O13" s="29" t="s">
        <v>320</v>
      </c>
      <c r="P13" s="29" t="s">
        <v>320</v>
      </c>
      <c r="Q13" s="29" t="s">
        <v>320</v>
      </c>
      <c r="R13" s="29" t="s">
        <v>321</v>
      </c>
      <c r="S13" s="29" t="s">
        <v>320</v>
      </c>
      <c r="T13" s="29" t="s">
        <v>320</v>
      </c>
      <c r="U13" s="29"/>
      <c r="V13" s="29" t="s">
        <v>321</v>
      </c>
      <c r="W13" s="29" t="s">
        <v>321</v>
      </c>
      <c r="X13" s="29"/>
      <c r="Y13" s="31" t="s">
        <v>322</v>
      </c>
      <c r="Z13" s="32"/>
    </row>
    <row r="14" spans="2:29" s="1" customFormat="1" ht="10.15" customHeight="1" x14ac:dyDescent="0.25">
      <c r="B14" s="33"/>
      <c r="H14" s="35"/>
      <c r="I14" s="35"/>
      <c r="J14" s="34" t="s">
        <v>323</v>
      </c>
      <c r="K14" s="34" t="s">
        <v>324</v>
      </c>
      <c r="L14" s="34" t="s">
        <v>324</v>
      </c>
      <c r="M14" s="34" t="s">
        <v>323</v>
      </c>
      <c r="N14" s="34"/>
      <c r="O14" s="34" t="s">
        <v>323</v>
      </c>
      <c r="P14" s="34" t="s">
        <v>325</v>
      </c>
      <c r="Q14" s="34" t="s">
        <v>323</v>
      </c>
      <c r="R14" s="34"/>
      <c r="S14" s="34" t="s">
        <v>326</v>
      </c>
      <c r="T14" s="34" t="s">
        <v>327</v>
      </c>
      <c r="U14" s="34"/>
      <c r="V14" s="34" t="s">
        <v>328</v>
      </c>
      <c r="W14" s="34" t="s">
        <v>329</v>
      </c>
      <c r="X14" s="34" t="s">
        <v>330</v>
      </c>
      <c r="Y14" s="36"/>
      <c r="Z14" s="32"/>
      <c r="AB14" s="35"/>
      <c r="AC14" s="35"/>
    </row>
    <row r="15" spans="2:29" s="1" customFormat="1" ht="10.15" customHeight="1" x14ac:dyDescent="0.25">
      <c r="B15" s="33"/>
      <c r="H15" s="35"/>
      <c r="I15" s="35"/>
      <c r="J15" s="34"/>
      <c r="K15" s="34" t="s">
        <v>331</v>
      </c>
      <c r="L15" s="34" t="s">
        <v>332</v>
      </c>
      <c r="M15" s="34" t="s">
        <v>331</v>
      </c>
      <c r="N15" s="34" t="s">
        <v>331</v>
      </c>
      <c r="O15" s="34" t="s">
        <v>331</v>
      </c>
      <c r="P15" s="34" t="s">
        <v>331</v>
      </c>
      <c r="Q15" s="34" t="s">
        <v>333</v>
      </c>
      <c r="R15" s="34" t="s">
        <v>331</v>
      </c>
      <c r="S15" s="34" t="s">
        <v>334</v>
      </c>
      <c r="T15" s="34"/>
      <c r="U15" s="34"/>
      <c r="V15" s="34" t="s">
        <v>333</v>
      </c>
      <c r="W15" s="34"/>
      <c r="X15" s="34"/>
      <c r="Y15" s="36"/>
      <c r="Z15" s="32"/>
      <c r="AA15" s="35"/>
      <c r="AB15" s="35"/>
      <c r="AC15" s="35"/>
    </row>
    <row r="16" spans="2:29" s="1" customFormat="1" ht="10.15" customHeight="1" x14ac:dyDescent="0.25">
      <c r="B16" s="33"/>
      <c r="H16" s="35"/>
      <c r="I16" s="35"/>
      <c r="J16" s="34" t="s">
        <v>335</v>
      </c>
      <c r="K16" s="34" t="s">
        <v>324</v>
      </c>
      <c r="L16" s="34" t="s">
        <v>324</v>
      </c>
      <c r="M16" s="34" t="s">
        <v>323</v>
      </c>
      <c r="N16" s="34"/>
      <c r="O16" s="34" t="s">
        <v>323</v>
      </c>
      <c r="P16" s="34"/>
      <c r="Q16" s="34"/>
      <c r="R16" s="34" t="s">
        <v>336</v>
      </c>
      <c r="S16" s="34"/>
      <c r="T16" s="34" t="s">
        <v>327</v>
      </c>
      <c r="U16" s="34"/>
      <c r="V16" s="34"/>
      <c r="W16" s="34"/>
      <c r="X16" s="34" t="s">
        <v>337</v>
      </c>
      <c r="Y16" s="36" t="s">
        <v>338</v>
      </c>
      <c r="Z16" s="32"/>
      <c r="AA16" s="35"/>
      <c r="AB16" s="35"/>
      <c r="AC16" s="35"/>
    </row>
    <row r="17" spans="2:29" s="1" customFormat="1" ht="10.15" customHeight="1" x14ac:dyDescent="0.25">
      <c r="B17" s="33"/>
      <c r="H17" s="35"/>
      <c r="I17" s="35"/>
      <c r="J17" s="34" t="s">
        <v>319</v>
      </c>
      <c r="K17" s="34" t="s">
        <v>319</v>
      </c>
      <c r="L17" s="34" t="s">
        <v>319</v>
      </c>
      <c r="M17" s="34" t="s">
        <v>320</v>
      </c>
      <c r="N17" s="34"/>
      <c r="O17" s="34" t="s">
        <v>320</v>
      </c>
      <c r="P17" s="34" t="s">
        <v>320</v>
      </c>
      <c r="Q17" s="34" t="s">
        <v>320</v>
      </c>
      <c r="R17" s="34"/>
      <c r="S17" s="34"/>
      <c r="T17" s="34" t="s">
        <v>320</v>
      </c>
      <c r="U17" s="34"/>
      <c r="V17" s="34" t="s">
        <v>339</v>
      </c>
      <c r="W17" s="34" t="s">
        <v>339</v>
      </c>
      <c r="X17" s="34" t="s">
        <v>340</v>
      </c>
      <c r="Y17" s="36"/>
      <c r="Z17" s="32"/>
      <c r="AA17" s="35"/>
      <c r="AB17" s="35"/>
      <c r="AC17" s="35"/>
    </row>
    <row r="18" spans="2:29" s="1" customFormat="1" ht="10.15" customHeight="1" x14ac:dyDescent="0.25">
      <c r="B18" s="33"/>
      <c r="H18" s="35"/>
      <c r="I18" s="35"/>
      <c r="J18" s="34"/>
      <c r="K18" s="34"/>
      <c r="L18" s="34"/>
      <c r="M18" s="34"/>
      <c r="N18" s="34"/>
      <c r="O18" s="34"/>
      <c r="P18" s="34"/>
      <c r="Q18" s="34"/>
      <c r="R18" s="34"/>
      <c r="S18" s="34"/>
      <c r="T18" s="34"/>
      <c r="U18" s="34"/>
      <c r="V18" s="34"/>
      <c r="W18" s="34"/>
      <c r="X18" s="34"/>
      <c r="Y18" s="36"/>
      <c r="Z18" s="32"/>
      <c r="AA18" s="35"/>
      <c r="AB18" s="35"/>
      <c r="AC18" s="35"/>
    </row>
    <row r="19" spans="2:29" s="1" customFormat="1" ht="10.15" customHeight="1" x14ac:dyDescent="0.25">
      <c r="B19" s="33"/>
      <c r="H19" s="35"/>
      <c r="I19" s="35"/>
      <c r="J19" s="34"/>
      <c r="K19" s="34"/>
      <c r="L19" s="34"/>
      <c r="M19" s="34"/>
      <c r="N19" s="34"/>
      <c r="O19" s="34"/>
      <c r="P19" s="34"/>
      <c r="Q19" s="34"/>
      <c r="R19" s="34"/>
      <c r="S19" s="34"/>
      <c r="T19" s="34"/>
      <c r="U19" s="34"/>
      <c r="V19" s="34"/>
      <c r="W19" s="34"/>
      <c r="X19" s="34"/>
      <c r="Y19" s="36"/>
      <c r="Z19" s="32"/>
      <c r="AA19" s="35"/>
      <c r="AB19" s="35"/>
      <c r="AC19" s="35"/>
    </row>
    <row r="20" spans="2:29" s="1" customFormat="1" ht="10.15" customHeight="1" x14ac:dyDescent="0.25">
      <c r="B20" s="33"/>
      <c r="H20" s="35"/>
      <c r="I20" s="35"/>
      <c r="J20" s="34"/>
      <c r="K20" s="34" t="s">
        <v>324</v>
      </c>
      <c r="L20" s="34" t="s">
        <v>324</v>
      </c>
      <c r="M20" s="34"/>
      <c r="N20" s="34"/>
      <c r="O20" s="34"/>
      <c r="P20" s="34"/>
      <c r="Q20" s="34"/>
      <c r="R20" s="34" t="s">
        <v>333</v>
      </c>
      <c r="S20" s="34" t="s">
        <v>333</v>
      </c>
      <c r="T20" s="34"/>
      <c r="U20" s="34"/>
      <c r="V20" s="34"/>
      <c r="W20" s="34"/>
      <c r="X20" s="34"/>
      <c r="Y20" s="36"/>
      <c r="Z20" s="32"/>
      <c r="AA20" s="35"/>
      <c r="AB20" s="35"/>
      <c r="AC20" s="35"/>
    </row>
    <row r="21" spans="2:29" s="1" customFormat="1" ht="10.15" customHeight="1" x14ac:dyDescent="0.25">
      <c r="B21" s="33"/>
      <c r="H21" s="35"/>
      <c r="I21" s="35"/>
      <c r="J21" s="34"/>
      <c r="K21" s="34"/>
      <c r="L21" s="34"/>
      <c r="M21" s="34"/>
      <c r="N21" s="34"/>
      <c r="O21" s="34"/>
      <c r="P21" s="34"/>
      <c r="Q21" s="34"/>
      <c r="R21" s="34"/>
      <c r="S21" s="34"/>
      <c r="T21" s="34"/>
      <c r="U21" s="34"/>
      <c r="V21" s="34"/>
      <c r="W21" s="34"/>
      <c r="X21" s="34"/>
      <c r="Y21" s="36"/>
      <c r="Z21" s="32"/>
      <c r="AA21" s="35"/>
      <c r="AB21" s="35"/>
      <c r="AC21" s="35"/>
    </row>
    <row r="22" spans="2:29" s="1" customFormat="1" ht="10.15" customHeight="1" x14ac:dyDescent="0.25">
      <c r="B22" s="39"/>
      <c r="C22" s="40"/>
      <c r="D22" s="40"/>
      <c r="E22" s="40"/>
      <c r="F22" s="40"/>
      <c r="G22" s="40"/>
      <c r="H22" s="41"/>
      <c r="I22" s="41"/>
      <c r="J22" s="41"/>
      <c r="K22" s="41"/>
      <c r="L22" s="41"/>
      <c r="M22" s="41"/>
      <c r="N22" s="41"/>
      <c r="O22" s="41"/>
      <c r="P22" s="41"/>
      <c r="Q22" s="41"/>
      <c r="R22" s="41"/>
      <c r="S22" s="41"/>
      <c r="T22" s="41"/>
      <c r="U22" s="41"/>
      <c r="V22" s="41"/>
      <c r="W22" s="41"/>
      <c r="X22" s="41"/>
      <c r="Y22" s="42"/>
      <c r="Z22" s="35"/>
      <c r="AA22" s="35"/>
      <c r="AB22" s="35"/>
      <c r="AC22" s="35"/>
    </row>
    <row r="23" spans="2:29" s="1" customFormat="1" ht="17.45" customHeight="1" x14ac:dyDescent="0.25">
      <c r="B23" s="43" t="s">
        <v>244</v>
      </c>
      <c r="C23" s="44"/>
      <c r="D23" s="44"/>
      <c r="E23" s="44"/>
      <c r="F23" s="44"/>
      <c r="G23" s="46"/>
      <c r="H23" s="235" t="s">
        <v>22</v>
      </c>
      <c r="I23" s="236"/>
      <c r="J23" s="236"/>
      <c r="K23" s="236"/>
      <c r="L23" s="237"/>
      <c r="N23" s="48"/>
      <c r="O23" s="48"/>
      <c r="P23" s="49"/>
      <c r="Q23" s="49"/>
      <c r="R23" s="49"/>
      <c r="S23" s="49"/>
      <c r="T23" s="49"/>
      <c r="U23" s="49"/>
      <c r="V23" s="49"/>
      <c r="W23" s="49"/>
      <c r="X23" s="49"/>
      <c r="Y23" s="35"/>
      <c r="Z23" s="35"/>
      <c r="AA23" s="35"/>
      <c r="AB23" s="35"/>
      <c r="AC23" s="35"/>
    </row>
    <row r="24" spans="2:29" s="1" customFormat="1" x14ac:dyDescent="0.25">
      <c r="B24" s="50" t="s">
        <v>245</v>
      </c>
      <c r="C24" s="51">
        <f>+SUM(G5:G10)</f>
        <v>55427</v>
      </c>
      <c r="D24" s="50" t="s">
        <v>246</v>
      </c>
      <c r="E24" s="55"/>
      <c r="F24" s="55"/>
      <c r="G24" s="56">
        <v>6.4063310875864407E-2</v>
      </c>
      <c r="H24" s="50" t="s">
        <v>247</v>
      </c>
      <c r="I24" s="57"/>
      <c r="J24" s="58">
        <f>+SUM(I5:I10)</f>
        <v>1919.4839999999997</v>
      </c>
      <c r="K24" s="50" t="s">
        <v>246</v>
      </c>
      <c r="L24" s="59">
        <v>0.81917906434844945</v>
      </c>
      <c r="N24" s="60"/>
      <c r="O24" s="60"/>
      <c r="P24" s="60"/>
      <c r="Q24" s="60"/>
      <c r="R24" s="61"/>
      <c r="S24" s="60"/>
      <c r="T24" s="60"/>
      <c r="V24" s="61"/>
      <c r="W24" s="61"/>
      <c r="X24" s="61"/>
    </row>
    <row r="25" spans="2:29" s="1" customFormat="1" x14ac:dyDescent="0.25">
      <c r="B25" s="62" t="s">
        <v>245</v>
      </c>
      <c r="C25" s="74">
        <f>+G5+G6+G12</f>
        <v>15856</v>
      </c>
      <c r="D25" s="62" t="s">
        <v>248</v>
      </c>
      <c r="E25" s="64"/>
      <c r="F25" s="64"/>
      <c r="G25" s="65">
        <v>3.3777925478091005E-2</v>
      </c>
      <c r="H25" s="62" t="s">
        <v>249</v>
      </c>
      <c r="I25" s="66"/>
      <c r="J25" s="67">
        <f>+I5+I6+I12</f>
        <v>1099.7199999999998</v>
      </c>
      <c r="K25" s="62" t="s">
        <v>248</v>
      </c>
      <c r="L25" s="68">
        <v>0.9155178155178153</v>
      </c>
      <c r="N25" s="60"/>
      <c r="O25" s="60"/>
      <c r="P25" s="60"/>
      <c r="Q25" s="60"/>
      <c r="R25" s="61"/>
      <c r="V25" s="61"/>
      <c r="W25" s="61"/>
      <c r="X25" s="61"/>
    </row>
    <row r="26" spans="2:29" s="1" customFormat="1" x14ac:dyDescent="0.25">
      <c r="B26" s="1" t="s">
        <v>250</v>
      </c>
    </row>
    <row r="27" spans="2:29" s="1" customFormat="1" x14ac:dyDescent="0.25"/>
  </sheetData>
  <mergeCells count="1">
    <mergeCell ref="H23:L23"/>
  </mergeCells>
  <conditionalFormatting sqref="J5:Z12">
    <cfRule type="containsBlanks" dxfId="44" priority="1">
      <formula>LEN(TRIM(J5))=0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534C3-21DA-4236-BA92-E2A3AE38A22E}">
  <sheetPr>
    <pageSetUpPr autoPageBreaks="0"/>
  </sheetPr>
  <dimension ref="A2:AG31"/>
  <sheetViews>
    <sheetView zoomScale="55" zoomScaleNormal="55" workbookViewId="0">
      <selection activeCell="K29" sqref="K29:K30"/>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11.42578125" style="1"/>
    <col min="6" max="6" width="24.140625" style="1" customWidth="1"/>
    <col min="7" max="7" width="12.28515625" style="1" customWidth="1"/>
    <col min="8" max="8" width="16.5703125" style="1" customWidth="1"/>
    <col min="9" max="9" width="11.42578125" style="1"/>
    <col min="10" max="10" width="15.5703125" style="1" customWidth="1"/>
    <col min="11" max="11" width="28.7109375" style="1" customWidth="1"/>
    <col min="12" max="12" width="43.140625" style="1" customWidth="1"/>
    <col min="13" max="13" width="34" style="1" customWidth="1"/>
    <col min="14" max="14" width="34.85546875" style="1" customWidth="1"/>
    <col min="15" max="15" width="18.5703125" style="1" customWidth="1"/>
    <col min="16" max="16" width="27.5703125" style="1" customWidth="1"/>
    <col min="17" max="17" width="25.85546875" style="1" customWidth="1"/>
    <col min="18" max="18" width="40.28515625" style="1" customWidth="1"/>
    <col min="19" max="19" width="22.28515625" style="1" customWidth="1"/>
    <col min="20" max="20" width="34.85546875" style="1" customWidth="1"/>
    <col min="21" max="21" width="32.28515625" style="1" customWidth="1"/>
    <col min="22" max="22" width="27.85546875" style="1" customWidth="1"/>
    <col min="23" max="23" width="33.140625" style="1" customWidth="1"/>
    <col min="24" max="24" width="28.28515625" style="1" customWidth="1"/>
    <col min="25" max="25" width="89.85546875" style="1" customWidth="1"/>
    <col min="26" max="27" width="11.42578125" style="1"/>
    <col min="28" max="28" width="6.7109375" style="1" customWidth="1"/>
    <col min="29" max="33" width="11.42578125" style="1"/>
  </cols>
  <sheetData>
    <row r="2" spans="2:25" s="1" customFormat="1" x14ac:dyDescent="0.25">
      <c r="B2" s="1" t="s">
        <v>0</v>
      </c>
    </row>
    <row r="3" spans="2:25" s="1" customFormat="1" x14ac:dyDescent="0.25">
      <c r="M3" s="1" t="s">
        <v>1</v>
      </c>
    </row>
    <row r="4" spans="2:25" s="1" customFormat="1" ht="25.15" customHeight="1" x14ac:dyDescent="0.25">
      <c r="B4" s="2" t="s">
        <v>2</v>
      </c>
      <c r="C4" s="3" t="s">
        <v>3</v>
      </c>
      <c r="D4" s="3" t="s">
        <v>4</v>
      </c>
      <c r="E4" s="3" t="s">
        <v>5</v>
      </c>
      <c r="F4" s="3" t="s">
        <v>6</v>
      </c>
      <c r="G4" s="3" t="s">
        <v>7</v>
      </c>
      <c r="H4" s="3" t="s">
        <v>8</v>
      </c>
      <c r="I4" s="3" t="s">
        <v>9</v>
      </c>
      <c r="J4" s="3" t="s">
        <v>10</v>
      </c>
      <c r="K4" s="3" t="s">
        <v>11</v>
      </c>
      <c r="L4" s="3" t="s">
        <v>12</v>
      </c>
      <c r="M4" s="3" t="s">
        <v>13</v>
      </c>
      <c r="N4" s="3" t="s">
        <v>14</v>
      </c>
      <c r="O4" s="3" t="s">
        <v>15</v>
      </c>
      <c r="P4" s="3" t="s">
        <v>16</v>
      </c>
      <c r="Q4" s="3" t="s">
        <v>17</v>
      </c>
      <c r="R4" s="3" t="s">
        <v>18</v>
      </c>
      <c r="S4" s="3" t="s">
        <v>19</v>
      </c>
      <c r="T4" s="3" t="s">
        <v>20</v>
      </c>
      <c r="U4" s="3" t="s">
        <v>21</v>
      </c>
      <c r="V4" s="3" t="s">
        <v>22</v>
      </c>
      <c r="W4" s="3" t="s">
        <v>23</v>
      </c>
      <c r="X4" s="4" t="s">
        <v>24</v>
      </c>
      <c r="Y4" s="5" t="s">
        <v>25</v>
      </c>
    </row>
    <row r="5" spans="2:25" s="1" customFormat="1" ht="25.5" x14ac:dyDescent="0.25">
      <c r="B5" s="6">
        <v>1</v>
      </c>
      <c r="C5" s="7" t="s">
        <v>26</v>
      </c>
      <c r="D5" s="7" t="s">
        <v>27</v>
      </c>
      <c r="E5" s="7" t="s">
        <v>28</v>
      </c>
      <c r="F5" s="7" t="s">
        <v>29</v>
      </c>
      <c r="G5" s="7" t="s">
        <v>30</v>
      </c>
      <c r="H5" s="8">
        <v>119468</v>
      </c>
      <c r="I5" s="7" t="s">
        <v>31</v>
      </c>
      <c r="J5" s="9">
        <v>0</v>
      </c>
      <c r="K5" s="7" t="s">
        <v>32</v>
      </c>
      <c r="L5" s="7" t="s">
        <v>33</v>
      </c>
      <c r="M5" s="7" t="s">
        <v>34</v>
      </c>
      <c r="N5" s="7" t="s">
        <v>35</v>
      </c>
      <c r="O5" s="7" t="s">
        <v>36</v>
      </c>
      <c r="P5" s="10" t="s">
        <v>37</v>
      </c>
      <c r="Q5" s="7" t="s">
        <v>38</v>
      </c>
      <c r="R5" s="7" t="s">
        <v>39</v>
      </c>
      <c r="S5" s="7" t="s">
        <v>40</v>
      </c>
      <c r="T5" s="7" t="s">
        <v>41</v>
      </c>
      <c r="U5" s="7" t="s">
        <v>42</v>
      </c>
      <c r="V5" s="7" t="s">
        <v>43</v>
      </c>
      <c r="W5" s="7" t="s">
        <v>31</v>
      </c>
      <c r="X5" s="11" t="s">
        <v>31</v>
      </c>
      <c r="Y5" s="12" t="s">
        <v>44</v>
      </c>
    </row>
    <row r="6" spans="2:25" s="1" customFormat="1" ht="25.5" x14ac:dyDescent="0.25">
      <c r="B6" s="6">
        <v>2</v>
      </c>
      <c r="C6" s="7" t="s">
        <v>26</v>
      </c>
      <c r="D6" s="7" t="s">
        <v>45</v>
      </c>
      <c r="E6" s="7" t="s">
        <v>28</v>
      </c>
      <c r="F6" s="7" t="s">
        <v>46</v>
      </c>
      <c r="G6" s="7" t="s">
        <v>30</v>
      </c>
      <c r="H6" s="8">
        <f>70863+311+42175+463</f>
        <v>113812</v>
      </c>
      <c r="I6" s="7" t="s">
        <v>31</v>
      </c>
      <c r="J6" s="9">
        <v>0</v>
      </c>
      <c r="K6" s="7">
        <v>13.7</v>
      </c>
      <c r="L6" s="7" t="s">
        <v>47</v>
      </c>
      <c r="M6" s="7" t="s">
        <v>48</v>
      </c>
      <c r="N6" s="7" t="s">
        <v>49</v>
      </c>
      <c r="O6" s="7" t="s">
        <v>50</v>
      </c>
      <c r="P6" s="7" t="s">
        <v>51</v>
      </c>
      <c r="Q6" s="7" t="s">
        <v>52</v>
      </c>
      <c r="R6" s="7" t="s">
        <v>53</v>
      </c>
      <c r="S6" s="7" t="s">
        <v>54</v>
      </c>
      <c r="T6" s="7" t="s">
        <v>55</v>
      </c>
      <c r="U6" s="7" t="s">
        <v>56</v>
      </c>
      <c r="V6" s="7" t="s">
        <v>31</v>
      </c>
      <c r="W6" s="7" t="s">
        <v>57</v>
      </c>
      <c r="X6" s="11" t="s">
        <v>58</v>
      </c>
      <c r="Y6" s="12" t="s">
        <v>59</v>
      </c>
    </row>
    <row r="7" spans="2:25" s="1" customFormat="1" ht="38.25" x14ac:dyDescent="0.25">
      <c r="B7" s="6">
        <v>3</v>
      </c>
      <c r="C7" s="7" t="s">
        <v>26</v>
      </c>
      <c r="D7" s="7" t="s">
        <v>60</v>
      </c>
      <c r="E7" s="7" t="s">
        <v>28</v>
      </c>
      <c r="F7" s="7" t="s">
        <v>61</v>
      </c>
      <c r="G7" s="7" t="s">
        <v>30</v>
      </c>
      <c r="H7" s="8">
        <f>48029+1218+17954+419</f>
        <v>67620</v>
      </c>
      <c r="I7" s="7">
        <v>0</v>
      </c>
      <c r="J7" s="9">
        <v>8</v>
      </c>
      <c r="K7" s="7" t="s">
        <v>62</v>
      </c>
      <c r="L7" s="7" t="s">
        <v>63</v>
      </c>
      <c r="M7" s="7" t="s">
        <v>64</v>
      </c>
      <c r="N7" s="7" t="s">
        <v>65</v>
      </c>
      <c r="O7" s="7" t="s">
        <v>66</v>
      </c>
      <c r="P7" s="7" t="s">
        <v>67</v>
      </c>
      <c r="Q7" s="7" t="s">
        <v>68</v>
      </c>
      <c r="R7" s="13" t="s">
        <v>69</v>
      </c>
      <c r="S7" s="7" t="s">
        <v>70</v>
      </c>
      <c r="T7" s="7" t="s">
        <v>71</v>
      </c>
      <c r="U7" s="7" t="s">
        <v>72</v>
      </c>
      <c r="V7" s="7" t="s">
        <v>73</v>
      </c>
      <c r="W7" s="7" t="s">
        <v>74</v>
      </c>
      <c r="X7" s="11" t="s">
        <v>75</v>
      </c>
      <c r="Y7" s="12" t="s">
        <v>76</v>
      </c>
    </row>
    <row r="8" spans="2:25" s="1" customFormat="1" ht="38.25" x14ac:dyDescent="0.25">
      <c r="B8" s="6">
        <v>4</v>
      </c>
      <c r="C8" s="7" t="s">
        <v>77</v>
      </c>
      <c r="D8" s="7" t="s">
        <v>78</v>
      </c>
      <c r="E8" s="7" t="s">
        <v>79</v>
      </c>
      <c r="F8" s="7" t="s">
        <v>80</v>
      </c>
      <c r="G8" s="7" t="s">
        <v>30</v>
      </c>
      <c r="H8" s="8">
        <f>31772+13429</f>
        <v>45201</v>
      </c>
      <c r="I8" s="7">
        <v>3.6509999999999998</v>
      </c>
      <c r="J8" s="9">
        <v>6.44</v>
      </c>
      <c r="K8" s="7" t="s">
        <v>81</v>
      </c>
      <c r="L8" s="7" t="s">
        <v>82</v>
      </c>
      <c r="M8" s="7" t="s">
        <v>83</v>
      </c>
      <c r="N8" s="7" t="s">
        <v>84</v>
      </c>
      <c r="O8" s="7" t="s">
        <v>85</v>
      </c>
      <c r="P8" s="7" t="s">
        <v>86</v>
      </c>
      <c r="Q8" s="7" t="s">
        <v>87</v>
      </c>
      <c r="R8" s="7" t="s">
        <v>88</v>
      </c>
      <c r="S8" s="7"/>
      <c r="T8" s="7" t="s">
        <v>89</v>
      </c>
      <c r="U8" s="7" t="s">
        <v>90</v>
      </c>
      <c r="V8" s="7" t="s">
        <v>91</v>
      </c>
      <c r="W8" s="7" t="s">
        <v>92</v>
      </c>
      <c r="X8" s="11" t="s">
        <v>31</v>
      </c>
      <c r="Y8" s="12" t="s">
        <v>93</v>
      </c>
    </row>
    <row r="9" spans="2:25" s="1" customFormat="1" ht="25.5" x14ac:dyDescent="0.25">
      <c r="B9" s="6">
        <v>5</v>
      </c>
      <c r="C9" s="7" t="s">
        <v>26</v>
      </c>
      <c r="D9" s="7" t="s">
        <v>27</v>
      </c>
      <c r="E9" s="7" t="s">
        <v>28</v>
      </c>
      <c r="F9" s="7" t="s">
        <v>94</v>
      </c>
      <c r="G9" s="7" t="s">
        <v>95</v>
      </c>
      <c r="H9" s="8">
        <v>43882</v>
      </c>
      <c r="I9" s="7"/>
      <c r="J9" s="9">
        <v>0</v>
      </c>
      <c r="K9" s="7" t="s">
        <v>96</v>
      </c>
      <c r="L9" s="14" t="s">
        <v>97</v>
      </c>
      <c r="M9" s="7" t="s">
        <v>98</v>
      </c>
      <c r="N9" s="7" t="s">
        <v>35</v>
      </c>
      <c r="O9" s="7" t="s">
        <v>99</v>
      </c>
      <c r="P9" s="7" t="s">
        <v>100</v>
      </c>
      <c r="Q9" s="7" t="s">
        <v>101</v>
      </c>
      <c r="R9" s="7" t="s">
        <v>102</v>
      </c>
      <c r="S9" s="7" t="s">
        <v>40</v>
      </c>
      <c r="T9" s="7" t="s">
        <v>103</v>
      </c>
      <c r="U9" s="7" t="s">
        <v>104</v>
      </c>
      <c r="V9" s="7" t="s">
        <v>105</v>
      </c>
      <c r="W9" s="7" t="s">
        <v>31</v>
      </c>
      <c r="X9" s="11" t="s">
        <v>106</v>
      </c>
      <c r="Y9" s="12" t="s">
        <v>107</v>
      </c>
    </row>
    <row r="10" spans="2:25" s="1" customFormat="1" ht="38.25" x14ac:dyDescent="0.25">
      <c r="B10" s="6">
        <v>7</v>
      </c>
      <c r="C10" s="7" t="s">
        <v>108</v>
      </c>
      <c r="D10" s="7" t="s">
        <v>108</v>
      </c>
      <c r="E10" s="7" t="s">
        <v>109</v>
      </c>
      <c r="F10" s="7" t="s">
        <v>110</v>
      </c>
      <c r="G10" s="7" t="s">
        <v>111</v>
      </c>
      <c r="H10" s="8">
        <f>21083+52</f>
        <v>21135</v>
      </c>
      <c r="I10" s="7">
        <v>0</v>
      </c>
      <c r="J10" s="9">
        <v>1.21</v>
      </c>
      <c r="K10" s="7">
        <v>29</v>
      </c>
      <c r="L10" s="7">
        <v>4</v>
      </c>
      <c r="M10" s="7" t="s">
        <v>112</v>
      </c>
      <c r="N10" s="7" t="s">
        <v>113</v>
      </c>
      <c r="O10" s="7">
        <v>24</v>
      </c>
      <c r="P10" s="7" t="s">
        <v>114</v>
      </c>
      <c r="Q10" s="7" t="s">
        <v>115</v>
      </c>
      <c r="R10" s="7" t="s">
        <v>116</v>
      </c>
      <c r="S10" s="7" t="s">
        <v>117</v>
      </c>
      <c r="T10" s="7" t="s">
        <v>118</v>
      </c>
      <c r="U10" s="15" t="s">
        <v>119</v>
      </c>
      <c r="V10" s="7" t="s">
        <v>120</v>
      </c>
      <c r="W10" s="7" t="s">
        <v>121</v>
      </c>
      <c r="X10" s="11" t="s">
        <v>31</v>
      </c>
      <c r="Y10" s="12" t="s">
        <v>122</v>
      </c>
    </row>
    <row r="11" spans="2:25" s="1" customFormat="1" ht="38.25" x14ac:dyDescent="0.25">
      <c r="B11" s="6">
        <v>9</v>
      </c>
      <c r="C11" s="7" t="s">
        <v>123</v>
      </c>
      <c r="D11" s="7" t="s">
        <v>124</v>
      </c>
      <c r="E11" s="7" t="s">
        <v>79</v>
      </c>
      <c r="F11" s="7" t="s">
        <v>125</v>
      </c>
      <c r="G11" s="7" t="s">
        <v>30</v>
      </c>
      <c r="H11" s="8">
        <f>10126+4661</f>
        <v>14787</v>
      </c>
      <c r="I11" s="7">
        <v>1.68</v>
      </c>
      <c r="J11" s="9">
        <v>4.13</v>
      </c>
      <c r="K11" s="7">
        <v>21</v>
      </c>
      <c r="L11" s="7" t="s">
        <v>126</v>
      </c>
      <c r="M11" s="7" t="s">
        <v>127</v>
      </c>
      <c r="N11" s="7" t="s">
        <v>128</v>
      </c>
      <c r="O11" s="7" t="s">
        <v>129</v>
      </c>
      <c r="P11" s="7" t="s">
        <v>130</v>
      </c>
      <c r="Q11" s="7" t="s">
        <v>131</v>
      </c>
      <c r="R11" s="7" t="s">
        <v>132</v>
      </c>
      <c r="S11" s="7" t="s">
        <v>133</v>
      </c>
      <c r="T11" s="7" t="s">
        <v>55</v>
      </c>
      <c r="U11" s="7" t="s">
        <v>134</v>
      </c>
      <c r="V11" s="7"/>
      <c r="W11" s="7" t="s">
        <v>135</v>
      </c>
      <c r="X11" s="11" t="s">
        <v>136</v>
      </c>
      <c r="Y11" s="12" t="s">
        <v>137</v>
      </c>
    </row>
    <row r="12" spans="2:25" s="1" customFormat="1" ht="51" x14ac:dyDescent="0.25">
      <c r="B12" s="6">
        <v>10</v>
      </c>
      <c r="C12" s="7" t="s">
        <v>138</v>
      </c>
      <c r="D12" s="7" t="s">
        <v>139</v>
      </c>
      <c r="E12" s="7" t="s">
        <v>79</v>
      </c>
      <c r="F12" s="14" t="s">
        <v>140</v>
      </c>
      <c r="G12" s="7" t="s">
        <v>30</v>
      </c>
      <c r="H12" s="8">
        <f>10799+2063</f>
        <v>12862</v>
      </c>
      <c r="I12" s="7">
        <v>0</v>
      </c>
      <c r="J12" s="9">
        <v>1.48</v>
      </c>
      <c r="K12" s="7">
        <v>21</v>
      </c>
      <c r="L12" s="7">
        <v>39</v>
      </c>
      <c r="M12" s="7" t="s">
        <v>141</v>
      </c>
      <c r="N12" s="7" t="s">
        <v>142</v>
      </c>
      <c r="O12" s="7">
        <v>0.2</v>
      </c>
      <c r="P12" s="7" t="s">
        <v>143</v>
      </c>
      <c r="Q12" s="7" t="s">
        <v>144</v>
      </c>
      <c r="R12" s="16" t="s">
        <v>145</v>
      </c>
      <c r="S12" s="7" t="s">
        <v>146</v>
      </c>
      <c r="T12" s="7" t="s">
        <v>147</v>
      </c>
      <c r="U12" s="7" t="s">
        <v>148</v>
      </c>
      <c r="V12" s="7"/>
      <c r="W12" s="7" t="s">
        <v>149</v>
      </c>
      <c r="X12" s="11" t="s">
        <v>136</v>
      </c>
      <c r="Y12" s="12" t="s">
        <v>150</v>
      </c>
    </row>
    <row r="13" spans="2:25" s="1" customFormat="1" ht="38.25" x14ac:dyDescent="0.25">
      <c r="B13" s="17">
        <v>11</v>
      </c>
      <c r="C13" s="18" t="s">
        <v>151</v>
      </c>
      <c r="D13" s="18" t="s">
        <v>152</v>
      </c>
      <c r="E13" s="18" t="s">
        <v>79</v>
      </c>
      <c r="F13" s="18" t="s">
        <v>153</v>
      </c>
      <c r="G13" s="18" t="s">
        <v>154</v>
      </c>
      <c r="H13" s="19">
        <v>11114</v>
      </c>
      <c r="I13" s="18">
        <v>0</v>
      </c>
      <c r="J13" s="20">
        <v>0.9</v>
      </c>
      <c r="K13" s="18">
        <v>13</v>
      </c>
      <c r="L13" s="18" t="s">
        <v>155</v>
      </c>
      <c r="M13" s="18" t="s">
        <v>156</v>
      </c>
      <c r="N13" s="18" t="s">
        <v>157</v>
      </c>
      <c r="O13" s="18" t="s">
        <v>158</v>
      </c>
      <c r="P13" s="18" t="s">
        <v>159</v>
      </c>
      <c r="Q13" s="18" t="s">
        <v>160</v>
      </c>
      <c r="R13" s="18" t="s">
        <v>161</v>
      </c>
      <c r="S13" s="18" t="s">
        <v>162</v>
      </c>
      <c r="T13" s="18" t="s">
        <v>163</v>
      </c>
      <c r="U13" s="18" t="s">
        <v>31</v>
      </c>
      <c r="V13" s="18" t="s">
        <v>31</v>
      </c>
      <c r="W13" s="18" t="s">
        <v>31</v>
      </c>
      <c r="X13" s="21" t="s">
        <v>164</v>
      </c>
      <c r="Y13" s="22" t="s">
        <v>165</v>
      </c>
    </row>
    <row r="14" spans="2:25" s="1" customFormat="1" ht="25.5" x14ac:dyDescent="0.25">
      <c r="B14" s="23">
        <v>6</v>
      </c>
      <c r="C14" s="24" t="s">
        <v>166</v>
      </c>
      <c r="D14" s="24"/>
      <c r="E14" s="24" t="s">
        <v>28</v>
      </c>
      <c r="F14" s="24" t="s">
        <v>167</v>
      </c>
      <c r="G14" s="24" t="s">
        <v>168</v>
      </c>
      <c r="H14" s="25">
        <f>20741+20082</f>
        <v>40823</v>
      </c>
      <c r="I14" s="24">
        <v>0</v>
      </c>
      <c r="J14" s="24">
        <v>0</v>
      </c>
      <c r="K14" s="24" t="s">
        <v>169</v>
      </c>
      <c r="L14" s="24"/>
      <c r="M14" s="24" t="s">
        <v>170</v>
      </c>
      <c r="N14" s="24"/>
      <c r="O14" s="24"/>
      <c r="P14" s="24"/>
      <c r="Q14" s="24"/>
      <c r="R14" s="24"/>
      <c r="S14" s="24"/>
      <c r="T14" s="24"/>
      <c r="U14" s="24"/>
      <c r="V14" s="24"/>
      <c r="W14" s="24"/>
      <c r="X14" s="26"/>
      <c r="Y14" s="12" t="s">
        <v>31</v>
      </c>
    </row>
    <row r="15" spans="2:25" s="1" customFormat="1" x14ac:dyDescent="0.25">
      <c r="B15" s="23">
        <v>8</v>
      </c>
      <c r="C15" s="24" t="s">
        <v>171</v>
      </c>
      <c r="D15" s="24"/>
      <c r="E15" s="24" t="s">
        <v>79</v>
      </c>
      <c r="F15" s="24" t="s">
        <v>172</v>
      </c>
      <c r="G15" s="24" t="s">
        <v>173</v>
      </c>
      <c r="H15" s="25">
        <f>18735+4</f>
        <v>18739</v>
      </c>
      <c r="I15" s="24">
        <v>0</v>
      </c>
      <c r="J15" s="24">
        <v>4.4800000000000004</v>
      </c>
      <c r="K15" s="24">
        <v>16.600000000000001</v>
      </c>
      <c r="L15" s="24" t="s">
        <v>174</v>
      </c>
      <c r="M15" s="24" t="s">
        <v>175</v>
      </c>
      <c r="N15" s="24" t="s">
        <v>176</v>
      </c>
      <c r="O15" s="24" t="s">
        <v>177</v>
      </c>
      <c r="P15" s="24" t="s">
        <v>178</v>
      </c>
      <c r="Q15" s="24"/>
      <c r="R15" s="24"/>
      <c r="S15" s="24"/>
      <c r="T15" s="24" t="s">
        <v>55</v>
      </c>
      <c r="U15" s="24"/>
      <c r="V15" s="24"/>
      <c r="W15" s="24" t="s">
        <v>179</v>
      </c>
      <c r="X15" s="26" t="s">
        <v>31</v>
      </c>
      <c r="Y15" s="12" t="s">
        <v>180</v>
      </c>
    </row>
    <row r="16" spans="2:25" s="1" customFormat="1" ht="11.45" customHeight="1" x14ac:dyDescent="0.25">
      <c r="B16" s="27" t="s">
        <v>181</v>
      </c>
      <c r="C16" s="28"/>
      <c r="D16" s="28"/>
      <c r="E16" s="29"/>
      <c r="F16" s="28"/>
      <c r="G16" s="28"/>
      <c r="H16" s="28"/>
      <c r="I16" s="30"/>
      <c r="J16" s="30"/>
      <c r="K16" s="29" t="s">
        <v>182</v>
      </c>
      <c r="L16" s="29" t="s">
        <v>182</v>
      </c>
      <c r="M16" s="29" t="s">
        <v>183</v>
      </c>
      <c r="N16" s="29" t="s">
        <v>182</v>
      </c>
      <c r="O16" s="29" t="s">
        <v>184</v>
      </c>
      <c r="P16" s="29" t="s">
        <v>184</v>
      </c>
      <c r="Q16" s="29" t="s">
        <v>182</v>
      </c>
      <c r="R16" s="29" t="s">
        <v>182</v>
      </c>
      <c r="S16" s="29" t="s">
        <v>182</v>
      </c>
      <c r="T16" s="29" t="s">
        <v>185</v>
      </c>
      <c r="U16" s="29" t="s">
        <v>184</v>
      </c>
      <c r="V16" s="29" t="s">
        <v>186</v>
      </c>
      <c r="W16" s="29"/>
      <c r="X16" s="31"/>
      <c r="Y16" s="32"/>
    </row>
    <row r="17" spans="2:28" s="1" customFormat="1" ht="10.15" customHeight="1" x14ac:dyDescent="0.25">
      <c r="B17" s="33" t="s">
        <v>187</v>
      </c>
      <c r="E17" s="34"/>
      <c r="I17" s="35"/>
      <c r="J17" s="35"/>
      <c r="K17" s="34" t="s">
        <v>188</v>
      </c>
      <c r="L17" s="34" t="s">
        <v>189</v>
      </c>
      <c r="M17" s="34" t="s">
        <v>188</v>
      </c>
      <c r="N17" s="34" t="s">
        <v>188</v>
      </c>
      <c r="O17" s="34" t="s">
        <v>188</v>
      </c>
      <c r="P17" s="34" t="s">
        <v>190</v>
      </c>
      <c r="Q17" s="34" t="s">
        <v>188</v>
      </c>
      <c r="R17" s="34" t="s">
        <v>188</v>
      </c>
      <c r="S17" s="34" t="s">
        <v>188</v>
      </c>
      <c r="T17" s="34" t="s">
        <v>191</v>
      </c>
      <c r="U17" s="34" t="s">
        <v>188</v>
      </c>
      <c r="V17" s="34"/>
      <c r="W17" s="34" t="s">
        <v>192</v>
      </c>
      <c r="X17" s="36" t="s">
        <v>31</v>
      </c>
      <c r="Y17" s="32"/>
      <c r="AA17" s="35"/>
      <c r="AB17" s="35"/>
    </row>
    <row r="18" spans="2:28" s="1" customFormat="1" ht="10.15" customHeight="1" x14ac:dyDescent="0.25">
      <c r="B18" s="33" t="s">
        <v>193</v>
      </c>
      <c r="E18" s="34"/>
      <c r="I18" s="35"/>
      <c r="J18" s="35"/>
      <c r="K18" s="34" t="s">
        <v>194</v>
      </c>
      <c r="L18" s="34" t="s">
        <v>195</v>
      </c>
      <c r="M18" s="34" t="s">
        <v>194</v>
      </c>
      <c r="N18" s="34" t="s">
        <v>194</v>
      </c>
      <c r="O18" s="34" t="s">
        <v>196</v>
      </c>
      <c r="P18" s="34" t="s">
        <v>196</v>
      </c>
      <c r="Q18" s="34" t="s">
        <v>197</v>
      </c>
      <c r="R18" s="34" t="s">
        <v>197</v>
      </c>
      <c r="S18" s="34" t="s">
        <v>198</v>
      </c>
      <c r="T18" s="34" t="s">
        <v>199</v>
      </c>
      <c r="U18" s="34" t="s">
        <v>197</v>
      </c>
      <c r="V18" s="34" t="s">
        <v>197</v>
      </c>
      <c r="W18" s="34" t="s">
        <v>200</v>
      </c>
      <c r="X18" s="36" t="s">
        <v>201</v>
      </c>
      <c r="Y18" s="32"/>
      <c r="Z18" s="35"/>
      <c r="AA18" s="35"/>
      <c r="AB18" s="35"/>
    </row>
    <row r="19" spans="2:28" s="1" customFormat="1" ht="10.15" customHeight="1" x14ac:dyDescent="0.25">
      <c r="B19" s="33" t="s">
        <v>202</v>
      </c>
      <c r="E19" s="34"/>
      <c r="I19" s="35"/>
      <c r="J19" s="35"/>
      <c r="K19" s="34" t="s">
        <v>203</v>
      </c>
      <c r="L19" s="34" t="s">
        <v>203</v>
      </c>
      <c r="M19" s="34" t="s">
        <v>204</v>
      </c>
      <c r="N19" s="34" t="s">
        <v>203</v>
      </c>
      <c r="O19" s="34" t="s">
        <v>203</v>
      </c>
      <c r="P19" s="34" t="s">
        <v>203</v>
      </c>
      <c r="Q19" s="34" t="s">
        <v>205</v>
      </c>
      <c r="R19" s="34" t="s">
        <v>206</v>
      </c>
      <c r="S19" s="34"/>
      <c r="T19" s="34" t="s">
        <v>204</v>
      </c>
      <c r="U19" s="34" t="s">
        <v>207</v>
      </c>
      <c r="V19" s="34" t="s">
        <v>203</v>
      </c>
      <c r="W19" s="34" t="s">
        <v>208</v>
      </c>
      <c r="X19" s="36"/>
      <c r="Y19" s="32"/>
      <c r="Z19" s="35"/>
      <c r="AA19" s="35"/>
      <c r="AB19" s="35"/>
    </row>
    <row r="20" spans="2:28" s="1" customFormat="1" ht="10.15" customHeight="1" x14ac:dyDescent="0.25">
      <c r="B20" s="33" t="s">
        <v>209</v>
      </c>
      <c r="E20" s="34"/>
      <c r="I20" s="35"/>
      <c r="J20" s="35"/>
      <c r="K20" s="34" t="s">
        <v>210</v>
      </c>
      <c r="L20" s="34" t="s">
        <v>211</v>
      </c>
      <c r="M20" s="34" t="s">
        <v>211</v>
      </c>
      <c r="N20" s="34" t="s">
        <v>210</v>
      </c>
      <c r="O20" s="34" t="s">
        <v>210</v>
      </c>
      <c r="P20" s="34" t="s">
        <v>210</v>
      </c>
      <c r="Q20" s="34" t="s">
        <v>210</v>
      </c>
      <c r="R20" s="34" t="s">
        <v>212</v>
      </c>
      <c r="S20" s="34" t="s">
        <v>211</v>
      </c>
      <c r="T20" s="34" t="s">
        <v>213</v>
      </c>
      <c r="U20" s="34" t="s">
        <v>214</v>
      </c>
      <c r="V20" s="34" t="s">
        <v>215</v>
      </c>
      <c r="W20" s="34" t="s">
        <v>31</v>
      </c>
      <c r="X20" s="36" t="s">
        <v>215</v>
      </c>
      <c r="Y20" s="32"/>
      <c r="Z20" s="35"/>
      <c r="AA20" s="35"/>
      <c r="AB20" s="35"/>
    </row>
    <row r="21" spans="2:28" s="1" customFormat="1" ht="10.15" customHeight="1" x14ac:dyDescent="0.25">
      <c r="B21" s="33" t="s">
        <v>216</v>
      </c>
      <c r="E21" s="34" t="s">
        <v>217</v>
      </c>
      <c r="I21" s="35"/>
      <c r="J21" s="35"/>
      <c r="K21" s="34" t="s">
        <v>217</v>
      </c>
      <c r="L21" s="34" t="s">
        <v>217</v>
      </c>
      <c r="M21" s="34" t="s">
        <v>217</v>
      </c>
      <c r="N21" s="34" t="s">
        <v>218</v>
      </c>
      <c r="O21" s="34" t="s">
        <v>217</v>
      </c>
      <c r="P21" s="34" t="s">
        <v>217</v>
      </c>
      <c r="Q21" s="34" t="s">
        <v>217</v>
      </c>
      <c r="R21" s="34" t="s">
        <v>217</v>
      </c>
      <c r="S21" s="34" t="s">
        <v>217</v>
      </c>
      <c r="T21" s="34" t="s">
        <v>218</v>
      </c>
      <c r="U21" s="34" t="s">
        <v>219</v>
      </c>
      <c r="V21" s="34" t="s">
        <v>217</v>
      </c>
      <c r="W21" s="34" t="s">
        <v>220</v>
      </c>
      <c r="X21" s="36"/>
      <c r="Y21" s="32"/>
      <c r="Z21" s="35"/>
      <c r="AA21" s="35"/>
      <c r="AB21" s="35"/>
    </row>
    <row r="22" spans="2:28" s="1" customFormat="1" ht="10.15" customHeight="1" x14ac:dyDescent="0.25">
      <c r="B22" s="33" t="s">
        <v>221</v>
      </c>
      <c r="E22" s="34"/>
      <c r="I22" s="35"/>
      <c r="J22" s="35"/>
      <c r="K22" s="34">
        <v>7</v>
      </c>
      <c r="L22" s="34"/>
      <c r="M22" s="34" t="s">
        <v>222</v>
      </c>
      <c r="N22" s="34"/>
      <c r="O22" s="34"/>
      <c r="P22" s="34"/>
      <c r="Q22" s="34"/>
      <c r="R22" s="34"/>
      <c r="S22" s="34"/>
      <c r="T22" s="34"/>
      <c r="U22" s="34"/>
      <c r="V22" s="34"/>
      <c r="W22" s="34"/>
      <c r="X22" s="36"/>
      <c r="Y22" s="32"/>
      <c r="Z22" s="35"/>
      <c r="AA22" s="35"/>
      <c r="AB22" s="35"/>
    </row>
    <row r="23" spans="2:28" s="1" customFormat="1" ht="10.15" customHeight="1" x14ac:dyDescent="0.25">
      <c r="B23" s="33"/>
      <c r="E23" s="34"/>
      <c r="I23" s="35"/>
      <c r="J23" s="35"/>
      <c r="K23" s="34" t="s">
        <v>223</v>
      </c>
      <c r="L23" s="34" t="s">
        <v>224</v>
      </c>
      <c r="M23" s="34" t="s">
        <v>225</v>
      </c>
      <c r="N23" s="34" t="s">
        <v>226</v>
      </c>
      <c r="O23" s="34" t="s">
        <v>226</v>
      </c>
      <c r="P23" s="34" t="s">
        <v>226</v>
      </c>
      <c r="Q23" s="34"/>
      <c r="R23" s="34"/>
      <c r="S23" s="34"/>
      <c r="T23" s="34" t="s">
        <v>225</v>
      </c>
      <c r="U23" s="34"/>
      <c r="V23" s="34" t="s">
        <v>225</v>
      </c>
      <c r="W23" s="34" t="s">
        <v>224</v>
      </c>
      <c r="X23" s="36"/>
      <c r="Y23" s="32"/>
      <c r="Z23" s="35"/>
      <c r="AA23" s="35"/>
      <c r="AB23" s="35"/>
    </row>
    <row r="24" spans="2:28" s="1" customFormat="1" ht="10.15" customHeight="1" x14ac:dyDescent="0.25">
      <c r="B24" s="33" t="s">
        <v>227</v>
      </c>
      <c r="E24" s="34"/>
      <c r="I24" s="35"/>
      <c r="J24" s="35"/>
      <c r="K24" s="34" t="s">
        <v>228</v>
      </c>
      <c r="L24" s="34" t="s">
        <v>228</v>
      </c>
      <c r="M24" s="34" t="s">
        <v>229</v>
      </c>
      <c r="N24" s="34" t="s">
        <v>229</v>
      </c>
      <c r="O24" s="34" t="s">
        <v>228</v>
      </c>
      <c r="P24" s="34" t="s">
        <v>228</v>
      </c>
      <c r="Q24" s="34" t="s">
        <v>230</v>
      </c>
      <c r="R24" s="34" t="s">
        <v>231</v>
      </c>
      <c r="S24" s="34" t="s">
        <v>232</v>
      </c>
      <c r="T24" s="34" t="s">
        <v>231</v>
      </c>
      <c r="U24" s="34"/>
      <c r="V24" s="34"/>
      <c r="W24" s="34" t="s">
        <v>232</v>
      </c>
      <c r="X24" s="36" t="s">
        <v>233</v>
      </c>
      <c r="Y24" s="32"/>
      <c r="Z24" s="35"/>
      <c r="AA24" s="35"/>
      <c r="AB24" s="35"/>
    </row>
    <row r="25" spans="2:28" s="1" customFormat="1" ht="10.15" customHeight="1" x14ac:dyDescent="0.25">
      <c r="B25" s="33"/>
      <c r="E25" s="34"/>
      <c r="I25" s="35"/>
      <c r="J25" s="35"/>
      <c r="K25" s="34" t="s">
        <v>234</v>
      </c>
      <c r="L25" s="34" t="s">
        <v>234</v>
      </c>
      <c r="M25" s="37" t="s">
        <v>234</v>
      </c>
      <c r="N25" s="34" t="s">
        <v>235</v>
      </c>
      <c r="O25" s="34" t="s">
        <v>236</v>
      </c>
      <c r="P25" s="34" t="s">
        <v>234</v>
      </c>
      <c r="Q25" s="34" t="s">
        <v>237</v>
      </c>
      <c r="R25" s="34" t="s">
        <v>238</v>
      </c>
      <c r="S25" s="34" t="s">
        <v>235</v>
      </c>
      <c r="T25" s="34" t="s">
        <v>238</v>
      </c>
      <c r="U25" s="34" t="s">
        <v>239</v>
      </c>
      <c r="V25" s="34"/>
      <c r="W25" s="34" t="s">
        <v>240</v>
      </c>
      <c r="X25" s="36" t="s">
        <v>234</v>
      </c>
      <c r="Y25" s="32"/>
      <c r="Z25" s="35"/>
      <c r="AA25" s="35"/>
      <c r="AB25" s="35"/>
    </row>
    <row r="26" spans="2:28" s="1" customFormat="1" ht="10.15" customHeight="1" x14ac:dyDescent="0.25">
      <c r="B26" s="33"/>
      <c r="E26" s="37"/>
      <c r="I26" s="35"/>
      <c r="J26" s="35"/>
      <c r="K26" s="37" t="s">
        <v>241</v>
      </c>
      <c r="L26" s="37" t="s">
        <v>241</v>
      </c>
      <c r="M26" s="37" t="s">
        <v>241</v>
      </c>
      <c r="N26" s="37"/>
      <c r="O26" s="37" t="s">
        <v>241</v>
      </c>
      <c r="P26" s="37" t="s">
        <v>241</v>
      </c>
      <c r="Q26" s="37" t="s">
        <v>241</v>
      </c>
      <c r="R26" s="37" t="s">
        <v>241</v>
      </c>
      <c r="S26" s="37" t="s">
        <v>242</v>
      </c>
      <c r="T26" s="37" t="s">
        <v>243</v>
      </c>
      <c r="U26" s="37"/>
      <c r="V26" s="37"/>
      <c r="W26" s="37"/>
      <c r="X26" s="38" t="s">
        <v>241</v>
      </c>
      <c r="Y26" s="35"/>
      <c r="Z26" s="35"/>
      <c r="AA26" s="35"/>
      <c r="AB26" s="35"/>
    </row>
    <row r="27" spans="2:28" s="1" customFormat="1" ht="10.15" customHeight="1" x14ac:dyDescent="0.25">
      <c r="B27" s="39"/>
      <c r="C27" s="40"/>
      <c r="D27" s="40"/>
      <c r="E27" s="41"/>
      <c r="F27" s="40"/>
      <c r="G27" s="40"/>
      <c r="H27" s="40"/>
      <c r="I27" s="41"/>
      <c r="J27" s="41"/>
      <c r="K27" s="41"/>
      <c r="L27" s="41"/>
      <c r="M27" s="41"/>
      <c r="N27" s="41"/>
      <c r="O27" s="41"/>
      <c r="P27" s="41"/>
      <c r="Q27" s="41"/>
      <c r="R27" s="41"/>
      <c r="S27" s="41"/>
      <c r="T27" s="41"/>
      <c r="U27" s="41"/>
      <c r="V27" s="41"/>
      <c r="W27" s="41"/>
      <c r="X27" s="42"/>
      <c r="Y27" s="35"/>
      <c r="Z27" s="35"/>
      <c r="AA27" s="35"/>
      <c r="AB27" s="35"/>
    </row>
    <row r="28" spans="2:28" s="1" customFormat="1" ht="17.45" customHeight="1" x14ac:dyDescent="0.25">
      <c r="B28" s="43" t="s">
        <v>244</v>
      </c>
      <c r="C28" s="44"/>
      <c r="D28" s="238"/>
      <c r="E28" s="238"/>
      <c r="F28" s="45"/>
      <c r="G28" s="44"/>
      <c r="H28" s="46"/>
      <c r="I28" s="47"/>
      <c r="J28" s="236" t="s">
        <v>22</v>
      </c>
      <c r="K28" s="236"/>
      <c r="L28" s="236"/>
      <c r="M28" s="237"/>
      <c r="N28" s="48"/>
      <c r="O28" s="49"/>
      <c r="P28" s="49"/>
      <c r="Q28" s="49"/>
      <c r="R28" s="49"/>
      <c r="S28" s="49"/>
      <c r="T28" s="49"/>
      <c r="U28" s="49"/>
      <c r="V28" s="49"/>
      <c r="W28" s="49"/>
      <c r="X28" s="35"/>
      <c r="Y28" s="35"/>
      <c r="Z28" s="35"/>
      <c r="AA28" s="35"/>
      <c r="AB28" s="35"/>
    </row>
    <row r="29" spans="2:28" s="1" customFormat="1" x14ac:dyDescent="0.25">
      <c r="B29" s="50" t="s">
        <v>245</v>
      </c>
      <c r="C29" s="51">
        <f>+SUM(H5:H10)+H11+H12+H13</f>
        <v>449881</v>
      </c>
      <c r="D29" s="52" t="s">
        <v>246</v>
      </c>
      <c r="E29" s="53"/>
      <c r="F29" s="54"/>
      <c r="G29" s="55"/>
      <c r="H29" s="56">
        <v>0.51997882548477736</v>
      </c>
      <c r="I29" s="50" t="s">
        <v>247</v>
      </c>
      <c r="J29" s="57"/>
      <c r="K29" s="58">
        <v>22.16</v>
      </c>
      <c r="L29" s="50" t="s">
        <v>246</v>
      </c>
      <c r="M29" s="59">
        <v>9.4572333324797926E-3</v>
      </c>
      <c r="N29" s="60"/>
      <c r="O29" s="60"/>
      <c r="P29" s="60"/>
      <c r="Q29" s="61"/>
      <c r="R29" s="60"/>
      <c r="S29" s="60"/>
      <c r="U29" s="61"/>
      <c r="V29" s="61"/>
      <c r="W29" s="61"/>
    </row>
    <row r="30" spans="2:28" s="1" customFormat="1" x14ac:dyDescent="0.25">
      <c r="B30" s="62" t="s">
        <v>245</v>
      </c>
      <c r="C30" s="63">
        <f>+H5+H6+H7+H8+H11+H12</f>
        <v>373750</v>
      </c>
      <c r="D30" s="239" t="s">
        <v>248</v>
      </c>
      <c r="E30" s="240"/>
      <c r="F30" s="240"/>
      <c r="G30" s="64"/>
      <c r="H30" s="65">
        <v>0.79619700097354384</v>
      </c>
      <c r="I30" s="62" t="s">
        <v>249</v>
      </c>
      <c r="J30" s="66"/>
      <c r="K30" s="67">
        <v>9.48</v>
      </c>
      <c r="L30" s="62" t="s">
        <v>248</v>
      </c>
      <c r="M30" s="68">
        <v>7.8921078921078917E-3</v>
      </c>
      <c r="N30" s="60"/>
      <c r="O30" s="60"/>
      <c r="P30" s="60"/>
      <c r="Q30" s="61"/>
      <c r="U30" s="61"/>
      <c r="V30" s="61"/>
      <c r="W30" s="61"/>
    </row>
    <row r="31" spans="2:28" x14ac:dyDescent="0.25">
      <c r="B31" s="1" t="s">
        <v>250</v>
      </c>
    </row>
  </sheetData>
  <mergeCells count="3">
    <mergeCell ref="D28:E28"/>
    <mergeCell ref="J28:M28"/>
    <mergeCell ref="D30:F30"/>
  </mergeCells>
  <conditionalFormatting sqref="K5:Y15 E5:E15">
    <cfRule type="containsBlanks" dxfId="43" priority="1">
      <formula>LEN(TRIM(E5))=0</formula>
    </cfRule>
  </conditionalFormatting>
  <hyperlinks>
    <hyperlink ref="R12" r:id="rId1" display="FR@ Primary= 13% (CASA 7)" xr:uid="{CB0B97B2-A9D8-438B-A37E-7926A239D6C3}"/>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4CFF-27EF-43F9-B3E0-BD13E3172136}">
  <dimension ref="B1:X219"/>
  <sheetViews>
    <sheetView topLeftCell="F1" zoomScaleNormal="100" workbookViewId="0">
      <selection activeCell="M19" sqref="M19"/>
    </sheetView>
  </sheetViews>
  <sheetFormatPr baseColWidth="10" defaultColWidth="11.42578125" defaultRowHeight="15" x14ac:dyDescent="0.25"/>
  <cols>
    <col min="3" max="3" width="23.85546875" customWidth="1"/>
    <col min="4" max="4" width="17" customWidth="1"/>
    <col min="5" max="5" width="24.5703125" customWidth="1"/>
    <col min="6" max="6" width="27.28515625" customWidth="1"/>
    <col min="7" max="7" width="30.5703125" customWidth="1"/>
    <col min="8" max="8" width="10.28515625" customWidth="1"/>
    <col min="9" max="9" width="14.5703125" customWidth="1"/>
    <col min="10" max="10" width="10.7109375" customWidth="1"/>
    <col min="11" max="11" width="22.85546875" customWidth="1"/>
    <col min="12" max="12" width="23.42578125" customWidth="1"/>
    <col min="13" max="13" width="18.5703125" customWidth="1"/>
    <col min="14" max="14" width="18.7109375" customWidth="1"/>
    <col min="15" max="15" width="17.28515625" customWidth="1"/>
    <col min="16" max="16" width="22.140625" customWidth="1"/>
    <col min="17" max="17" width="25.7109375" customWidth="1"/>
    <col min="18" max="18" width="21.140625" customWidth="1"/>
    <col min="19" max="19" width="28.7109375" customWidth="1"/>
    <col min="20" max="20" width="23.42578125" customWidth="1"/>
    <col min="23" max="23" width="15.5703125" customWidth="1"/>
    <col min="24" max="24" width="14.7109375" customWidth="1"/>
    <col min="25" max="25" width="40" customWidth="1"/>
    <col min="26" max="26" width="47.85546875" customWidth="1"/>
  </cols>
  <sheetData>
    <row r="1" spans="2:24" s="1" customFormat="1" x14ac:dyDescent="0.25">
      <c r="E1" s="82" t="s">
        <v>366</v>
      </c>
      <c r="F1" s="83" t="s">
        <v>367</v>
      </c>
      <c r="G1" s="83" t="s">
        <v>368</v>
      </c>
      <c r="H1" s="83"/>
      <c r="I1" s="83"/>
      <c r="J1" s="83"/>
      <c r="P1" s="84"/>
      <c r="Q1" s="85"/>
      <c r="R1" s="84"/>
      <c r="S1" s="85"/>
    </row>
    <row r="2" spans="2:24" s="1" customFormat="1" x14ac:dyDescent="0.25">
      <c r="T2" s="86"/>
      <c r="V2" s="86"/>
      <c r="W2" s="86"/>
      <c r="X2" s="86"/>
    </row>
    <row r="3" spans="2:24" s="1" customFormat="1" ht="45" x14ac:dyDescent="0.25">
      <c r="H3" s="87" t="s">
        <v>244</v>
      </c>
      <c r="I3" s="87" t="s">
        <v>369</v>
      </c>
      <c r="J3" s="87" t="s">
        <v>22</v>
      </c>
      <c r="K3" s="75" t="s">
        <v>370</v>
      </c>
      <c r="L3" s="75" t="s">
        <v>371</v>
      </c>
      <c r="M3" s="5" t="s">
        <v>372</v>
      </c>
      <c r="N3" s="5" t="s">
        <v>11</v>
      </c>
      <c r="O3" s="5" t="s">
        <v>348</v>
      </c>
      <c r="P3" s="5" t="s">
        <v>349</v>
      </c>
      <c r="Q3" s="77" t="s">
        <v>350</v>
      </c>
      <c r="R3" s="77" t="s">
        <v>351</v>
      </c>
      <c r="S3" s="5" t="s">
        <v>373</v>
      </c>
      <c r="T3" s="5" t="s">
        <v>374</v>
      </c>
      <c r="U3" s="246"/>
      <c r="V3" s="246"/>
      <c r="W3" s="246"/>
      <c r="X3" s="86"/>
    </row>
    <row r="4" spans="2:24" s="1" customFormat="1" x14ac:dyDescent="0.25">
      <c r="C4" s="75" t="s">
        <v>341</v>
      </c>
      <c r="D4" s="75" t="s">
        <v>7</v>
      </c>
      <c r="E4" s="75" t="s">
        <v>4</v>
      </c>
      <c r="F4" s="75" t="s">
        <v>5</v>
      </c>
      <c r="G4" s="75" t="s">
        <v>6</v>
      </c>
      <c r="H4" s="87" t="s">
        <v>375</v>
      </c>
      <c r="I4" s="87" t="s">
        <v>376</v>
      </c>
      <c r="J4" s="87" t="s">
        <v>376</v>
      </c>
      <c r="K4" s="88">
        <v>4000</v>
      </c>
      <c r="L4" s="89">
        <f>+SUM(J5:J19)/100</f>
        <v>19.416439999999998</v>
      </c>
      <c r="P4" s="77"/>
      <c r="Q4" s="78"/>
      <c r="R4" s="78"/>
      <c r="S4" s="77">
        <v>6.2</v>
      </c>
      <c r="T4" s="77">
        <v>9.8000000000000007</v>
      </c>
      <c r="U4" s="90"/>
      <c r="V4" s="90"/>
      <c r="W4" s="90"/>
      <c r="X4" s="90"/>
    </row>
    <row r="5" spans="2:24" s="1" customFormat="1" x14ac:dyDescent="0.25">
      <c r="B5" s="91"/>
      <c r="C5" s="76" t="e" vm="1">
        <v>#VALUE!</v>
      </c>
      <c r="D5" s="18" t="s">
        <v>30</v>
      </c>
      <c r="E5" s="18" t="s">
        <v>27</v>
      </c>
      <c r="F5" s="18" t="s">
        <v>28</v>
      </c>
      <c r="G5" s="18" t="s">
        <v>29</v>
      </c>
      <c r="H5" s="92">
        <v>119468</v>
      </c>
      <c r="I5" s="92">
        <v>0</v>
      </c>
      <c r="J5" s="92">
        <v>0</v>
      </c>
      <c r="K5" s="81" t="str" cm="1">
        <f t="array" ref="K5:K13">IF(H5:H13&gt;K4,"Sí","No")</f>
        <v>Sí</v>
      </c>
      <c r="L5" s="81" t="str" cm="1">
        <f t="array" ref="L5:L13">+IF(J5:J13&gt;L4,"Sí","No")</f>
        <v>No</v>
      </c>
      <c r="M5" s="79" t="str">
        <f>+IF(AND(K5="Sí",L5="Sí"),"Oil and Gas",IF(K5="Sí","Oil",IF(L5="Sí","Gas")))</f>
        <v>Oil</v>
      </c>
      <c r="N5" s="79">
        <f>11.3+(14.4-11.3)/2</f>
        <v>12.850000000000001</v>
      </c>
      <c r="O5" s="79" t="str">
        <f t="shared" ref="O5:O18" si="0">+IF(M5="Gas","Doesn't Apply",IF(N5&lt;$M$30,$K$30,IF(N5&lt;$M$31,$K$31,IF(N5&lt;$M$32,$K$32,IF(N5&gt;$L$33,$K$33,"Doesn't Apply")))))</f>
        <v>Heavy Oil</v>
      </c>
      <c r="P5" s="79" t="s">
        <v>41</v>
      </c>
      <c r="Q5" s="80" t="s">
        <v>31</v>
      </c>
      <c r="R5" s="80" t="s">
        <v>31</v>
      </c>
      <c r="S5" s="93">
        <f t="shared" ref="S5:S19" si="1">+(H5*365*$S$4)/1000000</f>
        <v>270.35608400000001</v>
      </c>
      <c r="T5" s="93">
        <f t="shared" ref="T5:T19" si="2">+I5*$T$4*365/1000</f>
        <v>0</v>
      </c>
      <c r="U5" s="86"/>
      <c r="V5" s="86"/>
      <c r="W5" s="86"/>
      <c r="X5" s="86"/>
    </row>
    <row r="6" spans="2:24" s="1" customFormat="1" x14ac:dyDescent="0.25">
      <c r="B6" s="91"/>
      <c r="C6" s="76" t="e" vm="1">
        <v>#VALUE!</v>
      </c>
      <c r="D6" s="18" t="s">
        <v>30</v>
      </c>
      <c r="E6" s="18" t="s">
        <v>45</v>
      </c>
      <c r="F6" s="18" t="s">
        <v>28</v>
      </c>
      <c r="G6" s="18" t="s">
        <v>46</v>
      </c>
      <c r="H6" s="92">
        <v>113812</v>
      </c>
      <c r="I6" s="92">
        <v>0</v>
      </c>
      <c r="J6" s="92">
        <v>0</v>
      </c>
      <c r="K6" s="81" t="str">
        <v>Sí</v>
      </c>
      <c r="L6" s="81" t="str">
        <v>No</v>
      </c>
      <c r="M6" s="79" t="str">
        <f t="shared" ref="M6:M19" si="3">+IF(AND(K6="Sí",L6="Sí"),"Oil and Gas",IF(K6="Sí","Oil",IF(L6="Sí","Gas")))</f>
        <v>Oil</v>
      </c>
      <c r="N6" s="79">
        <v>13.7</v>
      </c>
      <c r="O6" s="79" t="str">
        <f t="shared" si="0"/>
        <v>Heavy Oil</v>
      </c>
      <c r="P6" s="79" t="s">
        <v>55</v>
      </c>
      <c r="Q6" s="80" t="s">
        <v>352</v>
      </c>
      <c r="R6" s="80" t="s">
        <v>353</v>
      </c>
      <c r="S6" s="93">
        <f t="shared" si="1"/>
        <v>257.556556</v>
      </c>
      <c r="T6" s="93">
        <f t="shared" si="2"/>
        <v>0</v>
      </c>
      <c r="U6" s="86"/>
      <c r="V6" s="86"/>
      <c r="W6" s="86"/>
      <c r="X6" s="86"/>
    </row>
    <row r="7" spans="2:24" s="1" customFormat="1" x14ac:dyDescent="0.25">
      <c r="B7" s="91"/>
      <c r="C7" s="76" t="e" vm="1">
        <v>#VALUE!</v>
      </c>
      <c r="D7" s="18" t="s">
        <v>30</v>
      </c>
      <c r="E7" s="18" t="s">
        <v>60</v>
      </c>
      <c r="F7" s="18" t="s">
        <v>28</v>
      </c>
      <c r="G7" s="18" t="s">
        <v>61</v>
      </c>
      <c r="H7" s="92">
        <v>67620</v>
      </c>
      <c r="I7" s="92">
        <v>0</v>
      </c>
      <c r="J7" s="92">
        <v>8</v>
      </c>
      <c r="K7" s="81" t="str">
        <v>Sí</v>
      </c>
      <c r="L7" s="81" t="str">
        <v>No</v>
      </c>
      <c r="M7" s="79" t="str">
        <f t="shared" si="3"/>
        <v>Oil</v>
      </c>
      <c r="N7" s="79">
        <f>7+(20-7)/2</f>
        <v>13.5</v>
      </c>
      <c r="O7" s="79" t="str">
        <f t="shared" si="0"/>
        <v>Heavy Oil</v>
      </c>
      <c r="P7" s="79" t="s">
        <v>55</v>
      </c>
      <c r="Q7" s="80" t="s">
        <v>352</v>
      </c>
      <c r="R7" s="80" t="s">
        <v>354</v>
      </c>
      <c r="S7" s="93">
        <f t="shared" si="1"/>
        <v>153.02405999999999</v>
      </c>
      <c r="T7" s="93">
        <f t="shared" si="2"/>
        <v>0</v>
      </c>
      <c r="U7" s="86"/>
      <c r="V7" s="86"/>
      <c r="W7" s="86"/>
      <c r="X7" s="86"/>
    </row>
    <row r="8" spans="2:24" s="1" customFormat="1" x14ac:dyDescent="0.25">
      <c r="B8" s="91"/>
      <c r="C8" s="76" t="e" vm="1">
        <v>#VALUE!</v>
      </c>
      <c r="D8" s="18" t="s">
        <v>95</v>
      </c>
      <c r="E8" s="18" t="s">
        <v>27</v>
      </c>
      <c r="F8" s="18" t="s">
        <v>28</v>
      </c>
      <c r="G8" s="18" t="s">
        <v>94</v>
      </c>
      <c r="H8" s="92">
        <v>43882</v>
      </c>
      <c r="I8" s="92">
        <v>0</v>
      </c>
      <c r="J8" s="92">
        <v>0</v>
      </c>
      <c r="K8" s="81" t="str">
        <v>Sí</v>
      </c>
      <c r="L8" s="81" t="str">
        <v>No</v>
      </c>
      <c r="M8" s="79" t="str">
        <f t="shared" si="3"/>
        <v>Oil</v>
      </c>
      <c r="N8" s="79">
        <f>13+(14-13)/2</f>
        <v>13.5</v>
      </c>
      <c r="O8" s="79" t="str">
        <f t="shared" si="0"/>
        <v>Heavy Oil</v>
      </c>
      <c r="P8" s="79" t="s">
        <v>355</v>
      </c>
      <c r="Q8" s="80" t="s">
        <v>31</v>
      </c>
      <c r="R8" s="80" t="s">
        <v>356</v>
      </c>
      <c r="S8" s="93">
        <f>+(H8*365*$S$4)/1000000</f>
        <v>99.304965999999993</v>
      </c>
      <c r="T8" s="93">
        <f>+I8*$T$4*365/1000</f>
        <v>0</v>
      </c>
      <c r="U8" s="86"/>
      <c r="V8" s="86"/>
      <c r="W8" s="86"/>
      <c r="X8" s="86"/>
    </row>
    <row r="9" spans="2:24" s="1" customFormat="1" x14ac:dyDescent="0.25">
      <c r="B9" s="91"/>
      <c r="C9" s="76" t="e" vm="2">
        <v>#VALUE!</v>
      </c>
      <c r="D9" s="18" t="s">
        <v>30</v>
      </c>
      <c r="E9" s="18" t="s">
        <v>78</v>
      </c>
      <c r="F9" s="18" t="s">
        <v>79</v>
      </c>
      <c r="G9" s="18" t="s">
        <v>80</v>
      </c>
      <c r="H9" s="92">
        <v>45201</v>
      </c>
      <c r="I9" s="92">
        <v>3.6509999999999998</v>
      </c>
      <c r="J9" s="92">
        <v>6.44</v>
      </c>
      <c r="K9" s="81" t="str">
        <v>Sí</v>
      </c>
      <c r="L9" s="81" t="str">
        <v>No</v>
      </c>
      <c r="M9" s="79" t="str">
        <f t="shared" si="3"/>
        <v>Oil</v>
      </c>
      <c r="N9" s="79">
        <f>20+(25-20)/2</f>
        <v>22.5</v>
      </c>
      <c r="O9" s="79" t="str">
        <f t="shared" si="0"/>
        <v>Medium Oil</v>
      </c>
      <c r="P9" s="79" t="s">
        <v>357</v>
      </c>
      <c r="Q9" s="80" t="s">
        <v>358</v>
      </c>
      <c r="R9" s="80" t="s">
        <v>31</v>
      </c>
      <c r="S9" s="93">
        <f t="shared" si="1"/>
        <v>102.289863</v>
      </c>
      <c r="T9" s="93">
        <f t="shared" si="2"/>
        <v>13.059627000000001</v>
      </c>
      <c r="U9" s="86"/>
      <c r="V9" s="86"/>
      <c r="W9" s="86"/>
      <c r="X9" s="86"/>
    </row>
    <row r="10" spans="2:24" s="1" customFormat="1" x14ac:dyDescent="0.25">
      <c r="B10" s="91"/>
      <c r="C10" s="76" t="e" vm="3">
        <v>#VALUE!</v>
      </c>
      <c r="D10" s="18" t="s">
        <v>111</v>
      </c>
      <c r="E10" s="18" t="s">
        <v>108</v>
      </c>
      <c r="F10" s="18" t="s">
        <v>28</v>
      </c>
      <c r="G10" s="18" t="s">
        <v>110</v>
      </c>
      <c r="H10" s="92">
        <v>21135</v>
      </c>
      <c r="I10" s="92">
        <v>0</v>
      </c>
      <c r="J10" s="92">
        <v>1.21</v>
      </c>
      <c r="K10" s="81" t="str">
        <v>Sí</v>
      </c>
      <c r="L10" s="81" t="str">
        <v>No</v>
      </c>
      <c r="M10" s="79" t="str">
        <f t="shared" si="3"/>
        <v>Oil</v>
      </c>
      <c r="N10" s="79">
        <v>29</v>
      </c>
      <c r="O10" s="79" t="str">
        <f t="shared" si="0"/>
        <v>Medium Oil</v>
      </c>
      <c r="P10" s="79" t="s">
        <v>55</v>
      </c>
      <c r="Q10" s="80" t="s">
        <v>352</v>
      </c>
      <c r="R10" s="80" t="s">
        <v>31</v>
      </c>
      <c r="S10" s="93">
        <f t="shared" si="1"/>
        <v>47.828505</v>
      </c>
      <c r="T10" s="93">
        <f t="shared" si="2"/>
        <v>0</v>
      </c>
      <c r="U10" s="86"/>
      <c r="V10" s="86"/>
      <c r="W10" s="86"/>
      <c r="X10" s="86"/>
    </row>
    <row r="11" spans="2:24" s="1" customFormat="1" x14ac:dyDescent="0.25">
      <c r="B11" s="91"/>
      <c r="C11" s="76" t="e" vm="4">
        <v>#VALUE!</v>
      </c>
      <c r="D11" s="18" t="s">
        <v>30</v>
      </c>
      <c r="E11" s="18" t="s">
        <v>124</v>
      </c>
      <c r="F11" s="18" t="s">
        <v>79</v>
      </c>
      <c r="G11" s="18" t="s">
        <v>125</v>
      </c>
      <c r="H11" s="92">
        <v>14787</v>
      </c>
      <c r="I11" s="92">
        <v>1.68</v>
      </c>
      <c r="J11" s="92">
        <v>4.13</v>
      </c>
      <c r="K11" s="81" t="str">
        <v>Sí</v>
      </c>
      <c r="L11" s="81" t="str">
        <v>No</v>
      </c>
      <c r="M11" s="79" t="str">
        <f t="shared" si="3"/>
        <v>Oil</v>
      </c>
      <c r="N11" s="79">
        <v>21</v>
      </c>
      <c r="O11" s="79" t="str">
        <f t="shared" si="0"/>
        <v>Heavy Oil</v>
      </c>
      <c r="P11" s="79" t="s">
        <v>55</v>
      </c>
      <c r="Q11" s="80" t="s">
        <v>352</v>
      </c>
      <c r="R11" s="80" t="s">
        <v>359</v>
      </c>
      <c r="S11" s="93">
        <f t="shared" si="1"/>
        <v>33.462980999999999</v>
      </c>
      <c r="T11" s="93">
        <f t="shared" si="2"/>
        <v>6.0093600000000009</v>
      </c>
    </row>
    <row r="12" spans="2:24" s="1" customFormat="1" x14ac:dyDescent="0.25">
      <c r="B12" s="91"/>
      <c r="C12" s="76" t="e" vm="5">
        <v>#VALUE!</v>
      </c>
      <c r="D12" s="18" t="s">
        <v>30</v>
      </c>
      <c r="E12" s="18" t="s">
        <v>139</v>
      </c>
      <c r="F12" s="18" t="s">
        <v>79</v>
      </c>
      <c r="G12" s="18" t="s">
        <v>140</v>
      </c>
      <c r="H12" s="92">
        <v>12862</v>
      </c>
      <c r="I12" s="92">
        <v>0</v>
      </c>
      <c r="J12" s="92">
        <v>1.48</v>
      </c>
      <c r="K12" s="81" t="str">
        <v>Sí</v>
      </c>
      <c r="L12" s="81" t="str">
        <v>No</v>
      </c>
      <c r="M12" s="79" t="str">
        <f t="shared" si="3"/>
        <v>Oil</v>
      </c>
      <c r="N12" s="79">
        <v>21</v>
      </c>
      <c r="O12" s="79" t="str">
        <f t="shared" si="0"/>
        <v>Heavy Oil</v>
      </c>
      <c r="P12" s="79" t="s">
        <v>360</v>
      </c>
      <c r="Q12" s="80" t="s">
        <v>352</v>
      </c>
      <c r="R12" s="80" t="s">
        <v>359</v>
      </c>
      <c r="S12" s="93">
        <f t="shared" si="1"/>
        <v>29.106705999999999</v>
      </c>
      <c r="T12" s="93">
        <f t="shared" si="2"/>
        <v>0</v>
      </c>
    </row>
    <row r="13" spans="2:24" s="1" customFormat="1" x14ac:dyDescent="0.25">
      <c r="B13" s="91"/>
      <c r="C13" s="76" t="e" vm="6">
        <v>#VALUE!</v>
      </c>
      <c r="D13" s="18" t="s">
        <v>154</v>
      </c>
      <c r="E13" s="18" t="s">
        <v>152</v>
      </c>
      <c r="F13" s="18" t="s">
        <v>79</v>
      </c>
      <c r="G13" s="18" t="s">
        <v>153</v>
      </c>
      <c r="H13" s="92">
        <v>11114</v>
      </c>
      <c r="I13" s="92">
        <v>0</v>
      </c>
      <c r="J13" s="92">
        <v>0.9</v>
      </c>
      <c r="K13" s="81" t="str">
        <v>Sí</v>
      </c>
      <c r="L13" s="81" t="str">
        <v>No</v>
      </c>
      <c r="M13" s="79" t="str">
        <f t="shared" si="3"/>
        <v>Oil</v>
      </c>
      <c r="N13" s="79">
        <v>13</v>
      </c>
      <c r="O13" s="79" t="str">
        <f t="shared" si="0"/>
        <v>Heavy Oil</v>
      </c>
      <c r="P13" s="79" t="s">
        <v>163</v>
      </c>
      <c r="Q13" s="80" t="s">
        <v>31</v>
      </c>
      <c r="R13" s="80" t="s">
        <v>361</v>
      </c>
      <c r="S13" s="93">
        <f t="shared" si="1"/>
        <v>25.150981999999999</v>
      </c>
      <c r="T13" s="93">
        <f t="shared" si="2"/>
        <v>0</v>
      </c>
    </row>
    <row r="14" spans="2:24" s="1" customFormat="1" x14ac:dyDescent="0.25">
      <c r="B14" s="91"/>
      <c r="C14" s="76" t="e" vm="7">
        <v>#VALUE!</v>
      </c>
      <c r="D14" s="18" t="s">
        <v>30</v>
      </c>
      <c r="E14" s="18" t="s">
        <v>255</v>
      </c>
      <c r="F14" s="18" t="s">
        <v>28</v>
      </c>
      <c r="G14" s="18" t="s">
        <v>256</v>
      </c>
      <c r="H14" s="92">
        <v>11342</v>
      </c>
      <c r="I14" s="92">
        <v>152.77000000000001</v>
      </c>
      <c r="J14" s="92">
        <v>754.35</v>
      </c>
      <c r="K14" s="81" t="str" cm="1">
        <f t="array" ref="K14:K19">IF(H14:H19&gt;K4,"Sí","No")</f>
        <v>Sí</v>
      </c>
      <c r="L14" s="81" t="str" cm="1">
        <f t="array" ref="L14:L19">+IF(J14:J19&gt;L4,"Sí","No")</f>
        <v>Sí</v>
      </c>
      <c r="M14" s="79" t="str">
        <f t="shared" si="3"/>
        <v>Oil and Gas</v>
      </c>
      <c r="N14" s="79">
        <v>48</v>
      </c>
      <c r="O14" s="79" t="str">
        <f t="shared" si="0"/>
        <v>Light Oil</v>
      </c>
      <c r="P14" s="79" t="s">
        <v>31</v>
      </c>
      <c r="Q14" s="80" t="s">
        <v>362</v>
      </c>
      <c r="R14" s="80" t="s">
        <v>363</v>
      </c>
      <c r="S14" s="93">
        <f t="shared" si="1"/>
        <v>25.666945999999999</v>
      </c>
      <c r="T14" s="93">
        <f t="shared" si="2"/>
        <v>546.45829000000003</v>
      </c>
    </row>
    <row r="15" spans="2:24" s="1" customFormat="1" x14ac:dyDescent="0.25">
      <c r="B15" s="91"/>
      <c r="C15" s="76" t="e" vm="7">
        <v>#VALUE!</v>
      </c>
      <c r="D15" s="18" t="s">
        <v>30</v>
      </c>
      <c r="E15" s="18" t="s">
        <v>269</v>
      </c>
      <c r="F15" s="18" t="s">
        <v>28</v>
      </c>
      <c r="G15" s="18" t="s">
        <v>270</v>
      </c>
      <c r="H15" s="92">
        <v>4514</v>
      </c>
      <c r="I15" s="92">
        <v>182.15</v>
      </c>
      <c r="J15" s="92">
        <v>306.27</v>
      </c>
      <c r="K15" s="81" t="str">
        <v>Sí</v>
      </c>
      <c r="L15" s="81" t="str">
        <v>Sí</v>
      </c>
      <c r="M15" s="79" t="str">
        <f>+IF(AND(K15="Sí",L15="Sí"),"Oil and Gas",IF(K15="Sí","Oil",IF(L15="Sí","Gas")))</f>
        <v>Oil and Gas</v>
      </c>
      <c r="N15" s="79">
        <v>52</v>
      </c>
      <c r="O15" s="79" t="str">
        <f t="shared" si="0"/>
        <v>Light Oil</v>
      </c>
      <c r="P15" s="79" t="s">
        <v>31</v>
      </c>
      <c r="Q15" s="80" t="s">
        <v>364</v>
      </c>
      <c r="R15" s="80" t="s">
        <v>275</v>
      </c>
      <c r="S15" s="93">
        <f t="shared" si="1"/>
        <v>10.215182</v>
      </c>
      <c r="T15" s="93">
        <f t="shared" si="2"/>
        <v>651.55055000000004</v>
      </c>
    </row>
    <row r="16" spans="2:24" s="1" customFormat="1" x14ac:dyDescent="0.25">
      <c r="B16" s="91"/>
      <c r="C16" s="76" t="e" vm="7">
        <v>#VALUE!</v>
      </c>
      <c r="D16" s="18" t="s">
        <v>278</v>
      </c>
      <c r="E16" s="18" t="s">
        <v>276</v>
      </c>
      <c r="F16" s="18" t="s">
        <v>28</v>
      </c>
      <c r="G16" s="18" t="s">
        <v>277</v>
      </c>
      <c r="H16" s="92">
        <v>31197</v>
      </c>
      <c r="I16" s="92">
        <v>218.46</v>
      </c>
      <c r="J16" s="92">
        <v>459.81099999999998</v>
      </c>
      <c r="K16" s="81" t="str">
        <v>Sí</v>
      </c>
      <c r="L16" s="81" t="str">
        <v>Sí</v>
      </c>
      <c r="M16" s="79" t="str">
        <f t="shared" si="3"/>
        <v>Oil and Gas</v>
      </c>
      <c r="N16" s="79">
        <v>46</v>
      </c>
      <c r="O16" s="79" t="str">
        <f t="shared" si="0"/>
        <v>Light Oil</v>
      </c>
      <c r="P16" s="79" t="s">
        <v>31</v>
      </c>
      <c r="Q16" s="80" t="s">
        <v>31</v>
      </c>
      <c r="R16" s="80" t="s">
        <v>365</v>
      </c>
      <c r="S16" s="93">
        <f t="shared" si="1"/>
        <v>70.598810999999998</v>
      </c>
      <c r="T16" s="93">
        <f t="shared" si="2"/>
        <v>781.43142000000012</v>
      </c>
    </row>
    <row r="17" spans="2:20" s="1" customFormat="1" x14ac:dyDescent="0.25">
      <c r="B17" s="91"/>
      <c r="C17" s="76" t="e" vm="7">
        <v>#VALUE!</v>
      </c>
      <c r="D17" s="18" t="s">
        <v>278</v>
      </c>
      <c r="E17" s="18" t="s">
        <v>276</v>
      </c>
      <c r="F17" s="18" t="s">
        <v>28</v>
      </c>
      <c r="G17" s="18" t="s">
        <v>290</v>
      </c>
      <c r="H17" s="92">
        <v>8374</v>
      </c>
      <c r="I17" s="92">
        <v>0</v>
      </c>
      <c r="J17" s="92">
        <v>153.01</v>
      </c>
      <c r="K17" s="81" t="str">
        <v>Sí</v>
      </c>
      <c r="L17" s="81" t="str">
        <v>Sí</v>
      </c>
      <c r="M17" s="79" t="str">
        <f t="shared" si="3"/>
        <v>Oil and Gas</v>
      </c>
      <c r="N17" s="79">
        <f>44+((47-44)/2)</f>
        <v>45.5</v>
      </c>
      <c r="O17" s="79" t="str">
        <f t="shared" si="0"/>
        <v>Light Oil</v>
      </c>
      <c r="P17" s="79" t="s">
        <v>31</v>
      </c>
      <c r="Q17" s="80" t="s">
        <v>362</v>
      </c>
      <c r="R17" s="80" t="s">
        <v>31</v>
      </c>
      <c r="S17" s="93">
        <f t="shared" si="1"/>
        <v>18.950361999999998</v>
      </c>
      <c r="T17" s="93">
        <f t="shared" si="2"/>
        <v>0</v>
      </c>
    </row>
    <row r="18" spans="2:20" s="1" customFormat="1" x14ac:dyDescent="0.25">
      <c r="B18" s="91"/>
      <c r="C18" s="76" t="e" vm="8">
        <v>#VALUE!</v>
      </c>
      <c r="D18" s="18" t="s">
        <v>302</v>
      </c>
      <c r="E18" s="18" t="s">
        <v>300</v>
      </c>
      <c r="F18" s="18" t="s">
        <v>299</v>
      </c>
      <c r="G18" s="18" t="s">
        <v>301</v>
      </c>
      <c r="H18" s="92">
        <v>0</v>
      </c>
      <c r="I18" s="92">
        <v>207.5</v>
      </c>
      <c r="J18" s="92">
        <v>214.703</v>
      </c>
      <c r="K18" s="81" t="str">
        <v>No</v>
      </c>
      <c r="L18" s="81" t="str">
        <v>Sí</v>
      </c>
      <c r="M18" s="79" t="str">
        <f>+IF(AND(K18="Sí",L18="Sí"),"Oil and Gas",IF(K18="Sí","Oil",IF(L18="Sí","Gas")))</f>
        <v>Gas</v>
      </c>
      <c r="N18" s="79" t="s">
        <v>31</v>
      </c>
      <c r="O18" s="79" t="str">
        <f t="shared" si="0"/>
        <v>Doesn't Apply</v>
      </c>
      <c r="P18" s="79" t="s">
        <v>31</v>
      </c>
      <c r="Q18" s="80" t="s">
        <v>31</v>
      </c>
      <c r="R18" s="80" t="s">
        <v>31</v>
      </c>
      <c r="S18" s="93">
        <f t="shared" si="1"/>
        <v>0</v>
      </c>
      <c r="T18" s="93">
        <f t="shared" si="2"/>
        <v>742.22750000000008</v>
      </c>
    </row>
    <row r="19" spans="2:20" s="1" customFormat="1" x14ac:dyDescent="0.25">
      <c r="B19" s="91"/>
      <c r="C19" s="76" t="e" vm="8">
        <v>#VALUE!</v>
      </c>
      <c r="D19" s="18" t="s">
        <v>302</v>
      </c>
      <c r="E19" s="18" t="s">
        <v>300</v>
      </c>
      <c r="F19" s="18" t="s">
        <v>299</v>
      </c>
      <c r="G19" s="18" t="s">
        <v>311</v>
      </c>
      <c r="H19" s="92">
        <v>0</v>
      </c>
      <c r="I19" s="92">
        <v>30.6</v>
      </c>
      <c r="J19" s="92">
        <v>31.34</v>
      </c>
      <c r="K19" s="81" t="str">
        <v>No</v>
      </c>
      <c r="L19" s="81" t="str">
        <v>Sí</v>
      </c>
      <c r="M19" s="79" t="str">
        <f t="shared" si="3"/>
        <v>Gas</v>
      </c>
      <c r="N19" s="79" t="s">
        <v>31</v>
      </c>
      <c r="O19" s="79" t="str">
        <f>+IF(M18="Gas","Doesn't Apply",IF(N19&lt;$M$30,$K$30,IF(N19&lt;$M$31,$K$31,IF(N19&lt;$M$32,$K$32,IF(N19&gt;$L$33,$K$33,"Doesn't Apply")))))</f>
        <v>Doesn't Apply</v>
      </c>
      <c r="P19" s="79" t="s">
        <v>31</v>
      </c>
      <c r="Q19" s="80" t="s">
        <v>31</v>
      </c>
      <c r="R19" s="80" t="s">
        <v>31</v>
      </c>
      <c r="S19" s="93">
        <f t="shared" si="1"/>
        <v>0</v>
      </c>
      <c r="T19" s="93">
        <f t="shared" si="2"/>
        <v>109.45620000000002</v>
      </c>
    </row>
    <row r="20" spans="2:20" s="1" customFormat="1" x14ac:dyDescent="0.25">
      <c r="H20" s="94"/>
      <c r="I20" s="94"/>
      <c r="R20" s="95"/>
    </row>
    <row r="21" spans="2:20" s="1" customFormat="1" x14ac:dyDescent="0.25">
      <c r="I21" s="94"/>
      <c r="P21" s="96"/>
    </row>
    <row r="22" spans="2:20" s="1" customFormat="1" x14ac:dyDescent="0.25">
      <c r="K22" s="78" t="s">
        <v>377</v>
      </c>
      <c r="L22" s="78">
        <f>+COUNTIF(M5:M19,"Oil")</f>
        <v>9</v>
      </c>
    </row>
    <row r="23" spans="2:20" s="1" customFormat="1" x14ac:dyDescent="0.25">
      <c r="K23" s="78" t="s">
        <v>378</v>
      </c>
      <c r="L23" s="78">
        <f>COUNTIF(M5:M19,"Gas")</f>
        <v>2</v>
      </c>
    </row>
    <row r="24" spans="2:20" s="1" customFormat="1" ht="15.75" thickBot="1" x14ac:dyDescent="0.3">
      <c r="K24" s="97" t="s">
        <v>379</v>
      </c>
      <c r="L24" s="97">
        <f>COUNTIF(M5:M19,"Oil and Gas")</f>
        <v>4</v>
      </c>
    </row>
    <row r="25" spans="2:20" s="1" customFormat="1" ht="15.75" thickTop="1" x14ac:dyDescent="0.25">
      <c r="K25" s="77" t="s">
        <v>380</v>
      </c>
      <c r="L25" s="77">
        <f>+SUM(L22:L24)</f>
        <v>15</v>
      </c>
      <c r="O25" s="94"/>
    </row>
    <row r="26" spans="2:20" s="1" customFormat="1" x14ac:dyDescent="0.25"/>
    <row r="27" spans="2:20" s="1" customFormat="1" x14ac:dyDescent="0.25"/>
    <row r="28" spans="2:20" s="1" customFormat="1" ht="15.75" thickBot="1" x14ac:dyDescent="0.3">
      <c r="K28" s="247" t="s">
        <v>381</v>
      </c>
      <c r="L28" s="247"/>
      <c r="M28" s="247"/>
    </row>
    <row r="29" spans="2:20" s="1" customFormat="1" ht="15.75" thickTop="1" x14ac:dyDescent="0.25">
      <c r="K29" s="98"/>
      <c r="L29" s="98" t="s">
        <v>382</v>
      </c>
      <c r="M29" s="98" t="s">
        <v>383</v>
      </c>
    </row>
    <row r="30" spans="2:20" s="1" customFormat="1" x14ac:dyDescent="0.25">
      <c r="K30" s="78" t="s">
        <v>384</v>
      </c>
      <c r="L30" s="99">
        <v>0</v>
      </c>
      <c r="M30" s="98">
        <v>10</v>
      </c>
    </row>
    <row r="31" spans="2:20" s="1" customFormat="1" x14ac:dyDescent="0.25">
      <c r="K31" s="78" t="s">
        <v>385</v>
      </c>
      <c r="L31" s="98">
        <v>10</v>
      </c>
      <c r="M31" s="98">
        <v>22.3</v>
      </c>
    </row>
    <row r="32" spans="2:20" s="1" customFormat="1" x14ac:dyDescent="0.25">
      <c r="K32" s="78" t="s">
        <v>386</v>
      </c>
      <c r="L32" s="98">
        <v>22.3</v>
      </c>
      <c r="M32" s="98">
        <v>31.1</v>
      </c>
    </row>
    <row r="33" spans="11:20" s="1" customFormat="1" x14ac:dyDescent="0.25">
      <c r="K33" s="78" t="s">
        <v>387</v>
      </c>
      <c r="L33" s="98">
        <v>31.1</v>
      </c>
      <c r="M33" s="99">
        <v>100</v>
      </c>
      <c r="N33" s="91"/>
    </row>
    <row r="34" spans="11:20" s="1" customFormat="1" x14ac:dyDescent="0.25"/>
    <row r="35" spans="11:20" s="1" customFormat="1" x14ac:dyDescent="0.25"/>
    <row r="36" spans="11:20" s="1" customFormat="1" ht="15.75" thickBot="1" x14ac:dyDescent="0.3">
      <c r="K36" s="244" t="s">
        <v>388</v>
      </c>
      <c r="L36" s="244"/>
      <c r="M36" s="244"/>
      <c r="N36" s="244"/>
      <c r="R36" s="78"/>
      <c r="S36" s="78"/>
      <c r="T36" s="78"/>
    </row>
    <row r="37" spans="11:20" s="1" customFormat="1" ht="17.25" customHeight="1" thickTop="1" thickBot="1" x14ac:dyDescent="0.3">
      <c r="L37" s="100" t="s">
        <v>389</v>
      </c>
      <c r="M37" s="100" t="s">
        <v>390</v>
      </c>
      <c r="N37" s="100" t="s">
        <v>391</v>
      </c>
      <c r="Q37" s="248" t="s">
        <v>392</v>
      </c>
      <c r="R37" s="248"/>
      <c r="S37" s="248"/>
      <c r="T37" s="248"/>
    </row>
    <row r="38" spans="11:20" s="1" customFormat="1" ht="15.75" thickTop="1" x14ac:dyDescent="0.25">
      <c r="K38" s="1" t="s">
        <v>393</v>
      </c>
      <c r="L38" s="101">
        <v>865191</v>
      </c>
      <c r="M38" s="94">
        <v>505308</v>
      </c>
      <c r="N38" s="102">
        <v>0.58404213636064173</v>
      </c>
      <c r="R38" s="100" t="s">
        <v>30</v>
      </c>
      <c r="S38" s="103" t="s">
        <v>394</v>
      </c>
      <c r="T38" s="78" t="s">
        <v>395</v>
      </c>
    </row>
    <row r="39" spans="11:20" s="1" customFormat="1" x14ac:dyDescent="0.25">
      <c r="K39" s="1" t="s">
        <v>396</v>
      </c>
      <c r="L39" s="101">
        <v>2343.1799999999998</v>
      </c>
      <c r="M39" s="94">
        <v>1941.6439999999998</v>
      </c>
      <c r="N39" s="102">
        <v>0.82863629768092928</v>
      </c>
      <c r="Q39" s="1" t="s">
        <v>393</v>
      </c>
      <c r="R39" s="101">
        <v>469419</v>
      </c>
      <c r="S39" s="94">
        <v>389606</v>
      </c>
      <c r="T39" s="104">
        <v>0.82997492645163484</v>
      </c>
    </row>
    <row r="40" spans="11:20" s="1" customFormat="1" x14ac:dyDescent="0.25">
      <c r="K40" s="1" t="s">
        <v>369</v>
      </c>
      <c r="L40" s="105">
        <v>1060</v>
      </c>
      <c r="M40" s="105">
        <v>796.81100000000004</v>
      </c>
      <c r="N40" s="102">
        <v>0.75170849056603772</v>
      </c>
      <c r="Q40" s="1" t="s">
        <v>396</v>
      </c>
      <c r="R40" s="101">
        <v>1201.2</v>
      </c>
      <c r="S40" s="106">
        <v>1080.6699999999998</v>
      </c>
      <c r="T40" s="104">
        <v>0.89965867465867455</v>
      </c>
    </row>
    <row r="41" spans="11:20" s="1" customFormat="1" x14ac:dyDescent="0.25">
      <c r="L41" s="105"/>
      <c r="M41" s="94"/>
      <c r="N41" s="102"/>
      <c r="Q41" s="1" t="s">
        <v>397</v>
      </c>
      <c r="R41" s="107">
        <v>436.14</v>
      </c>
      <c r="S41" s="1">
        <v>340.25100000000003</v>
      </c>
      <c r="T41" s="108">
        <v>0.78014169762003038</v>
      </c>
    </row>
    <row r="42" spans="11:20" s="1" customFormat="1" x14ac:dyDescent="0.25"/>
    <row r="43" spans="11:20" s="1" customFormat="1" ht="15.75" thickBot="1" x14ac:dyDescent="0.3">
      <c r="K43" s="244" t="s">
        <v>398</v>
      </c>
      <c r="L43" s="244"/>
      <c r="M43" s="244"/>
      <c r="Q43" s="244" t="s">
        <v>399</v>
      </c>
      <c r="R43" s="244"/>
      <c r="S43" s="244"/>
    </row>
    <row r="44" spans="11:20" s="1" customFormat="1" ht="15.75" thickTop="1" x14ac:dyDescent="0.25">
      <c r="L44" s="1" t="s">
        <v>400</v>
      </c>
      <c r="R44" s="1" t="s">
        <v>400</v>
      </c>
    </row>
    <row r="45" spans="11:20" s="1" customFormat="1" x14ac:dyDescent="0.25">
      <c r="K45" s="78" t="s">
        <v>384</v>
      </c>
      <c r="L45" s="109">
        <f>+SUMIF($O$5:$O$19,K45,$H$5:$H$19)</f>
        <v>0</v>
      </c>
      <c r="M45" s="94">
        <f>+L45/L49</f>
        <v>0</v>
      </c>
      <c r="Q45" s="78" t="s">
        <v>384</v>
      </c>
      <c r="R45" s="109">
        <f>360439/(365)</f>
        <v>987.50410958904115</v>
      </c>
      <c r="S45" s="110">
        <f>+R45/R49</f>
        <v>1.2434485304680682E-3</v>
      </c>
    </row>
    <row r="46" spans="11:20" s="1" customFormat="1" x14ac:dyDescent="0.25">
      <c r="K46" s="78" t="s">
        <v>385</v>
      </c>
      <c r="L46" s="109">
        <f>+SUMIF($O$5:$O$19,K46,$H$5:$H$19)</f>
        <v>383545</v>
      </c>
      <c r="M46" s="111">
        <f>+L46/$L$49</f>
        <v>0.75903211506645452</v>
      </c>
      <c r="Q46" s="78" t="s">
        <v>385</v>
      </c>
      <c r="R46" s="109">
        <f>153830052/(365)</f>
        <v>421452.19726027397</v>
      </c>
      <c r="S46" s="111">
        <f>+R46/R49</f>
        <v>0.53068550323695973</v>
      </c>
    </row>
    <row r="47" spans="11:20" s="1" customFormat="1" x14ac:dyDescent="0.25">
      <c r="K47" s="78" t="s">
        <v>386</v>
      </c>
      <c r="L47" s="109">
        <f>+SUMIF($O$5:$O$19,K47,$H$5:$H$19)</f>
        <v>66336</v>
      </c>
      <c r="M47" s="111">
        <f t="shared" ref="M47:M48" si="4">+L47/$L$49</f>
        <v>0.13127834904652211</v>
      </c>
      <c r="Q47" s="78" t="s">
        <v>386</v>
      </c>
      <c r="R47" s="109">
        <f>78050096/(365)</f>
        <v>213835.8794520548</v>
      </c>
      <c r="S47" s="111">
        <f>+R47/R49</f>
        <v>0.26925853521425719</v>
      </c>
    </row>
    <row r="48" spans="11:20" s="1" customFormat="1" ht="15.75" thickBot="1" x14ac:dyDescent="0.3">
      <c r="K48" s="78" t="s">
        <v>387</v>
      </c>
      <c r="L48" s="112">
        <f>+SUMIF($O$5:$O$19,K48,$H$5:$H$19)</f>
        <v>55427</v>
      </c>
      <c r="M48" s="113">
        <f t="shared" si="4"/>
        <v>0.10968953588702336</v>
      </c>
      <c r="Q48" s="78" t="s">
        <v>387</v>
      </c>
      <c r="R48" s="112">
        <f>57629875/365</f>
        <v>157890.0684931507</v>
      </c>
      <c r="S48" s="113">
        <f>+R48/R49</f>
        <v>0.19881251301831507</v>
      </c>
    </row>
    <row r="49" spans="11:21" s="1" customFormat="1" ht="15.75" thickTop="1" x14ac:dyDescent="0.25">
      <c r="K49" s="114"/>
      <c r="L49" s="94">
        <f>+SUM(L45:L48)</f>
        <v>505308</v>
      </c>
      <c r="M49" s="115">
        <f>+SUM(M46:M48)</f>
        <v>1</v>
      </c>
      <c r="Q49" s="114"/>
      <c r="R49" s="94">
        <f>+SUM(R45:R48)</f>
        <v>794165.6493150685</v>
      </c>
      <c r="S49" s="115">
        <f>+SUM(S46:S48)</f>
        <v>0.99875655146953191</v>
      </c>
      <c r="T49" s="94"/>
    </row>
    <row r="50" spans="11:21" s="1" customFormat="1" x14ac:dyDescent="0.25">
      <c r="R50" s="94"/>
    </row>
    <row r="51" spans="11:21" s="1" customFormat="1" x14ac:dyDescent="0.25"/>
    <row r="52" spans="11:21" s="1" customFormat="1" ht="15.75" thickBot="1" x14ac:dyDescent="0.3">
      <c r="K52" s="244" t="s">
        <v>401</v>
      </c>
      <c r="L52" s="244"/>
      <c r="M52" s="244"/>
      <c r="N52" s="244"/>
      <c r="O52" s="244"/>
      <c r="Q52" s="244" t="s">
        <v>402</v>
      </c>
      <c r="R52" s="244"/>
      <c r="S52" s="244"/>
      <c r="T52" s="244"/>
      <c r="U52" s="244"/>
    </row>
    <row r="53" spans="11:21" s="1" customFormat="1" ht="15.75" thickTop="1" x14ac:dyDescent="0.25">
      <c r="K53" s="78"/>
      <c r="L53" s="78" t="s">
        <v>400</v>
      </c>
      <c r="M53" s="78" t="s">
        <v>403</v>
      </c>
      <c r="N53" s="116" t="s">
        <v>404</v>
      </c>
      <c r="O53" s="78" t="s">
        <v>403</v>
      </c>
      <c r="Q53" s="78"/>
      <c r="R53" s="78" t="s">
        <v>400</v>
      </c>
      <c r="S53" s="78" t="s">
        <v>403</v>
      </c>
      <c r="T53" s="116" t="s">
        <v>404</v>
      </c>
      <c r="U53" s="117" t="s">
        <v>403</v>
      </c>
    </row>
    <row r="54" spans="11:21" s="1" customFormat="1" x14ac:dyDescent="0.25">
      <c r="K54" s="78" t="e" vm="1">
        <v>#VALUE!</v>
      </c>
      <c r="L54" s="105">
        <f t="shared" ref="L54:L61" si="5">+SUMIF($C$5:$C$19,K54,$H$5:$H$19)</f>
        <v>344782</v>
      </c>
      <c r="M54" s="117">
        <f t="shared" ref="M54:M61" si="6">+L54/$L$62</f>
        <v>0.68232048572355875</v>
      </c>
      <c r="N54" s="118">
        <f t="shared" ref="N54:N61" si="7">+SUMIF($C$5:$C$19,K54,$J$5:$J$19)</f>
        <v>8</v>
      </c>
      <c r="O54" s="119">
        <f t="shared" ref="O54:O61" si="8">+N54/$N$62</f>
        <v>4.120219772522667E-3</v>
      </c>
      <c r="Q54" s="120" t="e" vm="1">
        <v>#VALUE!</v>
      </c>
      <c r="R54" s="105">
        <v>421474.3</v>
      </c>
      <c r="S54" s="117">
        <f t="shared" ref="S54:S62" si="9">+R54/$R$63</f>
        <v>0.48714595967826757</v>
      </c>
      <c r="T54" s="105">
        <v>17.7</v>
      </c>
      <c r="U54" s="117">
        <f>+T54/$T$63</f>
        <v>7.5538370931810617E-3</v>
      </c>
    </row>
    <row r="55" spans="11:21" s="1" customFormat="1" x14ac:dyDescent="0.25">
      <c r="K55" s="78" t="e" vm="2">
        <v>#VALUE!</v>
      </c>
      <c r="L55" s="105">
        <f t="shared" si="5"/>
        <v>45201</v>
      </c>
      <c r="M55" s="104">
        <f t="shared" si="6"/>
        <v>8.9452373601842841E-2</v>
      </c>
      <c r="N55" s="121">
        <f t="shared" si="7"/>
        <v>6.44</v>
      </c>
      <c r="O55" s="119">
        <f t="shared" si="8"/>
        <v>3.3167769168807471E-3</v>
      </c>
      <c r="Q55" s="120" t="e" vm="2">
        <v>#VALUE!</v>
      </c>
      <c r="R55" s="105">
        <v>63986.1</v>
      </c>
      <c r="S55" s="117">
        <f t="shared" si="9"/>
        <v>7.3956039764629999E-2</v>
      </c>
      <c r="T55" s="105">
        <v>46.2</v>
      </c>
      <c r="U55" s="117">
        <f t="shared" ref="U55:U61" si="10">+T55/$T$63</f>
        <v>1.9716795124574298E-2</v>
      </c>
    </row>
    <row r="56" spans="11:21" s="1" customFormat="1" x14ac:dyDescent="0.25">
      <c r="K56" s="78" t="e" vm="3">
        <v>#VALUE!</v>
      </c>
      <c r="L56" s="105">
        <f t="shared" si="5"/>
        <v>21135</v>
      </c>
      <c r="M56" s="117">
        <f t="shared" si="6"/>
        <v>4.1825975444679288E-2</v>
      </c>
      <c r="N56" s="121">
        <f t="shared" si="7"/>
        <v>1.21</v>
      </c>
      <c r="O56" s="119">
        <f t="shared" si="8"/>
        <v>6.2318324059405339E-4</v>
      </c>
      <c r="Q56" s="120" t="e" vm="3">
        <v>#VALUE!</v>
      </c>
      <c r="R56" s="105">
        <v>47801.1</v>
      </c>
      <c r="S56" s="117">
        <f t="shared" si="9"/>
        <v>5.5249187751606289E-2</v>
      </c>
      <c r="T56" s="105">
        <v>5.2</v>
      </c>
      <c r="U56" s="117">
        <f t="shared" si="10"/>
        <v>2.2192063776577133E-3</v>
      </c>
    </row>
    <row r="57" spans="11:21" s="1" customFormat="1" x14ac:dyDescent="0.25">
      <c r="K57" s="78" t="e" vm="4">
        <v>#VALUE!</v>
      </c>
      <c r="L57" s="105">
        <f t="shared" si="5"/>
        <v>14787</v>
      </c>
      <c r="M57" s="117">
        <f t="shared" si="6"/>
        <v>2.9263340378541405E-2</v>
      </c>
      <c r="N57" s="118">
        <f t="shared" si="7"/>
        <v>4.13</v>
      </c>
      <c r="O57" s="119">
        <f t="shared" si="8"/>
        <v>2.1270634575648265E-3</v>
      </c>
      <c r="Q57" s="120" t="e" vm="4">
        <v>#VALUE!</v>
      </c>
      <c r="R57" s="105">
        <v>10337.799999999999</v>
      </c>
      <c r="S57" s="117">
        <f t="shared" si="9"/>
        <v>1.1948575516851192E-2</v>
      </c>
      <c r="T57" s="105">
        <v>4.9000000000000004</v>
      </c>
      <c r="U57" s="117">
        <f t="shared" si="10"/>
        <v>2.0911752404851529E-3</v>
      </c>
    </row>
    <row r="58" spans="11:21" s="1" customFormat="1" x14ac:dyDescent="0.25">
      <c r="K58" s="78" t="e" vm="5">
        <v>#VALUE!</v>
      </c>
      <c r="L58" s="105">
        <f t="shared" si="5"/>
        <v>12862</v>
      </c>
      <c r="M58" s="104">
        <f t="shared" si="6"/>
        <v>2.545378264345706E-2</v>
      </c>
      <c r="N58" s="121">
        <f t="shared" si="7"/>
        <v>1.48</v>
      </c>
      <c r="O58" s="119">
        <f t="shared" si="8"/>
        <v>7.6224065791669331E-4</v>
      </c>
      <c r="Q58" s="120" t="e" vm="5">
        <v>#VALUE!</v>
      </c>
      <c r="R58" s="105">
        <v>16428.900000000001</v>
      </c>
      <c r="S58" s="117">
        <f t="shared" si="9"/>
        <v>1.8988755084137492E-2</v>
      </c>
      <c r="T58" s="105">
        <v>2.2000000000000002</v>
      </c>
      <c r="U58" s="117">
        <f t="shared" si="10"/>
        <v>9.3889500593210954E-4</v>
      </c>
    </row>
    <row r="59" spans="11:21" s="1" customFormat="1" x14ac:dyDescent="0.25">
      <c r="K59" s="78" t="e" vm="6">
        <v>#VALUE!</v>
      </c>
      <c r="L59" s="105">
        <f t="shared" si="5"/>
        <v>11114</v>
      </c>
      <c r="M59" s="104">
        <f t="shared" si="6"/>
        <v>2.1994506320897354E-2</v>
      </c>
      <c r="N59" s="121">
        <f t="shared" si="7"/>
        <v>0.9</v>
      </c>
      <c r="O59" s="119">
        <f t="shared" si="8"/>
        <v>4.6352472440880002E-4</v>
      </c>
      <c r="Q59" s="120" t="e" vm="6">
        <v>#VALUE!</v>
      </c>
      <c r="R59" s="105">
        <v>34033.25</v>
      </c>
      <c r="S59" s="117">
        <f t="shared" si="9"/>
        <v>3.9336111910549233E-2</v>
      </c>
      <c r="T59" s="105">
        <v>17.2</v>
      </c>
      <c r="U59" s="117">
        <f t="shared" si="10"/>
        <v>7.3404518645601279E-3</v>
      </c>
    </row>
    <row r="60" spans="11:21" s="1" customFormat="1" x14ac:dyDescent="0.25">
      <c r="K60" s="78" t="e" vm="7">
        <v>#VALUE!</v>
      </c>
      <c r="L60" s="105">
        <f t="shared" si="5"/>
        <v>55427</v>
      </c>
      <c r="M60" s="104">
        <f t="shared" si="6"/>
        <v>0.10968953588702336</v>
      </c>
      <c r="N60" s="121">
        <f t="shared" si="7"/>
        <v>1673.4409999999998</v>
      </c>
      <c r="O60" s="119">
        <f t="shared" si="8"/>
        <v>0.86186808704376294</v>
      </c>
      <c r="Q60" s="120" t="e" vm="7">
        <v>#VALUE!</v>
      </c>
      <c r="R60" s="105">
        <v>170107.4</v>
      </c>
      <c r="S60" s="117">
        <f t="shared" si="9"/>
        <v>0.19661253989003583</v>
      </c>
      <c r="T60" s="105">
        <v>1628.7</v>
      </c>
      <c r="U60" s="117">
        <f t="shared" si="10"/>
        <v>0.69508104370983026</v>
      </c>
    </row>
    <row r="61" spans="11:21" s="1" customFormat="1" ht="15.75" thickBot="1" x14ac:dyDescent="0.3">
      <c r="K61" s="122" t="e" vm="8">
        <v>#VALUE!</v>
      </c>
      <c r="L61" s="122">
        <f t="shared" si="5"/>
        <v>0</v>
      </c>
      <c r="M61" s="123">
        <f t="shared" si="6"/>
        <v>0</v>
      </c>
      <c r="N61" s="124">
        <f t="shared" si="7"/>
        <v>246.04300000000001</v>
      </c>
      <c r="O61" s="125">
        <f t="shared" si="8"/>
        <v>0.12671890418634932</v>
      </c>
      <c r="Q61" s="120" t="e" vm="8">
        <v>#VALUE!</v>
      </c>
      <c r="R61" s="105">
        <v>0</v>
      </c>
      <c r="S61" s="117">
        <f t="shared" si="9"/>
        <v>0</v>
      </c>
      <c r="T61" s="105">
        <v>238.3</v>
      </c>
      <c r="U61" s="117">
        <f t="shared" si="10"/>
        <v>0.10169939996073712</v>
      </c>
    </row>
    <row r="62" spans="11:21" s="1" customFormat="1" ht="16.5" thickTop="1" thickBot="1" x14ac:dyDescent="0.3">
      <c r="L62" s="94">
        <f>+SUM(L54:L61)</f>
        <v>505308</v>
      </c>
      <c r="M62" s="126">
        <f>+SUM(M54:M61)</f>
        <v>1.0000000000000002</v>
      </c>
      <c r="N62" s="127">
        <f>+SUM(N54:N61)</f>
        <v>1941.6439999999998</v>
      </c>
      <c r="O62" s="102">
        <f>+SUM(O54:O61)</f>
        <v>1</v>
      </c>
      <c r="Q62" s="128" t="s">
        <v>405</v>
      </c>
      <c r="R62" s="129">
        <f>+L38-SUM(R54:R61)</f>
        <v>101022.14999999991</v>
      </c>
      <c r="S62" s="130">
        <f t="shared" si="9"/>
        <v>0.11676283040392227</v>
      </c>
      <c r="T62" s="129">
        <f>+L39-SUM(T54:T61)</f>
        <v>382.77999999999975</v>
      </c>
      <c r="U62" s="130">
        <f>+T62/$T$63</f>
        <v>0.1633591956230421</v>
      </c>
    </row>
    <row r="63" spans="11:21" s="1" customFormat="1" ht="15.75" thickTop="1" x14ac:dyDescent="0.25">
      <c r="R63" s="94">
        <f>+SUM(R54:R62)</f>
        <v>865191</v>
      </c>
      <c r="S63" s="117">
        <f>+SUM(S54:S62)</f>
        <v>0.99999999999999978</v>
      </c>
      <c r="T63" s="94">
        <f>+SUM(T54:T62)</f>
        <v>2343.1799999999998</v>
      </c>
      <c r="U63" s="117">
        <f>+SUM(U54:U62)</f>
        <v>0.99999999999999989</v>
      </c>
    </row>
    <row r="64" spans="11:21" s="1" customFormat="1" x14ac:dyDescent="0.25"/>
    <row r="65" spans="11:22" s="1" customFormat="1" x14ac:dyDescent="0.25"/>
    <row r="66" spans="11:22" s="1" customFormat="1" ht="15.75" thickBot="1" x14ac:dyDescent="0.3">
      <c r="K66" s="244" t="s">
        <v>406</v>
      </c>
      <c r="L66" s="244"/>
      <c r="M66" s="244"/>
      <c r="N66" s="244"/>
      <c r="O66" s="244"/>
      <c r="Q66" s="244" t="s">
        <v>407</v>
      </c>
      <c r="R66" s="244"/>
      <c r="S66" s="244"/>
      <c r="T66" s="244"/>
      <c r="U66" s="244"/>
    </row>
    <row r="67" spans="11:22" s="1" customFormat="1" ht="15.75" thickTop="1" x14ac:dyDescent="0.25">
      <c r="L67" s="78" t="s">
        <v>400</v>
      </c>
      <c r="M67" s="131" t="s">
        <v>403</v>
      </c>
      <c r="N67" s="78" t="s">
        <v>404</v>
      </c>
      <c r="O67" s="78" t="s">
        <v>403</v>
      </c>
      <c r="R67" s="78" t="s">
        <v>400</v>
      </c>
      <c r="S67" s="131" t="s">
        <v>403</v>
      </c>
      <c r="T67" s="78" t="s">
        <v>404</v>
      </c>
      <c r="U67" s="78" t="s">
        <v>403</v>
      </c>
    </row>
    <row r="68" spans="11:22" s="1" customFormat="1" x14ac:dyDescent="0.25">
      <c r="K68" s="1" t="s">
        <v>79</v>
      </c>
      <c r="L68" s="109">
        <f>+SUMIF($F$5:$F$19,K68,$H$5:$H$19)</f>
        <v>83964</v>
      </c>
      <c r="M68" s="132">
        <f>+L68/$L$71</f>
        <v>0.16616400294473865</v>
      </c>
      <c r="N68" s="109">
        <f>+SUMIF($F$5:$F$19,K68,$J$5:$J$19)</f>
        <v>12.950000000000001</v>
      </c>
      <c r="O68" s="133">
        <f>+N68/$N$71</f>
        <v>6.6696057567710671E-3</v>
      </c>
      <c r="Q68" s="1" t="s">
        <v>79</v>
      </c>
      <c r="R68" s="134">
        <v>116160</v>
      </c>
      <c r="S68" s="132">
        <f>+R68/$R$72</f>
        <v>0.14617664269399927</v>
      </c>
      <c r="T68" s="134">
        <f>12.9*1000/365</f>
        <v>35.342465753424655</v>
      </c>
      <c r="U68" s="135">
        <f>+T68/T72</f>
        <v>3.3974065877791386E-2</v>
      </c>
    </row>
    <row r="69" spans="11:22" s="1" customFormat="1" x14ac:dyDescent="0.25">
      <c r="K69" s="1" t="s">
        <v>299</v>
      </c>
      <c r="L69" s="109">
        <f>+SUMIF($F$5:$F$19,K69,$H$5:$H$19)</f>
        <v>0</v>
      </c>
      <c r="M69" s="132">
        <f t="shared" ref="M69:M70" si="11">+L69/$L$71</f>
        <v>0</v>
      </c>
      <c r="N69" s="109">
        <f>+SUMIF($F$5:$F$19,K69,$J$5:$J$19)</f>
        <v>246.04300000000001</v>
      </c>
      <c r="O69" s="133">
        <f t="shared" ref="O69:O70" si="12">+N69/$N$71</f>
        <v>0.12671890418634932</v>
      </c>
      <c r="Q69" s="1" t="s">
        <v>299</v>
      </c>
      <c r="R69" s="134">
        <v>0</v>
      </c>
      <c r="S69" s="132">
        <f>+R69/$R$72</f>
        <v>0</v>
      </c>
      <c r="T69" s="134">
        <f>248*1000/365</f>
        <v>679.45205479452056</v>
      </c>
      <c r="U69" s="135">
        <f>+T69/T72</f>
        <v>0.65314483237924537</v>
      </c>
      <c r="V69" s="102"/>
    </row>
    <row r="70" spans="11:22" s="1" customFormat="1" ht="15.75" thickBot="1" x14ac:dyDescent="0.3">
      <c r="K70" s="136" t="s">
        <v>28</v>
      </c>
      <c r="L70" s="112">
        <f>+SUMIF($F$5:$F$19,K70,$H$5:$H$19)</f>
        <v>421344</v>
      </c>
      <c r="M70" s="137">
        <f t="shared" si="11"/>
        <v>0.83383599705526135</v>
      </c>
      <c r="N70" s="112">
        <f>+SUMIF($F$5:$F$19,K70,$J$5:$J$19)</f>
        <v>1682.6509999999998</v>
      </c>
      <c r="O70" s="138">
        <f t="shared" si="12"/>
        <v>0.86661149005687965</v>
      </c>
      <c r="Q70" s="1" t="s">
        <v>28</v>
      </c>
      <c r="R70" s="139">
        <v>537311</v>
      </c>
      <c r="S70" s="132">
        <f t="shared" ref="S70" si="13">+R70/$R$72</f>
        <v>0.67615631940905174</v>
      </c>
      <c r="T70" s="140">
        <f>76*1000/365</f>
        <v>208.21917808219177</v>
      </c>
      <c r="U70" s="102">
        <f>+T70/T72</f>
        <v>0.20015728734202679</v>
      </c>
    </row>
    <row r="71" spans="11:22" s="1" customFormat="1" ht="16.5" thickTop="1" thickBot="1" x14ac:dyDescent="0.3">
      <c r="L71" s="141">
        <f>+SUM(L68:L70)</f>
        <v>505308</v>
      </c>
      <c r="M71" s="132">
        <f t="shared" ref="M71:O71" si="14">+SUM(M68:M70)</f>
        <v>1</v>
      </c>
      <c r="N71" s="141">
        <f t="shared" si="14"/>
        <v>1941.6439999999998</v>
      </c>
      <c r="O71" s="141">
        <f t="shared" si="14"/>
        <v>1</v>
      </c>
      <c r="Q71" s="142" t="s">
        <v>408</v>
      </c>
      <c r="R71" s="143">
        <f>794655-(R70+R68+R69)</f>
        <v>141184</v>
      </c>
      <c r="S71" s="144">
        <f>+R71/R72</f>
        <v>0.17766703789694899</v>
      </c>
      <c r="T71" s="143">
        <f>+T72-(T68+T69+T70)</f>
        <v>117.26407914764081</v>
      </c>
      <c r="U71" s="145">
        <f>+T71/T72</f>
        <v>0.11272381440093643</v>
      </c>
    </row>
    <row r="72" spans="11:22" s="1" customFormat="1" ht="15.75" thickTop="1" x14ac:dyDescent="0.25">
      <c r="R72" s="146">
        <f>+SUM(R68:R71)</f>
        <v>794655</v>
      </c>
      <c r="S72" s="147">
        <f>+SUM(S68:S71)</f>
        <v>1</v>
      </c>
      <c r="T72" s="148">
        <f>(248+126.5)*1000/12/30</f>
        <v>1040.2777777777778</v>
      </c>
      <c r="U72" s="102">
        <f>+SUM(U68:U71)</f>
        <v>1</v>
      </c>
    </row>
    <row r="73" spans="11:22" s="1" customFormat="1" x14ac:dyDescent="0.25">
      <c r="T73" s="106"/>
    </row>
    <row r="74" spans="11:22" s="1" customFormat="1" x14ac:dyDescent="0.25"/>
    <row r="75" spans="11:22" s="1" customFormat="1" ht="15.75" thickBot="1" x14ac:dyDescent="0.3">
      <c r="K75" s="245" t="s">
        <v>409</v>
      </c>
      <c r="L75" s="245"/>
      <c r="M75" s="245"/>
      <c r="N75" s="245"/>
      <c r="O75" s="245"/>
      <c r="Q75" s="244" t="s">
        <v>410</v>
      </c>
      <c r="R75" s="244"/>
      <c r="S75" s="244"/>
      <c r="T75" s="244"/>
      <c r="U75" s="244"/>
    </row>
    <row r="76" spans="11:22" s="1" customFormat="1" ht="16.5" thickTop="1" thickBot="1" x14ac:dyDescent="0.3">
      <c r="L76" s="77" t="s">
        <v>411</v>
      </c>
      <c r="M76" s="78" t="s">
        <v>403</v>
      </c>
      <c r="N76" s="77" t="s">
        <v>412</v>
      </c>
      <c r="O76" s="78" t="s">
        <v>403</v>
      </c>
      <c r="Q76" s="149"/>
      <c r="R76" s="150" t="s">
        <v>411</v>
      </c>
      <c r="S76" s="151" t="s">
        <v>403</v>
      </c>
      <c r="T76" s="150" t="s">
        <v>412</v>
      </c>
      <c r="U76" s="151"/>
    </row>
    <row r="77" spans="11:22" s="1" customFormat="1" ht="15.75" thickTop="1" x14ac:dyDescent="0.25">
      <c r="K77" s="120" t="e" vm="1">
        <v>#VALUE!</v>
      </c>
      <c r="L77" s="152">
        <f t="shared" ref="L77:L84" si="15">+SUMIF($C$5:$C$19,K77,$S$5:$S$19)</f>
        <v>780.24166600000001</v>
      </c>
      <c r="M77" s="153">
        <f t="shared" ref="M77:M84" si="16">+L77/$L$86</f>
        <v>0.68232048572355875</v>
      </c>
      <c r="N77" s="154">
        <f t="shared" ref="N77:N84" si="17">+SUMIF($C$5:$C$19,K77,$T$5:$T$19)</f>
        <v>0</v>
      </c>
      <c r="O77" s="119">
        <f>+N77/$N$86</f>
        <v>0</v>
      </c>
      <c r="Q77" s="120" t="e" vm="1">
        <v>#VALUE!</v>
      </c>
      <c r="R77" s="155">
        <f>888415605/1000000</f>
        <v>888.41560500000003</v>
      </c>
      <c r="S77" s="153">
        <f t="shared" ref="S77:S85" si="18">+R77/$R$86</f>
        <v>0.45367392396496903</v>
      </c>
      <c r="T77" s="156">
        <f>17022745/1000000</f>
        <v>17.022745</v>
      </c>
      <c r="U77" s="119">
        <f t="shared" ref="U77:U85" si="19">+T77/$T$86</f>
        <v>4.5011767109696139E-3</v>
      </c>
    </row>
    <row r="78" spans="11:22" s="1" customFormat="1" x14ac:dyDescent="0.25">
      <c r="K78" s="120" t="e" vm="2">
        <v>#VALUE!</v>
      </c>
      <c r="L78" s="152">
        <f t="shared" si="15"/>
        <v>102.289863</v>
      </c>
      <c r="M78" s="153">
        <f t="shared" si="16"/>
        <v>8.9452373601842841E-2</v>
      </c>
      <c r="N78" s="154">
        <f t="shared" si="17"/>
        <v>13.059627000000001</v>
      </c>
      <c r="O78" s="119">
        <f t="shared" ref="O78:O84" si="20">+N78/$T$86</f>
        <v>3.4532438162205898E-3</v>
      </c>
      <c r="Q78" s="120" t="e" vm="2">
        <v>#VALUE!</v>
      </c>
      <c r="R78" s="155">
        <f>254681686/1000000</f>
        <v>254.68168600000001</v>
      </c>
      <c r="S78" s="153">
        <f t="shared" si="18"/>
        <v>0.1300544916133414</v>
      </c>
      <c r="T78" s="156">
        <f>200646510/1000000</f>
        <v>200.64651000000001</v>
      </c>
      <c r="U78" s="119">
        <f t="shared" si="19"/>
        <v>5.3055215122433642E-2</v>
      </c>
    </row>
    <row r="79" spans="11:22" s="1" customFormat="1" x14ac:dyDescent="0.25">
      <c r="K79" s="120" t="e" vm="3">
        <v>#VALUE!</v>
      </c>
      <c r="L79" s="152">
        <f t="shared" si="15"/>
        <v>47.828505</v>
      </c>
      <c r="M79" s="153">
        <f t="shared" si="16"/>
        <v>4.1825975444679288E-2</v>
      </c>
      <c r="N79" s="154">
        <f t="shared" si="17"/>
        <v>0</v>
      </c>
      <c r="O79" s="119">
        <f t="shared" si="20"/>
        <v>0</v>
      </c>
      <c r="Q79" s="120" t="e" vm="3">
        <v>#VALUE!</v>
      </c>
      <c r="R79" s="155">
        <f>67847887/1000000</f>
        <v>67.847887</v>
      </c>
      <c r="S79" s="153">
        <f t="shared" si="18"/>
        <v>3.4646866798362701E-2</v>
      </c>
      <c r="T79" s="156">
        <f>4989606/1000000</f>
        <v>4.9896060000000002</v>
      </c>
      <c r="U79" s="119">
        <f t="shared" si="19"/>
        <v>1.3193582071583784E-3</v>
      </c>
    </row>
    <row r="80" spans="11:22" s="1" customFormat="1" x14ac:dyDescent="0.25">
      <c r="K80" s="120" t="e" vm="4">
        <v>#VALUE!</v>
      </c>
      <c r="L80" s="152">
        <f t="shared" si="15"/>
        <v>33.462980999999999</v>
      </c>
      <c r="M80" s="153">
        <f t="shared" si="16"/>
        <v>2.9263340378541405E-2</v>
      </c>
      <c r="N80" s="154">
        <f t="shared" si="17"/>
        <v>6.0093600000000009</v>
      </c>
      <c r="O80" s="119">
        <f t="shared" si="20"/>
        <v>1.5890029063956701E-3</v>
      </c>
      <c r="Q80" s="120" t="e" vm="4">
        <v>#VALUE!</v>
      </c>
      <c r="R80" s="155">
        <f>8033760/1000000</f>
        <v>8.0337599999999991</v>
      </c>
      <c r="S80" s="153">
        <f t="shared" si="18"/>
        <v>4.1024801938196586E-3</v>
      </c>
      <c r="T80" s="156">
        <v>0</v>
      </c>
      <c r="U80" s="119">
        <f t="shared" si="19"/>
        <v>0</v>
      </c>
    </row>
    <row r="81" spans="11:21" s="1" customFormat="1" x14ac:dyDescent="0.25">
      <c r="K81" s="120" t="e" vm="5">
        <v>#VALUE!</v>
      </c>
      <c r="L81" s="152">
        <f t="shared" si="15"/>
        <v>29.106705999999999</v>
      </c>
      <c r="M81" s="153">
        <f t="shared" si="16"/>
        <v>2.545378264345706E-2</v>
      </c>
      <c r="N81" s="154">
        <f t="shared" si="17"/>
        <v>0</v>
      </c>
      <c r="O81" s="119">
        <f t="shared" si="20"/>
        <v>0</v>
      </c>
      <c r="Q81" s="120" t="e" vm="5">
        <v>#VALUE!</v>
      </c>
      <c r="R81" s="155">
        <f>59611739/1000000</f>
        <v>59.611739</v>
      </c>
      <c r="S81" s="153">
        <f t="shared" si="18"/>
        <v>3.0441036148285101E-2</v>
      </c>
      <c r="T81" s="156">
        <f>1702956/1000000</f>
        <v>1.7029559999999999</v>
      </c>
      <c r="U81" s="119">
        <f t="shared" si="19"/>
        <v>4.5029787422686348E-4</v>
      </c>
    </row>
    <row r="82" spans="11:21" s="1" customFormat="1" x14ac:dyDescent="0.25">
      <c r="K82" s="120" t="e" vm="6">
        <v>#VALUE!</v>
      </c>
      <c r="L82" s="152">
        <f t="shared" si="15"/>
        <v>25.150981999999999</v>
      </c>
      <c r="M82" s="153">
        <f t="shared" si="16"/>
        <v>2.1994506320897354E-2</v>
      </c>
      <c r="N82" s="154">
        <f t="shared" si="17"/>
        <v>0</v>
      </c>
      <c r="O82" s="119">
        <f t="shared" si="20"/>
        <v>0</v>
      </c>
      <c r="Q82" s="120" t="e" vm="6">
        <v>#VALUE!</v>
      </c>
      <c r="R82" s="155">
        <f>61421419/1000000</f>
        <v>61.421419</v>
      </c>
      <c r="S82" s="153">
        <f t="shared" si="18"/>
        <v>3.1365158397039301E-2</v>
      </c>
      <c r="T82" s="156">
        <f>176382695/1000000</f>
        <v>176.38269500000001</v>
      </c>
      <c r="U82" s="119">
        <f t="shared" si="19"/>
        <v>4.6639345120428964E-2</v>
      </c>
    </row>
    <row r="83" spans="11:21" s="1" customFormat="1" x14ac:dyDescent="0.25">
      <c r="K83" s="120" t="e" vm="7">
        <v>#VALUE!</v>
      </c>
      <c r="L83" s="152">
        <f t="shared" si="15"/>
        <v>125.431301</v>
      </c>
      <c r="M83" s="153">
        <f t="shared" si="16"/>
        <v>0.10968953588702338</v>
      </c>
      <c r="N83" s="154">
        <f t="shared" si="17"/>
        <v>1979.4402600000001</v>
      </c>
      <c r="O83" s="119">
        <f t="shared" si="20"/>
        <v>0.52340620734597365</v>
      </c>
      <c r="Q83" s="120" t="e" vm="7">
        <v>#VALUE!</v>
      </c>
      <c r="R83" s="155">
        <f>380888372/1000000</f>
        <v>380.888372</v>
      </c>
      <c r="S83" s="153">
        <f t="shared" si="18"/>
        <v>0.19450257440926969</v>
      </c>
      <c r="T83" s="156">
        <f>2216125271/1000000</f>
        <v>2216.1252709999999</v>
      </c>
      <c r="U83" s="119">
        <f t="shared" si="19"/>
        <v>0.58599077049068304</v>
      </c>
    </row>
    <row r="84" spans="11:21" s="1" customFormat="1" ht="15.75" thickBot="1" x14ac:dyDescent="0.3">
      <c r="K84" s="157" t="e" vm="8">
        <v>#VALUE!</v>
      </c>
      <c r="L84" s="158">
        <f t="shared" si="15"/>
        <v>0</v>
      </c>
      <c r="M84" s="159">
        <f t="shared" si="16"/>
        <v>0</v>
      </c>
      <c r="N84" s="160">
        <f t="shared" si="17"/>
        <v>851.68370000000004</v>
      </c>
      <c r="O84" s="161">
        <f t="shared" si="20"/>
        <v>0.22520332857905298</v>
      </c>
      <c r="Q84" s="120" t="e" vm="8">
        <v>#VALUE!</v>
      </c>
      <c r="R84" s="155">
        <v>0</v>
      </c>
      <c r="S84" s="153">
        <f t="shared" si="18"/>
        <v>0</v>
      </c>
      <c r="T84" s="156">
        <f>583846226/1000000</f>
        <v>583.846226</v>
      </c>
      <c r="U84" s="119">
        <f t="shared" si="19"/>
        <v>0.1543813900319074</v>
      </c>
    </row>
    <row r="85" spans="11:21" s="1" customFormat="1" ht="16.5" thickTop="1" thickBot="1" x14ac:dyDescent="0.3">
      <c r="M85" s="60" t="s">
        <v>413</v>
      </c>
      <c r="N85" s="60"/>
      <c r="O85" s="60" t="s">
        <v>413</v>
      </c>
      <c r="Q85" s="128" t="s">
        <v>405</v>
      </c>
      <c r="R85" s="162">
        <f>+R86-SUM(R77:R84)</f>
        <v>237.36858400000028</v>
      </c>
      <c r="S85" s="163">
        <f t="shared" si="18"/>
        <v>0.12121346847491325</v>
      </c>
      <c r="T85" s="164">
        <f>+T86-SUM(T77:T84)</f>
        <v>581.12729399999989</v>
      </c>
      <c r="U85" s="165">
        <f t="shared" si="19"/>
        <v>0.15366244644219196</v>
      </c>
    </row>
    <row r="86" spans="11:21" s="1" customFormat="1" ht="15.75" thickTop="1" x14ac:dyDescent="0.25">
      <c r="K86" s="28" t="s">
        <v>390</v>
      </c>
      <c r="L86" s="166">
        <f>+SUM(S5:S19)</f>
        <v>1143.5120039999999</v>
      </c>
      <c r="M86" s="167">
        <f>+L86/R86</f>
        <v>0.58394019087015625</v>
      </c>
      <c r="N86" s="166">
        <f>+SUM(T5:T19)</f>
        <v>2850.1929470000005</v>
      </c>
      <c r="O86" s="167">
        <f>+N86/T86</f>
        <v>0.75365178264764299</v>
      </c>
      <c r="Q86" s="28" t="s">
        <v>414</v>
      </c>
      <c r="R86" s="168">
        <f>1958269052/1000000</f>
        <v>1958.2690520000001</v>
      </c>
      <c r="S86" s="167">
        <v>1</v>
      </c>
      <c r="T86" s="169">
        <f>3781843303/1000000</f>
        <v>3781.8433030000001</v>
      </c>
      <c r="U86" s="167">
        <v>1</v>
      </c>
    </row>
    <row r="87" spans="11:21" s="1" customFormat="1" ht="15.75" thickBot="1" x14ac:dyDescent="0.3">
      <c r="K87" s="170" t="s">
        <v>415</v>
      </c>
      <c r="L87" s="171">
        <f>+SUMIF($D$5:$D$19,"ECP",S5:S19)</f>
        <v>881.67837800000007</v>
      </c>
      <c r="M87" s="172">
        <f>+L87/R87</f>
        <v>0.72932283729009861</v>
      </c>
      <c r="N87" s="171">
        <f>+SUMIF($D$5:$D$19,"ECP",T5:T19)</f>
        <v>1217.0778270000001</v>
      </c>
      <c r="O87" s="172">
        <f>+N87/T87</f>
        <v>0.40502027534293078</v>
      </c>
      <c r="Q87" s="170" t="s">
        <v>30</v>
      </c>
      <c r="R87" s="173">
        <f>1727*0.7</f>
        <v>1208.8999999999999</v>
      </c>
      <c r="S87" s="172">
        <f>+R87/R86</f>
        <v>0.6173309018826284</v>
      </c>
      <c r="T87" s="174">
        <f>1727*0.3*5800*(1/1000)</f>
        <v>3004.98</v>
      </c>
      <c r="U87" s="172">
        <f>+T87/T86</f>
        <v>0.79458077959397677</v>
      </c>
    </row>
    <row r="88" spans="11:21" s="1" customFormat="1" ht="15.75" thickTop="1" x14ac:dyDescent="0.25">
      <c r="K88" s="1" t="s">
        <v>416</v>
      </c>
      <c r="L88" s="154">
        <f>+SUMIF($D$5:$D$19,"ECP",S5:S19)+SUMIF($D$5:$D$19,"EQUION*",S5:S19)</f>
        <v>971.22755100000006</v>
      </c>
      <c r="M88" s="111">
        <f>+L88/R87</f>
        <v>0.80339775911986122</v>
      </c>
      <c r="N88" s="154">
        <f>+SUMIF($D$5:$D$19,"ECP",T5:T19)++SUMIF($D$5:$D$19,"EQUION*",T5:T19)</f>
        <v>1998.5092470000002</v>
      </c>
      <c r="O88" s="147">
        <f>+N88/T87</f>
        <v>0.66506573987181283</v>
      </c>
    </row>
    <row r="89" spans="11:21" s="1" customFormat="1" x14ac:dyDescent="0.25"/>
    <row r="90" spans="11:21" s="1" customFormat="1" x14ac:dyDescent="0.25">
      <c r="L90" s="95"/>
    </row>
    <row r="91" spans="11:21" s="1" customFormat="1" ht="15.75" x14ac:dyDescent="0.25">
      <c r="Q91" s="241" t="s">
        <v>417</v>
      </c>
      <c r="R91" s="241"/>
      <c r="S91" s="241"/>
      <c r="T91" s="241"/>
      <c r="U91" s="241"/>
    </row>
    <row r="92" spans="11:21" s="1" customFormat="1" ht="15.75" thickBot="1" x14ac:dyDescent="0.3">
      <c r="Q92" s="170"/>
      <c r="R92" s="170" t="s">
        <v>418</v>
      </c>
      <c r="S92" s="170"/>
      <c r="T92" s="170" t="s">
        <v>419</v>
      </c>
      <c r="U92" s="170"/>
    </row>
    <row r="93" spans="11:21" s="1" customFormat="1" ht="15.75" thickTop="1" x14ac:dyDescent="0.25">
      <c r="Q93" s="84" t="s">
        <v>414</v>
      </c>
      <c r="R93" s="1">
        <v>492</v>
      </c>
    </row>
    <row r="94" spans="11:21" s="1" customFormat="1" x14ac:dyDescent="0.25">
      <c r="Q94" s="84" t="s">
        <v>420</v>
      </c>
      <c r="R94" s="1">
        <v>42</v>
      </c>
    </row>
    <row r="95" spans="11:21" s="1" customFormat="1" x14ac:dyDescent="0.25">
      <c r="Q95" s="84" t="s">
        <v>421</v>
      </c>
      <c r="R95" s="1">
        <v>450</v>
      </c>
    </row>
    <row r="96" spans="11:21" s="1" customFormat="1" ht="15.75" thickBot="1" x14ac:dyDescent="0.3">
      <c r="Q96" s="175" t="s">
        <v>422</v>
      </c>
      <c r="R96" s="136"/>
      <c r="S96" s="136"/>
      <c r="T96" s="136"/>
      <c r="U96" s="136"/>
    </row>
    <row r="97" spans="17:22" s="1" customFormat="1" ht="15.75" thickTop="1" x14ac:dyDescent="0.25">
      <c r="Q97" s="84" t="s">
        <v>30</v>
      </c>
    </row>
    <row r="98" spans="17:22" s="1" customFormat="1" x14ac:dyDescent="0.25">
      <c r="Q98" s="84" t="s">
        <v>420</v>
      </c>
    </row>
    <row r="99" spans="17:22" s="1" customFormat="1" x14ac:dyDescent="0.25">
      <c r="Q99" s="84" t="s">
        <v>421</v>
      </c>
    </row>
    <row r="100" spans="17:22" s="1" customFormat="1" ht="15.75" thickBot="1" x14ac:dyDescent="0.3">
      <c r="Q100" s="175" t="s">
        <v>422</v>
      </c>
      <c r="R100" s="136"/>
      <c r="S100" s="136"/>
      <c r="T100" s="136"/>
      <c r="U100" s="136"/>
    </row>
    <row r="101" spans="17:22" s="1" customFormat="1" ht="15.75" thickTop="1" x14ac:dyDescent="0.25"/>
    <row r="102" spans="17:22" s="1" customFormat="1" x14ac:dyDescent="0.25"/>
    <row r="103" spans="17:22" s="1" customFormat="1" x14ac:dyDescent="0.25"/>
    <row r="104" spans="17:22" s="1" customFormat="1" ht="15.75" x14ac:dyDescent="0.25">
      <c r="Q104" s="242" t="s">
        <v>423</v>
      </c>
      <c r="R104" s="242"/>
      <c r="S104" s="242"/>
      <c r="T104" s="242"/>
      <c r="U104" s="242"/>
      <c r="V104" s="242"/>
    </row>
    <row r="105" spans="17:22" s="1" customFormat="1" ht="16.5" thickBot="1" x14ac:dyDescent="0.3">
      <c r="Q105" s="243" t="s">
        <v>424</v>
      </c>
      <c r="R105" s="243"/>
      <c r="S105" s="243"/>
      <c r="T105" s="243"/>
      <c r="U105" s="243"/>
      <c r="V105" s="243"/>
    </row>
    <row r="106" spans="17:22" s="1" customFormat="1" ht="15.75" thickTop="1" x14ac:dyDescent="0.25">
      <c r="Q106" s="78"/>
      <c r="R106" s="78" t="s">
        <v>425</v>
      </c>
      <c r="S106" s="78" t="s">
        <v>426</v>
      </c>
      <c r="T106" s="78" t="s">
        <v>427</v>
      </c>
      <c r="U106" s="78" t="s">
        <v>428</v>
      </c>
      <c r="V106" s="98" t="s">
        <v>429</v>
      </c>
    </row>
    <row r="107" spans="17:22" s="1" customFormat="1" x14ac:dyDescent="0.25">
      <c r="Q107" s="78"/>
      <c r="R107" s="78" t="s">
        <v>430</v>
      </c>
      <c r="S107" s="78" t="s">
        <v>431</v>
      </c>
      <c r="T107" s="78" t="s">
        <v>432</v>
      </c>
      <c r="U107" s="78" t="s">
        <v>433</v>
      </c>
      <c r="V107" s="98" t="s">
        <v>429</v>
      </c>
    </row>
    <row r="108" spans="17:22" s="1" customFormat="1" x14ac:dyDescent="0.25">
      <c r="Q108" s="78">
        <v>2014</v>
      </c>
      <c r="R108" s="78">
        <v>2308</v>
      </c>
      <c r="S108" s="78">
        <v>361</v>
      </c>
      <c r="T108" s="78">
        <v>206</v>
      </c>
      <c r="U108" s="176">
        <f>+T108/S108</f>
        <v>0.5706371191135734</v>
      </c>
      <c r="V108" s="155">
        <f>+R108/S108</f>
        <v>6.3933518005540169</v>
      </c>
    </row>
    <row r="109" spans="17:22" s="1" customFormat="1" x14ac:dyDescent="0.25">
      <c r="Q109" s="78">
        <v>2015</v>
      </c>
      <c r="R109" s="78">
        <v>2002</v>
      </c>
      <c r="S109" s="78">
        <v>367</v>
      </c>
      <c r="T109" s="78">
        <v>48</v>
      </c>
      <c r="U109" s="176">
        <f t="shared" ref="U109:U113" si="21">+T109/S109</f>
        <v>0.13079019073569481</v>
      </c>
      <c r="V109" s="155">
        <f t="shared" ref="V109:V113" si="22">+R109/S109</f>
        <v>5.4550408719346049</v>
      </c>
    </row>
    <row r="110" spans="17:22" s="1" customFormat="1" x14ac:dyDescent="0.25">
      <c r="Q110" s="78">
        <v>2016</v>
      </c>
      <c r="R110" s="78">
        <v>1665</v>
      </c>
      <c r="S110" s="78">
        <v>324</v>
      </c>
      <c r="T110" s="78">
        <v>-20</v>
      </c>
      <c r="U110" s="176">
        <f t="shared" si="21"/>
        <v>-6.1728395061728392E-2</v>
      </c>
      <c r="V110" s="155">
        <f t="shared" si="22"/>
        <v>5.1388888888888893</v>
      </c>
    </row>
    <row r="111" spans="17:22" s="1" customFormat="1" x14ac:dyDescent="0.25">
      <c r="Q111" s="78">
        <v>2017</v>
      </c>
      <c r="R111" s="78">
        <v>1782</v>
      </c>
      <c r="S111" s="78">
        <v>312</v>
      </c>
      <c r="T111" s="78">
        <v>429</v>
      </c>
      <c r="U111" s="176">
        <f t="shared" si="21"/>
        <v>1.375</v>
      </c>
      <c r="V111" s="155">
        <f t="shared" si="22"/>
        <v>5.7115384615384617</v>
      </c>
    </row>
    <row r="112" spans="17:22" s="1" customFormat="1" x14ac:dyDescent="0.25">
      <c r="Q112" s="78">
        <v>2018</v>
      </c>
      <c r="R112" s="78">
        <v>1958</v>
      </c>
      <c r="S112" s="78">
        <v>316</v>
      </c>
      <c r="T112" s="78">
        <v>492</v>
      </c>
      <c r="U112" s="176">
        <f t="shared" si="21"/>
        <v>1.5569620253164558</v>
      </c>
      <c r="V112" s="155">
        <f t="shared" si="22"/>
        <v>6.1962025316455698</v>
      </c>
    </row>
    <row r="113" spans="17:22" s="1" customFormat="1" x14ac:dyDescent="0.25">
      <c r="Q113" s="78">
        <v>2019</v>
      </c>
      <c r="R113" s="78">
        <v>2041</v>
      </c>
      <c r="S113" s="78">
        <v>323</v>
      </c>
      <c r="T113" s="78">
        <v>406</v>
      </c>
      <c r="U113" s="176">
        <f t="shared" si="21"/>
        <v>1.2569659442724459</v>
      </c>
      <c r="V113" s="155">
        <f t="shared" si="22"/>
        <v>6.3188854489164088</v>
      </c>
    </row>
    <row r="114" spans="17:22" s="1" customFormat="1" ht="16.5" thickBot="1" x14ac:dyDescent="0.3">
      <c r="Q114" s="243" t="s">
        <v>434</v>
      </c>
      <c r="R114" s="243"/>
      <c r="S114" s="243"/>
      <c r="T114" s="243"/>
      <c r="U114" s="243"/>
      <c r="V114" s="243"/>
    </row>
    <row r="115" spans="17:22" s="1" customFormat="1" ht="15.75" thickTop="1" x14ac:dyDescent="0.25">
      <c r="Q115" s="78"/>
      <c r="R115" s="78" t="s">
        <v>425</v>
      </c>
      <c r="S115" s="78" t="s">
        <v>426</v>
      </c>
      <c r="T115" s="78" t="s">
        <v>427</v>
      </c>
      <c r="U115" s="78" t="s">
        <v>428</v>
      </c>
      <c r="V115" s="98" t="s">
        <v>429</v>
      </c>
    </row>
    <row r="116" spans="17:22" s="1" customFormat="1" x14ac:dyDescent="0.25">
      <c r="Q116" s="78"/>
      <c r="R116" s="78" t="s">
        <v>430</v>
      </c>
      <c r="S116" s="78" t="s">
        <v>431</v>
      </c>
      <c r="T116" s="78" t="s">
        <v>432</v>
      </c>
      <c r="U116" s="78" t="s">
        <v>433</v>
      </c>
      <c r="V116" s="98" t="s">
        <v>429</v>
      </c>
    </row>
    <row r="117" spans="17:22" s="1" customFormat="1" x14ac:dyDescent="0.25">
      <c r="Q117" s="78">
        <v>2014</v>
      </c>
      <c r="R117" s="78">
        <v>4758</v>
      </c>
      <c r="S117" s="78">
        <v>421</v>
      </c>
      <c r="T117" s="78">
        <v>-296</v>
      </c>
      <c r="U117" s="176">
        <f>+T117/S117</f>
        <v>-0.70308788598574823</v>
      </c>
      <c r="V117" s="155">
        <f>+R117/S117</f>
        <v>11.30166270783848</v>
      </c>
    </row>
    <row r="118" spans="17:22" s="1" customFormat="1" x14ac:dyDescent="0.25">
      <c r="Q118" s="78">
        <v>2015</v>
      </c>
      <c r="R118" s="78">
        <v>4361</v>
      </c>
      <c r="S118" s="78">
        <v>417</v>
      </c>
      <c r="T118" s="78">
        <v>35</v>
      </c>
      <c r="U118" s="176">
        <f t="shared" ref="U118:U122" si="23">+T118/S118</f>
        <v>8.3932853717026384E-2</v>
      </c>
      <c r="V118" s="155">
        <f t="shared" ref="V118:V122" si="24">+R118/S118</f>
        <v>10.458033573141487</v>
      </c>
    </row>
    <row r="119" spans="17:22" s="1" customFormat="1" x14ac:dyDescent="0.25">
      <c r="Q119" s="78">
        <v>2016</v>
      </c>
      <c r="R119" s="78">
        <v>4024</v>
      </c>
      <c r="S119" s="78">
        <v>389</v>
      </c>
      <c r="T119" s="78">
        <v>22</v>
      </c>
      <c r="U119" s="176">
        <f t="shared" si="23"/>
        <v>5.6555269922879174E-2</v>
      </c>
      <c r="V119" s="155">
        <f t="shared" si="24"/>
        <v>10.344473007712082</v>
      </c>
    </row>
    <row r="120" spans="17:22" s="1" customFormat="1" x14ac:dyDescent="0.25">
      <c r="Q120" s="78">
        <v>2017</v>
      </c>
      <c r="R120" s="78">
        <v>3896</v>
      </c>
      <c r="S120" s="78">
        <v>332</v>
      </c>
      <c r="T120" s="78">
        <v>204</v>
      </c>
      <c r="U120" s="176">
        <f t="shared" si="23"/>
        <v>0.61445783132530118</v>
      </c>
      <c r="V120" s="155">
        <f t="shared" si="24"/>
        <v>11.734939759036145</v>
      </c>
    </row>
    <row r="121" spans="17:22" s="1" customFormat="1" x14ac:dyDescent="0.25">
      <c r="Q121" s="78">
        <v>2018</v>
      </c>
      <c r="R121" s="78">
        <v>3782</v>
      </c>
      <c r="S121" s="78">
        <v>386</v>
      </c>
      <c r="T121" s="78">
        <v>272</v>
      </c>
      <c r="U121" s="176">
        <f t="shared" si="23"/>
        <v>0.70466321243523311</v>
      </c>
      <c r="V121" s="155">
        <f t="shared" si="24"/>
        <v>9.7979274611398957</v>
      </c>
    </row>
    <row r="122" spans="17:22" s="1" customFormat="1" ht="15.75" thickBot="1" x14ac:dyDescent="0.3">
      <c r="Q122" s="97">
        <v>2019</v>
      </c>
      <c r="R122" s="97">
        <v>3163</v>
      </c>
      <c r="S122" s="97">
        <v>391</v>
      </c>
      <c r="T122" s="97">
        <v>-228</v>
      </c>
      <c r="U122" s="177">
        <f t="shared" si="23"/>
        <v>-0.58312020460358061</v>
      </c>
      <c r="V122" s="178">
        <f t="shared" si="24"/>
        <v>8.0895140664961644</v>
      </c>
    </row>
    <row r="123" spans="17:22" s="1" customFormat="1" ht="15.75" thickTop="1" x14ac:dyDescent="0.25"/>
    <row r="124" spans="17:22" s="1" customFormat="1" x14ac:dyDescent="0.25"/>
    <row r="125" spans="17:22" s="1" customFormat="1" x14ac:dyDescent="0.25"/>
    <row r="126" spans="17:22" s="1" customFormat="1" x14ac:dyDescent="0.25"/>
    <row r="127" spans="17:22" s="1" customFormat="1" x14ac:dyDescent="0.25"/>
    <row r="128" spans="17:22"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sheetData>
  <mergeCells count="16">
    <mergeCell ref="U3:W3"/>
    <mergeCell ref="K28:M28"/>
    <mergeCell ref="K36:N36"/>
    <mergeCell ref="Q37:T37"/>
    <mergeCell ref="K43:M43"/>
    <mergeCell ref="Q43:S43"/>
    <mergeCell ref="Q91:U91"/>
    <mergeCell ref="Q104:V104"/>
    <mergeCell ref="Q105:V105"/>
    <mergeCell ref="Q114:V114"/>
    <mergeCell ref="K52:O52"/>
    <mergeCell ref="Q52:U52"/>
    <mergeCell ref="K66:O66"/>
    <mergeCell ref="Q66:U66"/>
    <mergeCell ref="K75:O75"/>
    <mergeCell ref="Q75:U75"/>
  </mergeCells>
  <conditionalFormatting sqref="F5">
    <cfRule type="containsBlanks" dxfId="42" priority="31">
      <formula>LEN(TRIM(F5))=0</formula>
    </cfRule>
  </conditionalFormatting>
  <conditionalFormatting sqref="M5:N5">
    <cfRule type="containsText" dxfId="41" priority="28" operator="containsText" text="Oil and Gas">
      <formula>NOT(ISERROR(SEARCH("Oil and Gas",M5)))</formula>
    </cfRule>
    <cfRule type="containsText" dxfId="40" priority="29" operator="containsText" text="Gas">
      <formula>NOT(ISERROR(SEARCH("Gas",M5)))</formula>
    </cfRule>
    <cfRule type="containsText" dxfId="39" priority="30" operator="containsText" text="Oil">
      <formula>NOT(ISERROR(SEARCH("Oil",M5)))</formula>
    </cfRule>
  </conditionalFormatting>
  <conditionalFormatting sqref="K22:K24">
    <cfRule type="containsText" dxfId="38" priority="25" operator="containsText" text="Oil and Gas">
      <formula>NOT(ISERROR(SEARCH("Oil and Gas",K22)))</formula>
    </cfRule>
    <cfRule type="containsText" dxfId="37" priority="26" operator="containsText" text="Gas">
      <formula>NOT(ISERROR(SEARCH("Gas",K22)))</formula>
    </cfRule>
    <cfRule type="containsText" dxfId="36" priority="27" operator="containsText" text="Oil">
      <formula>NOT(ISERROR(SEARCH("Oil",K22)))</formula>
    </cfRule>
  </conditionalFormatting>
  <conditionalFormatting sqref="F6:F19">
    <cfRule type="containsBlanks" dxfId="35" priority="8">
      <formula>LEN(TRIM(F6))=0</formula>
    </cfRule>
  </conditionalFormatting>
  <conditionalFormatting sqref="M6:N19">
    <cfRule type="containsText" dxfId="34" priority="5" operator="containsText" text="Oil and Gas">
      <formula>NOT(ISERROR(SEARCH("Oil and Gas",M6)))</formula>
    </cfRule>
    <cfRule type="containsText" dxfId="33" priority="6" operator="containsText" text="Gas">
      <formula>NOT(ISERROR(SEARCH("Gas",M6)))</formula>
    </cfRule>
    <cfRule type="containsText" dxfId="32" priority="7" operator="containsText" text="Oil">
      <formula>NOT(ISERROR(SEARCH("Oil",M6)))</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21" operator="containsText" id="{C797FD9D-5DC1-448A-B187-59DC661596FC}">
            <xm:f>NOT(ISERROR(SEARCH($K$33,O5)))</xm:f>
            <xm:f>$K$33</xm:f>
            <x14:dxf>
              <fill>
                <patternFill>
                  <bgColor theme="7" tint="0.79998168889431442"/>
                </patternFill>
              </fill>
            </x14:dxf>
          </x14:cfRule>
          <x14:cfRule type="containsText" priority="22" operator="containsText" id="{8EF5AE3E-F0D7-4314-8DBE-21B4A518D8F9}">
            <xm:f>NOT(ISERROR(SEARCH($K$32,O5)))</xm:f>
            <xm:f>$K$32</xm:f>
            <x14:dxf>
              <fill>
                <patternFill>
                  <bgColor theme="5" tint="0.79998168889431442"/>
                </patternFill>
              </fill>
            </x14:dxf>
          </x14:cfRule>
          <x14:cfRule type="containsText" priority="23" operator="containsText" id="{17DC543E-B68B-4484-8510-5F2DEF23A458}">
            <xm:f>NOT(ISERROR(SEARCH($K$31,O5)))</xm:f>
            <xm:f>$K$31</xm:f>
            <x14:dxf>
              <fill>
                <patternFill>
                  <bgColor theme="0" tint="-0.24994659260841701"/>
                </patternFill>
              </fill>
            </x14:dxf>
          </x14:cfRule>
          <x14:cfRule type="containsText" priority="24" operator="containsText" id="{6029F5FA-0A89-4B19-A4D9-52F6CFC437CE}">
            <xm:f>NOT(ISERROR(SEARCH($K$30,O5)))</xm:f>
            <xm:f>$K$30</xm:f>
            <x14:dxf>
              <fill>
                <patternFill>
                  <bgColor theme="0" tint="-0.34998626667073579"/>
                </patternFill>
              </fill>
            </x14:dxf>
          </x14:cfRule>
          <xm:sqref>O5</xm:sqref>
        </x14:conditionalFormatting>
        <x14:conditionalFormatting xmlns:xm="http://schemas.microsoft.com/office/excel/2006/main">
          <x14:cfRule type="containsText" priority="17" operator="containsText" id="{C8744857-6D46-406F-871B-0694ECBCAFFC}">
            <xm:f>NOT(ISERROR(SEARCH($K$33,K30)))</xm:f>
            <xm:f>$K$33</xm:f>
            <x14:dxf>
              <fill>
                <patternFill>
                  <bgColor theme="7" tint="0.79998168889431442"/>
                </patternFill>
              </fill>
            </x14:dxf>
          </x14:cfRule>
          <x14:cfRule type="containsText" priority="18" operator="containsText" id="{FE641021-A830-44EE-A7A0-1F6E3ADEFB7D}">
            <xm:f>NOT(ISERROR(SEARCH($K$32,K30)))</xm:f>
            <xm:f>$K$32</xm:f>
            <x14:dxf>
              <fill>
                <patternFill>
                  <bgColor theme="5" tint="0.79998168889431442"/>
                </patternFill>
              </fill>
            </x14:dxf>
          </x14:cfRule>
          <x14:cfRule type="containsText" priority="19" operator="containsText" id="{F15B28A0-31F3-42FC-89AE-6EAD61EDFD58}">
            <xm:f>NOT(ISERROR(SEARCH($K$31,K30)))</xm:f>
            <xm:f>$K$31</xm:f>
            <x14:dxf>
              <fill>
                <patternFill>
                  <bgColor theme="0" tint="-0.24994659260841701"/>
                </patternFill>
              </fill>
            </x14:dxf>
          </x14:cfRule>
          <x14:cfRule type="containsText" priority="20" operator="containsText" id="{A1A167A4-1E36-4C45-A213-3B4A9AC3423B}">
            <xm:f>NOT(ISERROR(SEARCH($K$30,K30)))</xm:f>
            <xm:f>$K$30</xm:f>
            <x14:dxf>
              <fill>
                <patternFill>
                  <bgColor theme="0" tint="-0.34998626667073579"/>
                </patternFill>
              </fill>
            </x14:dxf>
          </x14:cfRule>
          <xm:sqref>K30:K33</xm:sqref>
        </x14:conditionalFormatting>
        <x14:conditionalFormatting xmlns:xm="http://schemas.microsoft.com/office/excel/2006/main">
          <x14:cfRule type="containsText" priority="13" operator="containsText" id="{17E8EA9C-8DD4-451A-83AC-788FEDFDC490}">
            <xm:f>NOT(ISERROR(SEARCH($K$33,K45)))</xm:f>
            <xm:f>$K$33</xm:f>
            <x14:dxf>
              <fill>
                <patternFill>
                  <bgColor theme="7" tint="0.79998168889431442"/>
                </patternFill>
              </fill>
            </x14:dxf>
          </x14:cfRule>
          <x14:cfRule type="containsText" priority="14" operator="containsText" id="{24BF8B95-82B5-4872-B10D-B2D29AFF105E}">
            <xm:f>NOT(ISERROR(SEARCH($K$32,K45)))</xm:f>
            <xm:f>$K$32</xm:f>
            <x14:dxf>
              <fill>
                <patternFill>
                  <bgColor theme="5" tint="0.79998168889431442"/>
                </patternFill>
              </fill>
            </x14:dxf>
          </x14:cfRule>
          <x14:cfRule type="containsText" priority="15" operator="containsText" id="{D4FC85CE-674A-4E88-9E90-271FC992DE7A}">
            <xm:f>NOT(ISERROR(SEARCH($K$31,K45)))</xm:f>
            <xm:f>$K$31</xm:f>
            <x14:dxf>
              <fill>
                <patternFill>
                  <bgColor theme="0" tint="-0.24994659260841701"/>
                </patternFill>
              </fill>
            </x14:dxf>
          </x14:cfRule>
          <x14:cfRule type="containsText" priority="16" operator="containsText" id="{B4AA3EC0-4317-4B8C-9132-C35ED79A33A2}">
            <xm:f>NOT(ISERROR(SEARCH($K$30,K45)))</xm:f>
            <xm:f>$K$30</xm:f>
            <x14:dxf>
              <fill>
                <patternFill>
                  <bgColor theme="0" tint="-0.34998626667073579"/>
                </patternFill>
              </fill>
            </x14:dxf>
          </x14:cfRule>
          <xm:sqref>K45:K48</xm:sqref>
        </x14:conditionalFormatting>
        <x14:conditionalFormatting xmlns:xm="http://schemas.microsoft.com/office/excel/2006/main">
          <x14:cfRule type="containsText" priority="9" operator="containsText" id="{FD59FBDB-D632-44D5-9C87-23C74A1E45AE}">
            <xm:f>NOT(ISERROR(SEARCH($K$33,Q45)))</xm:f>
            <xm:f>$K$33</xm:f>
            <x14:dxf>
              <fill>
                <patternFill>
                  <bgColor theme="7" tint="0.79998168889431442"/>
                </patternFill>
              </fill>
            </x14:dxf>
          </x14:cfRule>
          <x14:cfRule type="containsText" priority="10" operator="containsText" id="{B6390874-67D4-489C-9EDC-7C6E20AE92A0}">
            <xm:f>NOT(ISERROR(SEARCH($K$32,Q45)))</xm:f>
            <xm:f>$K$32</xm:f>
            <x14:dxf>
              <fill>
                <patternFill>
                  <bgColor theme="5" tint="0.79998168889431442"/>
                </patternFill>
              </fill>
            </x14:dxf>
          </x14:cfRule>
          <x14:cfRule type="containsText" priority="11" operator="containsText" id="{60E5EF27-AD6F-47F8-BC02-C6E8A03C7062}">
            <xm:f>NOT(ISERROR(SEARCH($K$31,Q45)))</xm:f>
            <xm:f>$K$31</xm:f>
            <x14:dxf>
              <fill>
                <patternFill>
                  <bgColor theme="0" tint="-0.24994659260841701"/>
                </patternFill>
              </fill>
            </x14:dxf>
          </x14:cfRule>
          <x14:cfRule type="containsText" priority="12" operator="containsText" id="{0FF472B3-E22E-4F57-8CFF-1D840DCA51E8}">
            <xm:f>NOT(ISERROR(SEARCH($K$30,Q45)))</xm:f>
            <xm:f>$K$30</xm:f>
            <x14:dxf>
              <fill>
                <patternFill>
                  <bgColor theme="0" tint="-0.34998626667073579"/>
                </patternFill>
              </fill>
            </x14:dxf>
          </x14:cfRule>
          <xm:sqref>Q45:Q48</xm:sqref>
        </x14:conditionalFormatting>
        <x14:conditionalFormatting xmlns:xm="http://schemas.microsoft.com/office/excel/2006/main">
          <x14:cfRule type="containsText" priority="1" operator="containsText" id="{F7DB73E9-3BE5-437C-91FE-75DAAD2CF789}">
            <xm:f>NOT(ISERROR(SEARCH($K$33,O6)))</xm:f>
            <xm:f>$K$33</xm:f>
            <x14:dxf>
              <fill>
                <patternFill>
                  <bgColor theme="7" tint="0.79998168889431442"/>
                </patternFill>
              </fill>
            </x14:dxf>
          </x14:cfRule>
          <x14:cfRule type="containsText" priority="2" operator="containsText" id="{FF9134C8-E496-4A4F-B7F6-7EF982189D50}">
            <xm:f>NOT(ISERROR(SEARCH($K$32,O6)))</xm:f>
            <xm:f>$K$32</xm:f>
            <x14:dxf>
              <fill>
                <patternFill>
                  <bgColor theme="5" tint="0.79998168889431442"/>
                </patternFill>
              </fill>
            </x14:dxf>
          </x14:cfRule>
          <x14:cfRule type="containsText" priority="3" operator="containsText" id="{DC943C0F-438C-4EBA-B68C-3B87DFA7175B}">
            <xm:f>NOT(ISERROR(SEARCH($K$31,O6)))</xm:f>
            <xm:f>$K$31</xm:f>
            <x14:dxf>
              <fill>
                <patternFill>
                  <bgColor theme="0" tint="-0.24994659260841701"/>
                </patternFill>
              </fill>
            </x14:dxf>
          </x14:cfRule>
          <x14:cfRule type="containsText" priority="4" operator="containsText" id="{4EC6C3A9-C204-4A74-A7E9-E015AB49E1F7}">
            <xm:f>NOT(ISERROR(SEARCH($K$30,O6)))</xm:f>
            <xm:f>$K$30</xm:f>
            <x14:dxf>
              <fill>
                <patternFill>
                  <bgColor theme="0" tint="-0.34998626667073579"/>
                </patternFill>
              </fill>
            </x14:dxf>
          </x14:cfRule>
          <xm:sqref>O6:O19</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2BB43-6825-4DB9-BDA5-BAD8B9C7CF26}">
  <dimension ref="A2:W49"/>
  <sheetViews>
    <sheetView showGridLines="0" topLeftCell="D1" zoomScale="85" zoomScaleNormal="85" workbookViewId="0">
      <selection activeCell="G26" sqref="G26:K26"/>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8" max="10" width="18.85546875" customWidth="1"/>
    <col min="11" max="11" width="16.28515625" customWidth="1"/>
    <col min="12" max="12" width="6.5703125" customWidth="1"/>
    <col min="13" max="13" width="10.5703125" customWidth="1"/>
    <col min="14" max="14" width="12.28515625" customWidth="1"/>
    <col min="15" max="16" width="20.28515625" customWidth="1"/>
    <col min="17" max="17" width="14.7109375" customWidth="1"/>
    <col min="18" max="20" width="20.28515625" customWidth="1"/>
    <col min="22" max="22" width="5.28515625" customWidth="1"/>
    <col min="23" max="23" width="16.85546875" customWidth="1"/>
    <col min="25" max="25" width="17.7109375" customWidth="1"/>
  </cols>
  <sheetData>
    <row r="2" spans="1:23" ht="15.75" thickBot="1" x14ac:dyDescent="0.3">
      <c r="D2" s="247" t="s">
        <v>381</v>
      </c>
      <c r="E2" s="247"/>
      <c r="F2" s="247"/>
    </row>
    <row r="3" spans="1:23" ht="15.75" thickTop="1" x14ac:dyDescent="0.25">
      <c r="D3" s="98"/>
      <c r="E3" s="98" t="s">
        <v>382</v>
      </c>
      <c r="F3" s="98" t="s">
        <v>383</v>
      </c>
    </row>
    <row r="4" spans="1:23" x14ac:dyDescent="0.25">
      <c r="D4" s="78" t="s">
        <v>384</v>
      </c>
      <c r="E4" s="99">
        <v>0</v>
      </c>
      <c r="F4" s="98">
        <v>10</v>
      </c>
    </row>
    <row r="5" spans="1:23" x14ac:dyDescent="0.25">
      <c r="D5" s="78" t="s">
        <v>385</v>
      </c>
      <c r="E5" s="98">
        <v>10</v>
      </c>
      <c r="F5" s="98">
        <v>22.3</v>
      </c>
    </row>
    <row r="6" spans="1:23" x14ac:dyDescent="0.25">
      <c r="D6" s="78" t="s">
        <v>386</v>
      </c>
      <c r="E6" s="98">
        <v>22.3</v>
      </c>
      <c r="F6" s="98">
        <v>31.1</v>
      </c>
    </row>
    <row r="7" spans="1:23" x14ac:dyDescent="0.25">
      <c r="D7" s="78" t="s">
        <v>387</v>
      </c>
      <c r="E7" s="98">
        <v>31.1</v>
      </c>
      <c r="F7" s="99">
        <v>100</v>
      </c>
    </row>
    <row r="8" spans="1:23" ht="15.75" x14ac:dyDescent="0.25">
      <c r="K8" s="249" t="s">
        <v>448</v>
      </c>
      <c r="L8" s="249"/>
      <c r="M8" s="249"/>
      <c r="N8" s="249"/>
      <c r="O8" s="249"/>
      <c r="P8" s="249"/>
      <c r="Q8" s="249"/>
      <c r="R8" s="249"/>
      <c r="S8" s="183"/>
      <c r="T8" s="183"/>
    </row>
    <row r="9" spans="1:23" ht="30" x14ac:dyDescent="0.25">
      <c r="A9" t="s">
        <v>474</v>
      </c>
      <c r="C9" s="179" t="s">
        <v>341</v>
      </c>
      <c r="D9" s="179" t="s">
        <v>7</v>
      </c>
      <c r="E9" s="179" t="s">
        <v>4</v>
      </c>
      <c r="F9" s="179" t="s">
        <v>5</v>
      </c>
      <c r="G9" s="179" t="s">
        <v>6</v>
      </c>
      <c r="H9" s="181" t="s">
        <v>438</v>
      </c>
      <c r="I9" s="181" t="s">
        <v>436</v>
      </c>
      <c r="J9" s="181" t="s">
        <v>437</v>
      </c>
      <c r="K9" s="179" t="s">
        <v>442</v>
      </c>
      <c r="L9" s="179" t="s">
        <v>439</v>
      </c>
      <c r="M9" s="179" t="s">
        <v>440</v>
      </c>
      <c r="N9" s="179" t="s">
        <v>443</v>
      </c>
      <c r="O9" s="179" t="s">
        <v>444</v>
      </c>
      <c r="P9" s="179" t="s">
        <v>445</v>
      </c>
      <c r="Q9" s="179" t="s">
        <v>446</v>
      </c>
      <c r="R9" s="179" t="s">
        <v>447</v>
      </c>
      <c r="S9" s="179" t="s">
        <v>441</v>
      </c>
      <c r="T9" s="181" t="s">
        <v>450</v>
      </c>
      <c r="U9" s="5" t="s">
        <v>11</v>
      </c>
      <c r="V9" s="5"/>
      <c r="W9" s="5" t="s">
        <v>348</v>
      </c>
    </row>
    <row r="10" spans="1:23" x14ac:dyDescent="0.25">
      <c r="C10" s="76" t="e" vm="1">
        <v>#VALUE!</v>
      </c>
      <c r="D10" s="18" t="s">
        <v>30</v>
      </c>
      <c r="E10" s="18" t="s">
        <v>27</v>
      </c>
      <c r="F10" s="18" t="s">
        <v>28</v>
      </c>
      <c r="G10" s="81" t="s">
        <v>29</v>
      </c>
      <c r="H10" s="182"/>
      <c r="I10" s="182"/>
      <c r="J10" s="182"/>
      <c r="K10" s="185">
        <v>0</v>
      </c>
      <c r="L10" s="185">
        <v>0</v>
      </c>
      <c r="M10" s="185">
        <v>0</v>
      </c>
      <c r="N10" s="185">
        <v>0</v>
      </c>
      <c r="O10" s="185">
        <v>0</v>
      </c>
      <c r="P10" s="185">
        <v>0</v>
      </c>
      <c r="Q10" s="185">
        <v>0</v>
      </c>
      <c r="R10" s="185">
        <v>0</v>
      </c>
      <c r="S10" s="185">
        <v>119308.68268493151</v>
      </c>
      <c r="T10" s="184">
        <f>+M10</f>
        <v>0</v>
      </c>
      <c r="U10" s="76">
        <f>11.3+(14.4-11.3)/2</f>
        <v>12.850000000000001</v>
      </c>
      <c r="V10" s="79"/>
      <c r="W10" s="79" t="str">
        <f t="shared" ref="W10:W19" si="0">+IF(G10="Gas","Doesn't Apply",IF(U10&lt;$F$4,$D$4,IF(U10&lt;$F$5,$D$5,IF(U10&lt;$F$6,$D$6,IF(U10&gt;$E$7,$D$7,"Doesn't Apply")))))</f>
        <v>Heavy Oil</v>
      </c>
    </row>
    <row r="11" spans="1:23" x14ac:dyDescent="0.25">
      <c r="C11" s="76" t="e" vm="1">
        <v>#VALUE!</v>
      </c>
      <c r="D11" s="18" t="s">
        <v>30</v>
      </c>
      <c r="E11" s="18" t="s">
        <v>45</v>
      </c>
      <c r="F11" s="18" t="s">
        <v>28</v>
      </c>
      <c r="G11" s="81" t="s">
        <v>46</v>
      </c>
      <c r="H11" s="182"/>
      <c r="I11" s="182"/>
      <c r="J11" s="182"/>
      <c r="K11" s="185">
        <v>0</v>
      </c>
      <c r="L11" s="185">
        <v>0</v>
      </c>
      <c r="M11" s="185">
        <v>0</v>
      </c>
      <c r="N11" s="185">
        <v>0</v>
      </c>
      <c r="O11" s="185">
        <v>0</v>
      </c>
      <c r="P11" s="185">
        <v>0</v>
      </c>
      <c r="Q11" s="185">
        <v>0</v>
      </c>
      <c r="R11" s="185">
        <v>0</v>
      </c>
      <c r="S11" s="185">
        <v>114056.06200000001</v>
      </c>
      <c r="T11" s="184">
        <f t="shared" ref="T11:T29" si="1">+M11</f>
        <v>0</v>
      </c>
      <c r="U11" s="76">
        <v>13.7</v>
      </c>
      <c r="V11" s="79"/>
      <c r="W11" s="79" t="str">
        <f t="shared" si="0"/>
        <v>Heavy Oil</v>
      </c>
    </row>
    <row r="12" spans="1:23" x14ac:dyDescent="0.25">
      <c r="C12" s="76" t="e" vm="1">
        <v>#VALUE!</v>
      </c>
      <c r="D12" s="18" t="s">
        <v>30</v>
      </c>
      <c r="E12" s="18" t="s">
        <v>60</v>
      </c>
      <c r="F12" s="18" t="s">
        <v>28</v>
      </c>
      <c r="G12" s="81" t="s">
        <v>61</v>
      </c>
      <c r="H12" s="182"/>
      <c r="I12" s="182"/>
      <c r="J12" s="182"/>
      <c r="K12" s="185">
        <v>3.7935616438356163</v>
      </c>
      <c r="L12" s="185">
        <v>0</v>
      </c>
      <c r="M12" s="185">
        <v>0</v>
      </c>
      <c r="N12" s="185">
        <v>2.9221917808219184</v>
      </c>
      <c r="O12" s="185">
        <v>0.87139726027397268</v>
      </c>
      <c r="P12" s="185">
        <v>0</v>
      </c>
      <c r="Q12" s="185">
        <v>0</v>
      </c>
      <c r="R12" s="185">
        <v>0</v>
      </c>
      <c r="S12" s="185">
        <v>69090.784575342463</v>
      </c>
      <c r="T12" s="184">
        <f t="shared" si="1"/>
        <v>0</v>
      </c>
      <c r="U12" s="76">
        <f>7+(20-7)/2</f>
        <v>13.5</v>
      </c>
      <c r="V12" s="79"/>
      <c r="W12" s="79" t="str">
        <f t="shared" si="0"/>
        <v>Heavy Oil</v>
      </c>
    </row>
    <row r="13" spans="1:23" x14ac:dyDescent="0.25">
      <c r="C13" s="76" t="e" vm="2">
        <v>#VALUE!</v>
      </c>
      <c r="D13" s="18" t="s">
        <v>30</v>
      </c>
      <c r="E13" s="18" t="s">
        <v>78</v>
      </c>
      <c r="F13" s="18" t="s">
        <v>79</v>
      </c>
      <c r="G13" s="81" t="s">
        <v>80</v>
      </c>
      <c r="H13" s="182"/>
      <c r="I13" s="182"/>
      <c r="J13" s="182"/>
      <c r="K13" s="185">
        <v>6.7767123287671236</v>
      </c>
      <c r="L13" s="185">
        <v>0</v>
      </c>
      <c r="M13" s="185">
        <v>0</v>
      </c>
      <c r="N13" s="185">
        <v>1.6441095890410957</v>
      </c>
      <c r="O13" s="185">
        <v>1.396739726027397</v>
      </c>
      <c r="P13" s="185">
        <v>3.7358630136986304</v>
      </c>
      <c r="Q13" s="185">
        <v>0</v>
      </c>
      <c r="R13" s="185">
        <v>0</v>
      </c>
      <c r="S13" s="185">
        <v>42334.39687671233</v>
      </c>
      <c r="T13" s="184">
        <f t="shared" si="1"/>
        <v>0</v>
      </c>
      <c r="U13" s="76">
        <f>20+(25-20)/2</f>
        <v>22.5</v>
      </c>
      <c r="V13" s="79"/>
      <c r="W13" s="79" t="str">
        <f t="shared" si="0"/>
        <v>Medium Oil</v>
      </c>
    </row>
    <row r="14" spans="1:23" x14ac:dyDescent="0.25">
      <c r="C14" s="76" t="e" vm="4">
        <v>#VALUE!</v>
      </c>
      <c r="D14" s="18" t="s">
        <v>30</v>
      </c>
      <c r="E14" s="18" t="s">
        <v>124</v>
      </c>
      <c r="F14" s="18" t="s">
        <v>79</v>
      </c>
      <c r="G14" s="81" t="s">
        <v>125</v>
      </c>
      <c r="H14" s="182"/>
      <c r="I14" s="182"/>
      <c r="J14" s="182"/>
      <c r="K14" s="185">
        <v>5.0572054794520547</v>
      </c>
      <c r="L14" s="185">
        <v>0</v>
      </c>
      <c r="M14" s="185">
        <v>0</v>
      </c>
      <c r="N14" s="185">
        <v>0.21123287671232879</v>
      </c>
      <c r="O14" s="185">
        <v>2.4027123287671235</v>
      </c>
      <c r="P14" s="185">
        <v>0</v>
      </c>
      <c r="Q14" s="185">
        <v>0</v>
      </c>
      <c r="R14" s="185">
        <v>2.4430958904109596</v>
      </c>
      <c r="S14" s="185">
        <v>17849.99879452055</v>
      </c>
      <c r="T14" s="184">
        <f t="shared" si="1"/>
        <v>0</v>
      </c>
      <c r="U14" s="76">
        <v>21</v>
      </c>
      <c r="V14" s="79"/>
      <c r="W14" s="79" t="str">
        <f t="shared" si="0"/>
        <v>Heavy Oil</v>
      </c>
    </row>
    <row r="15" spans="1:23" x14ac:dyDescent="0.25">
      <c r="C15" s="76" t="e" vm="5">
        <v>#VALUE!</v>
      </c>
      <c r="D15" s="18" t="s">
        <v>30</v>
      </c>
      <c r="E15" s="18" t="s">
        <v>139</v>
      </c>
      <c r="F15" s="18" t="s">
        <v>79</v>
      </c>
      <c r="G15" s="81" t="s">
        <v>140</v>
      </c>
      <c r="H15" s="182"/>
      <c r="I15" s="182"/>
      <c r="J15" s="182"/>
      <c r="K15" s="185">
        <v>1.1894794520547947</v>
      </c>
      <c r="L15" s="185">
        <v>0</v>
      </c>
      <c r="M15" s="185">
        <v>0</v>
      </c>
      <c r="N15" s="185">
        <v>0.23397260273972598</v>
      </c>
      <c r="O15" s="185">
        <v>0.95542465753424666</v>
      </c>
      <c r="P15" s="185">
        <v>0</v>
      </c>
      <c r="Q15" s="185">
        <v>0</v>
      </c>
      <c r="R15" s="185">
        <v>0</v>
      </c>
      <c r="S15" s="185">
        <v>12119.396575342465</v>
      </c>
      <c r="T15" s="184">
        <f t="shared" si="1"/>
        <v>0</v>
      </c>
      <c r="U15" s="76">
        <v>21</v>
      </c>
      <c r="V15" s="79"/>
      <c r="W15" s="79" t="str">
        <f t="shared" si="0"/>
        <v>Heavy Oil</v>
      </c>
    </row>
    <row r="16" spans="1:23" x14ac:dyDescent="0.25">
      <c r="C16" s="76" t="e" vm="7">
        <v>#VALUE!</v>
      </c>
      <c r="D16" s="18" t="s">
        <v>30</v>
      </c>
      <c r="E16" s="18" t="s">
        <v>255</v>
      </c>
      <c r="F16" s="18" t="s">
        <v>28</v>
      </c>
      <c r="G16" s="81" t="s">
        <v>256</v>
      </c>
      <c r="H16" s="182"/>
      <c r="I16" s="182"/>
      <c r="J16" s="182"/>
      <c r="K16" s="185">
        <v>649.4862739726027</v>
      </c>
      <c r="L16" s="185">
        <v>0</v>
      </c>
      <c r="M16" s="185">
        <v>396.38389041095888</v>
      </c>
      <c r="N16" s="185">
        <v>2.2383835616438361</v>
      </c>
      <c r="O16" s="185">
        <v>38.275260273972606</v>
      </c>
      <c r="P16" s="185">
        <v>16.510794520547947</v>
      </c>
      <c r="Q16" s="185">
        <v>8.2636712328767121</v>
      </c>
      <c r="R16" s="185">
        <v>196.07800000000003</v>
      </c>
      <c r="S16" s="185">
        <v>10231.853999999999</v>
      </c>
      <c r="T16" s="184">
        <f t="shared" si="1"/>
        <v>396.38389041095888</v>
      </c>
      <c r="U16" s="76">
        <v>48</v>
      </c>
      <c r="V16" s="79"/>
      <c r="W16" s="79" t="str">
        <f t="shared" si="0"/>
        <v>Light Oil</v>
      </c>
    </row>
    <row r="17" spans="3:23" x14ac:dyDescent="0.25">
      <c r="C17" s="76" t="e" vm="7">
        <v>#VALUE!</v>
      </c>
      <c r="D17" s="18" t="s">
        <v>30</v>
      </c>
      <c r="E17" s="18" t="s">
        <v>269</v>
      </c>
      <c r="F17" s="18" t="s">
        <v>28</v>
      </c>
      <c r="G17" s="81" t="s">
        <v>270</v>
      </c>
      <c r="H17" s="182"/>
      <c r="I17" s="182"/>
      <c r="J17" s="182"/>
      <c r="K17" s="185">
        <v>277.37400000000002</v>
      </c>
      <c r="L17" s="185">
        <v>0</v>
      </c>
      <c r="M17" s="185">
        <v>50.500383561643829</v>
      </c>
      <c r="N17" s="185">
        <v>1.1420547945205479</v>
      </c>
      <c r="O17" s="185">
        <v>30.359369863013697</v>
      </c>
      <c r="P17" s="185">
        <v>30.377342465753429</v>
      </c>
      <c r="Q17" s="185">
        <v>30.352082191780823</v>
      </c>
      <c r="R17" s="185">
        <v>164.99443835616438</v>
      </c>
      <c r="S17" s="185">
        <v>3182.6220821917809</v>
      </c>
      <c r="T17" s="184">
        <f t="shared" si="1"/>
        <v>50.500383561643829</v>
      </c>
      <c r="U17" s="76">
        <v>52</v>
      </c>
      <c r="V17" s="79"/>
      <c r="W17" s="79" t="str">
        <f t="shared" si="0"/>
        <v>Light Oil</v>
      </c>
    </row>
    <row r="18" spans="3:23" x14ac:dyDescent="0.25">
      <c r="C18" s="76" t="e" vm="7">
        <v>#VALUE!</v>
      </c>
      <c r="D18" s="18" t="s">
        <v>30</v>
      </c>
      <c r="E18" s="18" t="s">
        <v>276</v>
      </c>
      <c r="F18" s="18" t="s">
        <v>28</v>
      </c>
      <c r="G18" s="81" t="s">
        <v>277</v>
      </c>
      <c r="H18" s="182"/>
      <c r="I18" s="182"/>
      <c r="J18" s="182"/>
      <c r="K18" s="185">
        <v>435.4008767123288</v>
      </c>
      <c r="L18" s="185">
        <v>0</v>
      </c>
      <c r="M18" s="185">
        <v>225.24104109589044</v>
      </c>
      <c r="N18" s="185">
        <v>1.2202465753424658</v>
      </c>
      <c r="O18" s="185">
        <v>9.0779452054794518</v>
      </c>
      <c r="P18" s="185">
        <v>142.09446575342469</v>
      </c>
      <c r="Q18" s="185">
        <v>0</v>
      </c>
      <c r="R18" s="185">
        <v>57.767424657534249</v>
      </c>
      <c r="S18" s="185">
        <v>27008.407917808221</v>
      </c>
      <c r="T18" s="184">
        <f t="shared" si="1"/>
        <v>225.24104109589044</v>
      </c>
      <c r="U18" s="76">
        <v>46</v>
      </c>
      <c r="V18" s="79"/>
      <c r="W18" s="79" t="str">
        <f t="shared" si="0"/>
        <v>Light Oil</v>
      </c>
    </row>
    <row r="19" spans="3:23" x14ac:dyDescent="0.25">
      <c r="C19" s="76" t="e" vm="7">
        <v>#VALUE!</v>
      </c>
      <c r="D19" s="18" t="s">
        <v>30</v>
      </c>
      <c r="E19" s="18" t="s">
        <v>276</v>
      </c>
      <c r="F19" s="18" t="s">
        <v>28</v>
      </c>
      <c r="G19" s="81" t="s">
        <v>290</v>
      </c>
      <c r="H19" s="182"/>
      <c r="I19" s="182"/>
      <c r="J19" s="182"/>
      <c r="K19" s="185">
        <v>114.48408219178081</v>
      </c>
      <c r="L19" s="185">
        <v>0</v>
      </c>
      <c r="M19" s="185">
        <v>111.18394520547945</v>
      </c>
      <c r="N19" s="185">
        <v>0.37649315068493155</v>
      </c>
      <c r="O19" s="185">
        <v>2.923643835616438</v>
      </c>
      <c r="P19" s="185">
        <v>0</v>
      </c>
      <c r="Q19" s="185">
        <v>0</v>
      </c>
      <c r="R19" s="185">
        <v>0</v>
      </c>
      <c r="S19" s="185">
        <v>4583.6177808219181</v>
      </c>
      <c r="T19" s="184">
        <f t="shared" si="1"/>
        <v>111.18394520547945</v>
      </c>
      <c r="U19" s="76">
        <f>44+((47-44)/2)</f>
        <v>45.5</v>
      </c>
      <c r="V19" s="79"/>
      <c r="W19" s="79" t="str">
        <f t="shared" si="0"/>
        <v>Light Oil</v>
      </c>
    </row>
    <row r="20" spans="3:23" x14ac:dyDescent="0.25">
      <c r="C20" s="76" t="e" vm="8">
        <v>#VALUE!</v>
      </c>
      <c r="D20" s="18" t="s">
        <v>30</v>
      </c>
      <c r="E20" s="18" t="s">
        <v>300</v>
      </c>
      <c r="F20" s="18" t="s">
        <v>299</v>
      </c>
      <c r="G20" s="81" t="s">
        <v>301</v>
      </c>
      <c r="H20" s="182"/>
      <c r="I20" s="182"/>
      <c r="J20" s="182"/>
      <c r="K20" s="185">
        <v>162.95279452054797</v>
      </c>
      <c r="L20" s="185">
        <v>0</v>
      </c>
      <c r="M20" s="185">
        <v>0</v>
      </c>
      <c r="N20" s="185">
        <v>0.22493150684931507</v>
      </c>
      <c r="O20" s="185">
        <v>6.5319452054794507</v>
      </c>
      <c r="P20" s="185">
        <v>13.287095890410958</v>
      </c>
      <c r="Q20" s="185">
        <v>0</v>
      </c>
      <c r="R20" s="185">
        <v>142.90884931506849</v>
      </c>
      <c r="S20" s="185">
        <v>0</v>
      </c>
      <c r="T20" s="184">
        <f t="shared" si="1"/>
        <v>0</v>
      </c>
      <c r="U20" s="76" t="s">
        <v>31</v>
      </c>
      <c r="V20" s="79" t="s">
        <v>435</v>
      </c>
      <c r="W20" s="79" t="str">
        <f>+IF(V20="Gas","Doesn't Apply",IF(U20&lt;$F$4,$D$4,IF(U20&lt;$F$5,$D$5,IF(U20&lt;$F$6,$D$6,IF(U20&gt;$E$7,$D$7,"Doesn't Apply")))))</f>
        <v>Doesn't Apply</v>
      </c>
    </row>
    <row r="21" spans="3:23" x14ac:dyDescent="0.25">
      <c r="C21" s="76" t="e" vm="8">
        <v>#VALUE!</v>
      </c>
      <c r="D21" s="18" t="s">
        <v>30</v>
      </c>
      <c r="E21" s="18" t="s">
        <v>300</v>
      </c>
      <c r="F21" s="18" t="s">
        <v>299</v>
      </c>
      <c r="G21" s="81" t="s">
        <v>311</v>
      </c>
      <c r="H21" s="182"/>
      <c r="I21" s="182"/>
      <c r="J21" s="182"/>
      <c r="K21" s="185">
        <v>23.174301369863016</v>
      </c>
      <c r="L21" s="185">
        <v>0</v>
      </c>
      <c r="M21" s="185">
        <v>0</v>
      </c>
      <c r="N21" s="185">
        <v>2.701369863013699E-2</v>
      </c>
      <c r="O21" s="185">
        <v>0.11695890410958903</v>
      </c>
      <c r="P21" s="185">
        <v>1.9608219178082194</v>
      </c>
      <c r="Q21" s="185">
        <v>0</v>
      </c>
      <c r="R21" s="185">
        <v>21.069616438356167</v>
      </c>
      <c r="S21" s="185">
        <v>0</v>
      </c>
      <c r="T21" s="184">
        <f t="shared" si="1"/>
        <v>0</v>
      </c>
      <c r="U21" s="76" t="s">
        <v>31</v>
      </c>
      <c r="V21" s="79" t="s">
        <v>435</v>
      </c>
      <c r="W21" s="79" t="str">
        <f>+IF(V21="Gas","Doesn't Apply",IF(U21&lt;$F$4,$D$4,IF(U21&lt;$F$5,$D$5,IF(U21&lt;$F$6,$D$6,IF(U21&gt;$E$7,$D$7,"Doesn't Apply")))))</f>
        <v>Doesn't Apply</v>
      </c>
    </row>
    <row r="22" spans="3:23" x14ac:dyDescent="0.25">
      <c r="C22" s="76" t="e" vm="1">
        <v>#VALUE!</v>
      </c>
      <c r="D22" s="18" t="s">
        <v>30</v>
      </c>
      <c r="E22" s="18" t="s">
        <v>60</v>
      </c>
      <c r="F22" s="18" t="s">
        <v>460</v>
      </c>
      <c r="G22" s="81" t="s">
        <v>342</v>
      </c>
      <c r="H22" s="182"/>
      <c r="I22" s="182"/>
      <c r="J22" s="182"/>
      <c r="K22" s="185">
        <v>0.58205479452054798</v>
      </c>
      <c r="L22" s="185">
        <v>0</v>
      </c>
      <c r="M22" s="185">
        <v>0</v>
      </c>
      <c r="N22" s="185">
        <v>0.58205479452054798</v>
      </c>
      <c r="O22" s="185">
        <v>0</v>
      </c>
      <c r="P22" s="185">
        <v>0</v>
      </c>
      <c r="Q22" s="185">
        <v>0</v>
      </c>
      <c r="R22" s="185">
        <v>0</v>
      </c>
      <c r="S22" s="185">
        <v>19756.607616438356</v>
      </c>
      <c r="T22" s="184">
        <f t="shared" si="1"/>
        <v>0</v>
      </c>
      <c r="U22" s="76">
        <v>8</v>
      </c>
      <c r="V22" s="79"/>
      <c r="W22" s="79" t="str">
        <f t="shared" ref="W22:W28" si="2">+IF(V22="Gas","Doesn't Apply",IF(U22&lt;$F$4,$D$4,IF(U22&lt;$F$5,$D$5,IF(U22&lt;$F$6,$D$6,IF(U22&gt;$E$7,$D$7,"Doesn't Apply")))))</f>
        <v>Extra Heavy Oil</v>
      </c>
    </row>
    <row r="23" spans="3:23" x14ac:dyDescent="0.25">
      <c r="C23" s="76" t="e" vm="9">
        <v>#VALUE!</v>
      </c>
      <c r="D23" s="18" t="s">
        <v>30</v>
      </c>
      <c r="E23" s="18" t="s">
        <v>452</v>
      </c>
      <c r="F23" s="18" t="s">
        <v>458</v>
      </c>
      <c r="G23" s="81" t="s">
        <v>343</v>
      </c>
      <c r="H23" s="182"/>
      <c r="I23" s="182"/>
      <c r="J23" s="182"/>
      <c r="K23" s="185">
        <v>1.9275342465753424</v>
      </c>
      <c r="L23" s="185">
        <v>0</v>
      </c>
      <c r="M23" s="185">
        <v>0</v>
      </c>
      <c r="N23" s="185">
        <v>0.22805479452054794</v>
      </c>
      <c r="O23" s="185">
        <v>0.10339726027397263</v>
      </c>
      <c r="P23" s="185">
        <v>1.5925479452054794</v>
      </c>
      <c r="Q23" s="185">
        <v>0.55931506849315071</v>
      </c>
      <c r="R23" s="185">
        <v>3.4794520547945205E-3</v>
      </c>
      <c r="S23" s="185">
        <v>4684.6815890410962</v>
      </c>
      <c r="T23" s="184">
        <f t="shared" si="1"/>
        <v>0</v>
      </c>
      <c r="U23" s="76">
        <v>23</v>
      </c>
      <c r="V23" s="79"/>
      <c r="W23" s="79" t="str">
        <f t="shared" si="2"/>
        <v>Medium Oil</v>
      </c>
    </row>
    <row r="24" spans="3:23" x14ac:dyDescent="0.25">
      <c r="C24" s="76" t="e" vm="9">
        <v>#VALUE!</v>
      </c>
      <c r="D24" s="18" t="s">
        <v>30</v>
      </c>
      <c r="E24" s="18" t="s">
        <v>453</v>
      </c>
      <c r="F24" s="18" t="s">
        <v>458</v>
      </c>
      <c r="G24" s="81" t="s">
        <v>344</v>
      </c>
      <c r="H24" s="182"/>
      <c r="I24" s="182"/>
      <c r="J24" s="182"/>
      <c r="K24" s="185">
        <v>0.86709589041095891</v>
      </c>
      <c r="L24" s="185">
        <v>0</v>
      </c>
      <c r="M24" s="185">
        <v>0</v>
      </c>
      <c r="N24" s="185">
        <v>0.41205479452054788</v>
      </c>
      <c r="O24" s="185">
        <v>0.45498630136986301</v>
      </c>
      <c r="P24" s="185">
        <v>0</v>
      </c>
      <c r="Q24" s="185">
        <v>0</v>
      </c>
      <c r="R24" s="185">
        <v>0</v>
      </c>
      <c r="S24" s="185">
        <v>4154.1152328767121</v>
      </c>
      <c r="T24" s="184">
        <f t="shared" si="1"/>
        <v>0</v>
      </c>
      <c r="U24" s="76">
        <v>25.5</v>
      </c>
      <c r="V24" s="79"/>
      <c r="W24" s="79" t="str">
        <f t="shared" si="2"/>
        <v>Medium Oil</v>
      </c>
    </row>
    <row r="25" spans="3:23" x14ac:dyDescent="0.25">
      <c r="C25" s="76" t="e" vm="9">
        <v>#VALUE!</v>
      </c>
      <c r="D25" s="18" t="s">
        <v>30</v>
      </c>
      <c r="E25" s="18" t="s">
        <v>454</v>
      </c>
      <c r="F25" s="18" t="s">
        <v>458</v>
      </c>
      <c r="G25" s="193" t="s">
        <v>345</v>
      </c>
      <c r="H25" s="182"/>
      <c r="I25" s="182"/>
      <c r="J25" s="182"/>
      <c r="K25" s="185">
        <v>1.1908493150684931</v>
      </c>
      <c r="L25" s="185">
        <v>0</v>
      </c>
      <c r="M25" s="185">
        <v>0</v>
      </c>
      <c r="N25" s="185">
        <v>1.5506849315068495E-2</v>
      </c>
      <c r="O25" s="185">
        <v>0</v>
      </c>
      <c r="P25" s="185">
        <v>1.1751506849315068</v>
      </c>
      <c r="Q25" s="185">
        <v>0.52964383561643835</v>
      </c>
      <c r="R25" s="185">
        <v>0</v>
      </c>
      <c r="S25" s="185">
        <v>3941.1335068493149</v>
      </c>
      <c r="T25" s="184">
        <f t="shared" si="1"/>
        <v>0</v>
      </c>
      <c r="U25" s="76">
        <v>21</v>
      </c>
      <c r="V25" s="79"/>
      <c r="W25" s="79" t="str">
        <f t="shared" si="2"/>
        <v>Heavy Oil</v>
      </c>
    </row>
    <row r="26" spans="3:23" x14ac:dyDescent="0.25">
      <c r="C26" s="76" t="e" vm="1">
        <v>#VALUE!</v>
      </c>
      <c r="D26" s="18" t="s">
        <v>30</v>
      </c>
      <c r="E26" s="18" t="s">
        <v>455</v>
      </c>
      <c r="F26" s="18" t="s">
        <v>460</v>
      </c>
      <c r="G26" s="81" t="s">
        <v>346</v>
      </c>
      <c r="H26" s="182"/>
      <c r="I26" s="182"/>
      <c r="J26" s="182"/>
      <c r="K26" s="185">
        <v>0.23827397260273972</v>
      </c>
      <c r="L26" s="185">
        <v>0</v>
      </c>
      <c r="M26" s="185">
        <v>0</v>
      </c>
      <c r="N26" s="185">
        <v>0.1378630136986301</v>
      </c>
      <c r="O26" s="185">
        <v>0.10038356164383562</v>
      </c>
      <c r="P26" s="185">
        <v>0</v>
      </c>
      <c r="Q26" s="185">
        <v>0</v>
      </c>
      <c r="R26" s="185">
        <v>0</v>
      </c>
      <c r="S26" s="185">
        <v>1476.5236986301368</v>
      </c>
      <c r="T26" s="184">
        <f t="shared" si="1"/>
        <v>0</v>
      </c>
      <c r="U26" s="76">
        <v>13.5</v>
      </c>
      <c r="V26" s="79"/>
      <c r="W26" s="79" t="str">
        <f t="shared" si="2"/>
        <v>Heavy Oil</v>
      </c>
    </row>
    <row r="27" spans="3:23" x14ac:dyDescent="0.25">
      <c r="C27" s="76" t="e" vm="5">
        <v>#VALUE!</v>
      </c>
      <c r="D27" s="18" t="s">
        <v>30</v>
      </c>
      <c r="E27" s="18" t="s">
        <v>456</v>
      </c>
      <c r="F27" s="18" t="s">
        <v>79</v>
      </c>
      <c r="G27" s="81" t="s">
        <v>347</v>
      </c>
      <c r="H27" s="182"/>
      <c r="I27" s="182"/>
      <c r="J27" s="182"/>
      <c r="K27" s="185">
        <v>0.23827397260273972</v>
      </c>
      <c r="L27" s="185">
        <v>0</v>
      </c>
      <c r="M27" s="185">
        <v>0</v>
      </c>
      <c r="N27" s="185">
        <v>0.1378630136986301</v>
      </c>
      <c r="O27" s="185">
        <v>0.10038356164383562</v>
      </c>
      <c r="P27" s="185">
        <v>0</v>
      </c>
      <c r="Q27" s="185">
        <v>0</v>
      </c>
      <c r="R27" s="185">
        <v>0</v>
      </c>
      <c r="S27" s="185">
        <v>1476.5236986301368</v>
      </c>
      <c r="T27" s="184">
        <f t="shared" si="1"/>
        <v>0</v>
      </c>
      <c r="U27" s="76">
        <v>12.5</v>
      </c>
      <c r="V27" s="79"/>
      <c r="W27" s="79" t="str">
        <f t="shared" si="2"/>
        <v>Heavy Oil</v>
      </c>
    </row>
    <row r="28" spans="3:23" x14ac:dyDescent="0.25">
      <c r="C28" s="76" t="e" vm="10">
        <v>#VALUE!</v>
      </c>
      <c r="D28" s="18" t="s">
        <v>30</v>
      </c>
      <c r="E28" s="18" t="s">
        <v>457</v>
      </c>
      <c r="F28" s="18" t="s">
        <v>459</v>
      </c>
      <c r="G28" s="81" t="s">
        <v>318</v>
      </c>
      <c r="H28" s="182"/>
      <c r="I28" s="182"/>
      <c r="J28" s="182"/>
      <c r="K28" s="185">
        <v>35.569315068493154</v>
      </c>
      <c r="L28" s="185">
        <v>0</v>
      </c>
      <c r="M28" s="185">
        <v>0</v>
      </c>
      <c r="N28" s="185">
        <v>0</v>
      </c>
      <c r="O28" s="185">
        <v>0</v>
      </c>
      <c r="P28" s="185">
        <v>35.569315068493154</v>
      </c>
      <c r="Q28" s="185">
        <v>3.5723835616438366</v>
      </c>
      <c r="R28" s="185">
        <v>0</v>
      </c>
      <c r="S28" s="185">
        <v>0</v>
      </c>
      <c r="T28" s="184">
        <f t="shared" si="1"/>
        <v>0</v>
      </c>
      <c r="U28" s="76" t="s">
        <v>31</v>
      </c>
      <c r="V28" s="79" t="s">
        <v>435</v>
      </c>
      <c r="W28" s="79" t="str">
        <f t="shared" si="2"/>
        <v>Doesn't Apply</v>
      </c>
    </row>
    <row r="29" spans="3:23" x14ac:dyDescent="0.25">
      <c r="C29" s="76" t="e" vm="11">
        <v>#VALUE!</v>
      </c>
      <c r="D29" s="18" t="s">
        <v>30</v>
      </c>
      <c r="E29" s="18" t="s">
        <v>449</v>
      </c>
      <c r="F29" s="18" t="s">
        <v>461</v>
      </c>
      <c r="G29" s="81" t="s">
        <v>449</v>
      </c>
      <c r="H29" s="182"/>
      <c r="I29" s="182"/>
      <c r="J29" s="182"/>
      <c r="K29" s="185">
        <v>3.4626301369863017</v>
      </c>
      <c r="L29" s="185">
        <v>0</v>
      </c>
      <c r="M29" s="185">
        <v>0</v>
      </c>
      <c r="N29" s="185">
        <v>3.4626301369863017</v>
      </c>
      <c r="O29" s="185">
        <v>0</v>
      </c>
      <c r="P29" s="185">
        <v>0</v>
      </c>
      <c r="Q29" s="185">
        <v>0</v>
      </c>
      <c r="R29" s="185">
        <v>0</v>
      </c>
      <c r="S29" s="185">
        <v>1962.0646849315069</v>
      </c>
      <c r="T29" s="184">
        <f t="shared" si="1"/>
        <v>0</v>
      </c>
      <c r="U29" s="76">
        <v>35</v>
      </c>
      <c r="V29" s="79"/>
      <c r="W29" s="79"/>
    </row>
    <row r="35" spans="5:12" x14ac:dyDescent="0.25">
      <c r="G35" t="s">
        <v>30</v>
      </c>
      <c r="I35" t="s">
        <v>473</v>
      </c>
    </row>
    <row r="36" spans="5:12" x14ac:dyDescent="0.25">
      <c r="E36" s="189" t="e" vm="5">
        <v>#VALUE!</v>
      </c>
      <c r="F36" s="180" t="s">
        <v>462</v>
      </c>
      <c r="G36" s="190">
        <v>14656.498438356164</v>
      </c>
      <c r="H36" s="191">
        <v>2.8564827826612956E-2</v>
      </c>
      <c r="I36" s="180">
        <f>+SUMIF($C$10:C29,E36,S$10:S$29)</f>
        <v>13595.920273972602</v>
      </c>
      <c r="J36" s="180"/>
      <c r="K36" s="192">
        <f>+G36-I36</f>
        <v>1060.5781643835617</v>
      </c>
      <c r="L36" s="191">
        <f>+K36/G36</f>
        <v>7.2362315517874365E-2</v>
      </c>
    </row>
    <row r="37" spans="5:12" x14ac:dyDescent="0.25">
      <c r="E37" s="189" t="e" vm="7">
        <v>#VALUE!</v>
      </c>
      <c r="F37" s="180" t="s">
        <v>463</v>
      </c>
      <c r="G37" s="190">
        <v>49873.263342465754</v>
      </c>
      <c r="H37" s="191">
        <v>9.7200650381855019E-2</v>
      </c>
      <c r="I37" s="180">
        <f ca="1">+SUMIF($C$10:C30,E37,S$10:S$29)</f>
        <v>45006.501780821927</v>
      </c>
      <c r="J37" s="180"/>
      <c r="K37" s="192">
        <f t="shared" ref="K37:K48" ca="1" si="3">+G37-I37</f>
        <v>4866.761561643827</v>
      </c>
      <c r="L37" s="191">
        <f t="shared" ref="L37:L48" ca="1" si="4">+K37/G37</f>
        <v>9.758257702579308E-2</v>
      </c>
    </row>
    <row r="38" spans="5:12" x14ac:dyDescent="0.25">
      <c r="F38" t="s">
        <v>464</v>
      </c>
      <c r="G38" s="187">
        <v>2877.3214794520545</v>
      </c>
      <c r="H38" s="186">
        <v>5.6077645699651466E-3</v>
      </c>
      <c r="I38">
        <f ca="1">+SUMIF($C$10:C31,E38,S$10:S$29)</f>
        <v>0</v>
      </c>
      <c r="K38" s="188">
        <f t="shared" ca="1" si="3"/>
        <v>2877.3214794520545</v>
      </c>
      <c r="L38" s="186">
        <f t="shared" ca="1" si="4"/>
        <v>1</v>
      </c>
    </row>
    <row r="39" spans="5:12" x14ac:dyDescent="0.25">
      <c r="F39" t="s">
        <v>465</v>
      </c>
      <c r="G39" s="187">
        <v>63.741945205479446</v>
      </c>
      <c r="H39" s="186">
        <v>1.2423006066462157E-4</v>
      </c>
      <c r="I39">
        <f ca="1">+SUMIF($C$10:C32,E39,S$10:S$29)</f>
        <v>0</v>
      </c>
      <c r="K39" s="188">
        <f t="shared" ca="1" si="3"/>
        <v>63.741945205479446</v>
      </c>
      <c r="L39" s="186">
        <f t="shared" ca="1" si="4"/>
        <v>1</v>
      </c>
    </row>
    <row r="40" spans="5:12" x14ac:dyDescent="0.25">
      <c r="E40" s="189" t="e" vm="9">
        <v>#VALUE!</v>
      </c>
      <c r="F40" s="180" t="s">
        <v>466</v>
      </c>
      <c r="G40" s="190">
        <v>23392.562712328774</v>
      </c>
      <c r="H40" s="191">
        <v>4.5591007232138166E-2</v>
      </c>
      <c r="I40" s="180">
        <f ca="1">+SUMIF($C$10:C33,E40,S$10:S$29)</f>
        <v>12779.930328767123</v>
      </c>
      <c r="J40" s="180"/>
      <c r="K40" s="192">
        <f t="shared" ca="1" si="3"/>
        <v>10612.632383561651</v>
      </c>
      <c r="L40" s="191">
        <f t="shared" ca="1" si="4"/>
        <v>0.45367549139745977</v>
      </c>
    </row>
    <row r="41" spans="5:12" x14ac:dyDescent="0.25">
      <c r="E41" s="189" t="e" vm="1">
        <v>#VALUE!</v>
      </c>
      <c r="F41" s="180" t="s">
        <v>467</v>
      </c>
      <c r="G41" s="190">
        <v>351063.42304109584</v>
      </c>
      <c r="H41" s="191">
        <v>0.68420614088469911</v>
      </c>
      <c r="I41" s="180">
        <f ca="1">+SUMIF($C$10:C34,E41,S$10:S$29)</f>
        <v>323688.66057534254</v>
      </c>
      <c r="J41" s="180"/>
      <c r="K41" s="192">
        <f t="shared" ca="1" si="3"/>
        <v>27374.762465753302</v>
      </c>
      <c r="L41" s="191">
        <f t="shared" ca="1" si="4"/>
        <v>7.7976686459155231E-2</v>
      </c>
    </row>
    <row r="42" spans="5:12" x14ac:dyDescent="0.25">
      <c r="E42" s="189" t="e" vm="10">
        <v>#VALUE!</v>
      </c>
      <c r="F42" s="180" t="s">
        <v>468</v>
      </c>
      <c r="G42" s="190">
        <v>1502.4393150684932</v>
      </c>
      <c r="H42" s="191">
        <v>2.9281837360656286E-3</v>
      </c>
      <c r="I42" s="180">
        <f ca="1">+SUMIF($C$10:C35,E42,S$10:S$29)</f>
        <v>0</v>
      </c>
      <c r="J42" s="180"/>
      <c r="K42" s="192">
        <f t="shared" ca="1" si="3"/>
        <v>1502.4393150684932</v>
      </c>
      <c r="L42" s="191">
        <f t="shared" ca="1" si="4"/>
        <v>1</v>
      </c>
    </row>
    <row r="43" spans="5:12" x14ac:dyDescent="0.25">
      <c r="E43" s="189" t="e" vm="11">
        <v>#VALUE!</v>
      </c>
      <c r="F43" s="180" t="s">
        <v>451</v>
      </c>
      <c r="G43" s="190">
        <v>5907.8353698630135</v>
      </c>
      <c r="H43" s="191">
        <v>1.1514093961656952E-2</v>
      </c>
      <c r="I43" s="180">
        <f ca="1">+SUMIF($C$10:C36,E43,S$10:S$29)</f>
        <v>1962.0646849315069</v>
      </c>
      <c r="J43" s="180"/>
      <c r="K43" s="192">
        <f t="shared" ca="1" si="3"/>
        <v>3945.7706849315064</v>
      </c>
      <c r="L43" s="191">
        <f t="shared" ca="1" si="4"/>
        <v>0.66788771824273063</v>
      </c>
    </row>
    <row r="44" spans="5:12" x14ac:dyDescent="0.25">
      <c r="F44" t="s">
        <v>464</v>
      </c>
      <c r="G44" s="187">
        <v>2877.3214794520545</v>
      </c>
      <c r="H44" s="186">
        <v>5.6077645699651466E-3</v>
      </c>
      <c r="I44">
        <f ca="1">+SUMIF($C$10:C37,E44,S$10:S$29)</f>
        <v>0</v>
      </c>
      <c r="K44" s="188">
        <f t="shared" ca="1" si="3"/>
        <v>2877.3214794520545</v>
      </c>
      <c r="L44" s="186">
        <f t="shared" ca="1" si="4"/>
        <v>1</v>
      </c>
    </row>
    <row r="45" spans="5:12" x14ac:dyDescent="0.25">
      <c r="E45" s="189" t="e" vm="2">
        <v>#VALUE!</v>
      </c>
      <c r="F45" s="180" t="s">
        <v>469</v>
      </c>
      <c r="G45" s="190">
        <v>56937.26830136987</v>
      </c>
      <c r="H45" s="191">
        <v>0.11096806462926974</v>
      </c>
      <c r="I45" s="180">
        <f ca="1">+SUMIF($C$10:C38,E45,S$10:S$29)</f>
        <v>42334.39687671233</v>
      </c>
      <c r="J45" s="180"/>
      <c r="K45" s="192">
        <f t="shared" ca="1" si="3"/>
        <v>14602.87142465754</v>
      </c>
      <c r="L45" s="191">
        <f t="shared" ca="1" si="4"/>
        <v>0.25647298966582499</v>
      </c>
    </row>
    <row r="46" spans="5:12" x14ac:dyDescent="0.25">
      <c r="F46" t="s">
        <v>470</v>
      </c>
      <c r="G46" s="187">
        <v>33.721452054794518</v>
      </c>
      <c r="H46" s="186">
        <v>6.5721527966581929E-5</v>
      </c>
      <c r="I46">
        <f ca="1">+SUMIF($C$10:C39,E46,S$10:S$29)</f>
        <v>0</v>
      </c>
      <c r="K46" s="188">
        <f t="shared" ca="1" si="3"/>
        <v>33.721452054794518</v>
      </c>
      <c r="L46" s="186">
        <f t="shared" ca="1" si="4"/>
        <v>1</v>
      </c>
    </row>
    <row r="47" spans="5:12" x14ac:dyDescent="0.25">
      <c r="F47" t="s">
        <v>471</v>
      </c>
      <c r="G47" s="187">
        <v>3910.58701369863</v>
      </c>
      <c r="H47" s="186">
        <v>7.6215506191408197E-3</v>
      </c>
      <c r="I47">
        <f ca="1">+SUMIF($C$10:C40,E47,S$10:S$29)</f>
        <v>0</v>
      </c>
      <c r="K47" s="188">
        <f t="shared" ca="1" si="3"/>
        <v>3910.58701369863</v>
      </c>
      <c r="L47" s="186">
        <f t="shared" ca="1" si="4"/>
        <v>1</v>
      </c>
    </row>
    <row r="48" spans="5:12" x14ac:dyDescent="0.25">
      <c r="E48" s="189" t="e" vm="4">
        <v>#VALUE!</v>
      </c>
      <c r="F48" s="180" t="s">
        <v>472</v>
      </c>
      <c r="G48" s="190">
        <v>14709.643945205482</v>
      </c>
      <c r="H48" s="191">
        <v>2.8668405926067869E-2</v>
      </c>
      <c r="I48" s="180">
        <f ca="1">+SUMIF($C$10:C41,E48,S$10:S$29)</f>
        <v>17849.99879452055</v>
      </c>
      <c r="J48" s="180"/>
      <c r="K48" s="192">
        <f t="shared" ca="1" si="3"/>
        <v>-3140.3548493150683</v>
      </c>
      <c r="L48" s="191">
        <f t="shared" ca="1" si="4"/>
        <v>-0.2134895216371738</v>
      </c>
    </row>
    <row r="49" spans="7:9" x14ac:dyDescent="0.25">
      <c r="G49">
        <v>513095.98389041098</v>
      </c>
      <c r="I49">
        <f ca="1">+SUM(I36:I48)</f>
        <v>457217.47331506858</v>
      </c>
    </row>
  </sheetData>
  <mergeCells count="2">
    <mergeCell ref="D2:F2"/>
    <mergeCell ref="K8:R8"/>
  </mergeCells>
  <conditionalFormatting sqref="F10:F29">
    <cfRule type="containsBlanks" dxfId="11" priority="32">
      <formula>LEN(TRIM(F10))=0</formula>
    </cfRule>
  </conditionalFormatting>
  <conditionalFormatting sqref="U10:V21">
    <cfRule type="containsText" dxfId="10" priority="28" operator="containsText" text="Oil and Gas">
      <formula>NOT(ISERROR(SEARCH("Oil and Gas",U10)))</formula>
    </cfRule>
    <cfRule type="containsText" dxfId="9" priority="29" operator="containsText" text="Gas">
      <formula>NOT(ISERROR(SEARCH("Gas",U10)))</formula>
    </cfRule>
    <cfRule type="containsText" dxfId="8" priority="30" operator="containsText" text="Oil">
      <formula>NOT(ISERROR(SEARCH("Oil",U10)))</formula>
    </cfRule>
  </conditionalFormatting>
  <conditionalFormatting sqref="U22:V29">
    <cfRule type="containsText" dxfId="7" priority="2" operator="containsText" text="Oil and Gas">
      <formula>NOT(ISERROR(SEARCH("Oil and Gas",U22)))</formula>
    </cfRule>
    <cfRule type="containsText" dxfId="6" priority="3" operator="containsText" text="Gas">
      <formula>NOT(ISERROR(SEARCH("Gas",U22)))</formula>
    </cfRule>
    <cfRule type="containsText" dxfId="5" priority="4" operator="containsText" text="Oil">
      <formula>NOT(ISERROR(SEARCH("Oil",U22)))</formula>
    </cfRule>
  </conditionalFormatting>
  <conditionalFormatting sqref="K10:S29">
    <cfRule type="cellIs" dxfId="4"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3" operator="containsText" id="{939931F9-62D2-434A-B365-7AB1DF16894F}">
            <xm:f>NOT(ISERROR(SEARCH($D$7,D4)))</xm:f>
            <xm:f>$D$7</xm:f>
            <x14:dxf>
              <fill>
                <patternFill>
                  <bgColor theme="7" tint="0.79998168889431442"/>
                </patternFill>
              </fill>
            </x14:dxf>
          </x14:cfRule>
          <x14:cfRule type="containsText" priority="14" operator="containsText" id="{A0E49F1A-959B-4CE7-BB28-97C1B2047DB9}">
            <xm:f>NOT(ISERROR(SEARCH($D$6,D4)))</xm:f>
            <xm:f>$D$6</xm:f>
            <x14:dxf>
              <fill>
                <patternFill>
                  <bgColor theme="5" tint="0.79998168889431442"/>
                </patternFill>
              </fill>
            </x14:dxf>
          </x14:cfRule>
          <x14:cfRule type="containsText" priority="15" operator="containsText" id="{F90B021F-32A0-4186-A3E2-6E1767715FD8}">
            <xm:f>NOT(ISERROR(SEARCH($D$5,D4)))</xm:f>
            <xm:f>$D$5</xm:f>
            <x14:dxf>
              <fill>
                <patternFill>
                  <bgColor theme="0" tint="-0.24994659260841701"/>
                </patternFill>
              </fill>
            </x14:dxf>
          </x14:cfRule>
          <x14:cfRule type="containsText" priority="16" operator="containsText" id="{7BFE0A8B-3899-4783-85DC-403086432AED}">
            <xm:f>NOT(ISERROR(SEARCH($D$4,D4)))</xm:f>
            <xm:f>$D$4</xm:f>
            <x14:dxf>
              <fill>
                <patternFill>
                  <bgColor theme="0" tint="-0.34998626667073579"/>
                </patternFill>
              </fill>
            </x14:dxf>
          </x14:cfRule>
          <xm:sqref>D4:D7 W10:W29</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F11C-6D97-40EB-8508-BF37DEBC90BE}">
  <dimension ref="C1:AF61"/>
  <sheetViews>
    <sheetView showGridLines="0" zoomScale="115" zoomScaleNormal="115" workbookViewId="0">
      <selection activeCell="K21" sqref="K21"/>
    </sheetView>
  </sheetViews>
  <sheetFormatPr baseColWidth="10" defaultRowHeight="15" x14ac:dyDescent="0.25"/>
  <cols>
    <col min="3" max="4" width="17.5703125" customWidth="1"/>
    <col min="5" max="5" width="21.42578125" customWidth="1"/>
    <col min="6" max="6" width="13.42578125" customWidth="1"/>
    <col min="7" max="12" width="11.42578125" customWidth="1"/>
    <col min="19" max="19" width="15.28515625" customWidth="1"/>
    <col min="21" max="21" width="14.140625" customWidth="1"/>
    <col min="28" max="28" width="14.140625" customWidth="1"/>
    <col min="29" max="29" width="21.28515625" customWidth="1"/>
    <col min="30" max="30" width="18.85546875" customWidth="1"/>
    <col min="31" max="31" width="20.28515625" customWidth="1"/>
  </cols>
  <sheetData>
    <row r="1" spans="3:32" x14ac:dyDescent="0.25">
      <c r="F1" t="s">
        <v>507</v>
      </c>
      <c r="G1" s="229">
        <f>+F29*1000/E29</f>
        <v>5997.3958333333339</v>
      </c>
      <c r="H1" s="229" t="s">
        <v>525</v>
      </c>
      <c r="I1" s="229"/>
      <c r="J1" s="229"/>
      <c r="U1">
        <v>1</v>
      </c>
      <c r="V1" t="s">
        <v>484</v>
      </c>
      <c r="W1">
        <v>5800</v>
      </c>
      <c r="X1" t="s">
        <v>485</v>
      </c>
    </row>
    <row r="3" spans="3:32" x14ac:dyDescent="0.25">
      <c r="M3" s="254" t="s">
        <v>533</v>
      </c>
      <c r="N3" s="255"/>
      <c r="O3" s="255"/>
      <c r="P3" s="255"/>
      <c r="Q3" s="256"/>
      <c r="R3" s="255"/>
      <c r="S3" s="255"/>
      <c r="T3" s="207" t="s">
        <v>479</v>
      </c>
      <c r="U3" s="208"/>
      <c r="V3" s="208"/>
      <c r="W3" s="208"/>
      <c r="X3" s="208"/>
      <c r="Y3" s="208"/>
      <c r="Z3" s="209"/>
      <c r="AD3" s="250" t="s">
        <v>488</v>
      </c>
      <c r="AE3" s="250"/>
    </row>
    <row r="4" spans="3:32" x14ac:dyDescent="0.25">
      <c r="E4" s="216" t="s">
        <v>475</v>
      </c>
      <c r="F4" s="217" t="s">
        <v>478</v>
      </c>
      <c r="G4" s="218" t="s">
        <v>477</v>
      </c>
      <c r="H4" s="218" t="s">
        <v>476</v>
      </c>
      <c r="I4" s="218"/>
      <c r="J4" s="218"/>
      <c r="K4" s="219" t="s">
        <v>480</v>
      </c>
      <c r="L4" s="216" t="s">
        <v>481</v>
      </c>
      <c r="M4" s="257" t="s">
        <v>380</v>
      </c>
      <c r="N4" s="257" t="s">
        <v>535</v>
      </c>
      <c r="O4" s="257" t="s">
        <v>534</v>
      </c>
      <c r="P4" s="257" t="s">
        <v>536</v>
      </c>
      <c r="Q4" s="257" t="s">
        <v>537</v>
      </c>
      <c r="R4" s="257" t="s">
        <v>477</v>
      </c>
      <c r="S4" s="257" t="s">
        <v>538</v>
      </c>
      <c r="T4" s="216">
        <v>2020</v>
      </c>
      <c r="U4" s="217">
        <v>2025</v>
      </c>
      <c r="V4" s="217">
        <v>2030</v>
      </c>
      <c r="W4" s="217">
        <v>2035</v>
      </c>
      <c r="X4" s="217">
        <v>2040</v>
      </c>
      <c r="Y4" s="217">
        <v>2045</v>
      </c>
      <c r="Z4" s="218">
        <v>2050</v>
      </c>
      <c r="AA4" s="220" t="s">
        <v>483</v>
      </c>
      <c r="AB4" s="221" t="s">
        <v>482</v>
      </c>
      <c r="AC4" s="222" t="s">
        <v>486</v>
      </c>
      <c r="AD4" s="220" t="s">
        <v>487</v>
      </c>
      <c r="AE4" s="221" t="s">
        <v>489</v>
      </c>
      <c r="AF4" s="183" t="s">
        <v>490</v>
      </c>
    </row>
    <row r="5" spans="3:32" x14ac:dyDescent="0.25">
      <c r="C5" t="s">
        <v>301</v>
      </c>
      <c r="E5" s="197">
        <v>28.68</v>
      </c>
      <c r="F5" s="198">
        <v>172.07</v>
      </c>
      <c r="G5" s="199">
        <v>0</v>
      </c>
      <c r="H5">
        <f>+E5-G5</f>
        <v>28.68</v>
      </c>
      <c r="I5" s="186">
        <f>+G5/E5</f>
        <v>0</v>
      </c>
      <c r="J5" s="186">
        <f>+H5/E5</f>
        <v>1</v>
      </c>
      <c r="K5" s="200">
        <v>0.96079999999999999</v>
      </c>
      <c r="L5" s="201">
        <v>2027</v>
      </c>
      <c r="Q5" s="260">
        <v>0</v>
      </c>
      <c r="R5" s="261">
        <f>+Q5*E5</f>
        <v>0</v>
      </c>
      <c r="S5" t="s">
        <v>539</v>
      </c>
      <c r="T5" s="202">
        <v>20000</v>
      </c>
      <c r="U5" s="203">
        <v>12500</v>
      </c>
      <c r="V5" s="206"/>
      <c r="W5" s="206"/>
      <c r="X5" s="206"/>
      <c r="Y5" s="206"/>
      <c r="Z5" s="199"/>
      <c r="AA5" s="210">
        <f t="shared" ref="AA5:AA37" si="0">+SLOPE(T5:Z5,$T$4:$Z$4)</f>
        <v>-1500</v>
      </c>
      <c r="AB5" s="204">
        <f t="shared" ref="AB5:AB37" si="1">+INTERCEPT(T5:Z5,$T$4:$Z$4)</f>
        <v>3050000</v>
      </c>
      <c r="AC5" s="211">
        <f t="shared" ref="AC5:AC37" si="2">+AA5*L5+AB5</f>
        <v>9500</v>
      </c>
      <c r="AD5" s="224">
        <f t="shared" ref="AD5:AD37" si="3">+((L5-$T$4)*AC5+((L5-$T$4)*(T5-AC5))/2)*365/1000000</f>
        <v>37.686250000000001</v>
      </c>
      <c r="AE5" s="225">
        <f t="shared" ref="AE5:AE37" si="4">+((AA5*L5*L5/2)+(AB5*L5)-(AA5*$T$4*$T$4/2)-(AB5*$T$4))*365/1000000</f>
        <v>37.686250000000001</v>
      </c>
      <c r="AF5" s="186">
        <f>+(AE5-E5)/E5</f>
        <v>0.31402545327754539</v>
      </c>
    </row>
    <row r="6" spans="3:32" x14ac:dyDescent="0.25">
      <c r="C6" t="s">
        <v>342</v>
      </c>
      <c r="E6" s="194">
        <v>89.87</v>
      </c>
      <c r="F6" s="194">
        <v>0</v>
      </c>
      <c r="G6" s="194">
        <f>+E6</f>
        <v>89.87</v>
      </c>
      <c r="H6">
        <f>+E6-G6</f>
        <v>0</v>
      </c>
      <c r="I6" s="186">
        <f>+G6/E6</f>
        <v>1</v>
      </c>
      <c r="J6" s="186">
        <f>+H6/E6</f>
        <v>0</v>
      </c>
      <c r="K6" s="196">
        <v>0.24629999999999999</v>
      </c>
      <c r="L6" s="194">
        <v>2048</v>
      </c>
      <c r="M6" s="258">
        <f>+N6+P6</f>
        <v>19756.607616438356</v>
      </c>
      <c r="N6" s="258">
        <v>19756.607616438356</v>
      </c>
      <c r="O6" s="258">
        <v>0</v>
      </c>
      <c r="P6" s="258">
        <f>+(O6*1000000)/$W$1</f>
        <v>0</v>
      </c>
      <c r="Q6" s="259">
        <f>+N6/M6</f>
        <v>1</v>
      </c>
      <c r="R6" s="261">
        <f>+Q6*E6</f>
        <v>89.87</v>
      </c>
      <c r="S6" s="259">
        <f>+G6/E6</f>
        <v>1</v>
      </c>
      <c r="T6" s="194">
        <v>10000</v>
      </c>
      <c r="U6" s="194">
        <v>16000</v>
      </c>
      <c r="V6" s="194">
        <v>11000</v>
      </c>
      <c r="W6" s="194">
        <v>7500</v>
      </c>
      <c r="X6" s="194">
        <v>5500</v>
      </c>
      <c r="Y6" s="194">
        <v>4000</v>
      </c>
      <c r="Z6" s="194"/>
      <c r="AA6" s="210">
        <f t="shared" si="0"/>
        <v>-371.42857142857144</v>
      </c>
      <c r="AB6" s="204">
        <f t="shared" si="1"/>
        <v>763928.57142857148</v>
      </c>
      <c r="AC6" s="211">
        <f t="shared" si="2"/>
        <v>3242.8571428571595</v>
      </c>
      <c r="AD6" s="226">
        <f t="shared" si="3"/>
        <v>67.671000000000092</v>
      </c>
      <c r="AE6" s="227">
        <f t="shared" si="4"/>
        <v>86.286000000000001</v>
      </c>
      <c r="AF6" s="186">
        <f>+(AE6-E6)/E6</f>
        <v>-3.9879826415934162E-2</v>
      </c>
    </row>
    <row r="7" spans="3:32" x14ac:dyDescent="0.25">
      <c r="C7" t="s">
        <v>491</v>
      </c>
      <c r="E7" s="194">
        <v>1.37</v>
      </c>
      <c r="F7" s="230">
        <f>+E7*1.12%</f>
        <v>1.5344000000000003E-2</v>
      </c>
      <c r="G7" s="195">
        <f>+E7*98.88%</f>
        <v>1.3546559999999999</v>
      </c>
      <c r="H7">
        <f>+E7-G7</f>
        <v>1.5344000000000246E-2</v>
      </c>
      <c r="I7" s="186">
        <f>+G7/E7</f>
        <v>0.98879999999999979</v>
      </c>
      <c r="J7" s="186">
        <f>+H7/E7</f>
        <v>1.1200000000000179E-2</v>
      </c>
      <c r="K7" s="196">
        <v>0.62780000000000002</v>
      </c>
      <c r="L7" s="194">
        <v>2041</v>
      </c>
      <c r="M7" s="258">
        <f t="shared" ref="M7:M38" si="5">+N7+P7</f>
        <v>285.28490222012289</v>
      </c>
      <c r="N7" s="258">
        <v>249.14413698630142</v>
      </c>
      <c r="O7" s="258">
        <v>0.20961643835616439</v>
      </c>
      <c r="P7" s="258">
        <f t="shared" ref="P7:P38" si="6">+(O7*1000000)/$W$1</f>
        <v>36.140765233821448</v>
      </c>
      <c r="Q7" s="259">
        <f t="shared" ref="Q7:Q38" si="7">+N7/M7</f>
        <v>0.8733169370248145</v>
      </c>
      <c r="R7" s="261">
        <f>+Q7*E7</f>
        <v>1.196444203723996</v>
      </c>
      <c r="S7" s="259">
        <f>+G7/E7</f>
        <v>0.98879999999999979</v>
      </c>
      <c r="T7" s="194">
        <v>400</v>
      </c>
      <c r="U7" s="194">
        <v>280</v>
      </c>
      <c r="V7" s="194">
        <v>200</v>
      </c>
      <c r="W7" s="194">
        <v>120</v>
      </c>
      <c r="X7" s="194">
        <v>80</v>
      </c>
      <c r="Y7" s="194"/>
      <c r="Z7" s="194"/>
      <c r="AA7" s="210">
        <f t="shared" si="0"/>
        <v>-16</v>
      </c>
      <c r="AB7" s="204">
        <f t="shared" si="1"/>
        <v>32696</v>
      </c>
      <c r="AC7" s="211">
        <f t="shared" si="2"/>
        <v>40</v>
      </c>
      <c r="AD7" s="226">
        <f t="shared" si="3"/>
        <v>1.6862999999999999</v>
      </c>
      <c r="AE7" s="227">
        <f t="shared" si="4"/>
        <v>1.59432</v>
      </c>
      <c r="AF7" s="186">
        <f>+(AE7-E7)/E7</f>
        <v>0.16373722627737214</v>
      </c>
    </row>
    <row r="8" spans="3:32" x14ac:dyDescent="0.25">
      <c r="C8" t="s">
        <v>346</v>
      </c>
      <c r="E8" s="194">
        <v>2.5</v>
      </c>
      <c r="F8" s="194">
        <v>7.0000000000000007E-2</v>
      </c>
      <c r="G8" s="194">
        <f>+E8*99.53%</f>
        <v>2.4882499999999999</v>
      </c>
      <c r="H8">
        <f>+E8-G8</f>
        <v>1.1750000000000149E-2</v>
      </c>
      <c r="I8" s="186">
        <f>+G8/E8</f>
        <v>0.99529999999999996</v>
      </c>
      <c r="J8" s="186">
        <f>+H8/E8</f>
        <v>4.70000000000006E-3</v>
      </c>
      <c r="K8" s="196">
        <v>0.93179999999999996</v>
      </c>
      <c r="L8" s="194">
        <v>2029</v>
      </c>
      <c r="M8" s="258">
        <f t="shared" si="5"/>
        <v>3767.1428889938588</v>
      </c>
      <c r="N8" s="258">
        <v>3691.9893698630135</v>
      </c>
      <c r="O8" s="258">
        <v>0.43589041095890391</v>
      </c>
      <c r="P8" s="258">
        <f t="shared" si="6"/>
        <v>75.153519130845496</v>
      </c>
      <c r="Q8" s="259">
        <f t="shared" si="7"/>
        <v>0.98005026054349709</v>
      </c>
      <c r="R8" s="261">
        <f>+Q8*E8</f>
        <v>2.4501256513587428</v>
      </c>
      <c r="S8" s="259">
        <f>+G8/E8</f>
        <v>0.99529999999999996</v>
      </c>
      <c r="T8" s="194">
        <v>2950</v>
      </c>
      <c r="U8" s="194">
        <v>750</v>
      </c>
      <c r="V8" s="194"/>
      <c r="W8" s="194"/>
      <c r="X8" s="194"/>
      <c r="Y8" s="194"/>
      <c r="Z8" s="194"/>
      <c r="AA8" s="210">
        <f t="shared" si="0"/>
        <v>-440</v>
      </c>
      <c r="AB8" s="204">
        <f t="shared" si="1"/>
        <v>891750</v>
      </c>
      <c r="AC8" s="211">
        <f t="shared" si="2"/>
        <v>-1010</v>
      </c>
      <c r="AD8" s="226">
        <f t="shared" si="3"/>
        <v>3.1864499999999998</v>
      </c>
      <c r="AE8" s="227">
        <f t="shared" si="4"/>
        <v>3.1864499999999998</v>
      </c>
      <c r="AF8" s="186">
        <f>+(AE8-E8)/E8</f>
        <v>0.27457999999999994</v>
      </c>
    </row>
    <row r="9" spans="3:32" x14ac:dyDescent="0.25">
      <c r="C9" t="s">
        <v>311</v>
      </c>
      <c r="E9" s="194">
        <v>14.92</v>
      </c>
      <c r="F9" s="194">
        <v>89.54</v>
      </c>
      <c r="G9" s="194">
        <v>0</v>
      </c>
      <c r="H9">
        <f>+E9-G9</f>
        <v>14.92</v>
      </c>
      <c r="I9" s="186">
        <f>+G9/E9</f>
        <v>0</v>
      </c>
      <c r="J9" s="186">
        <f>+H9/E9</f>
        <v>1</v>
      </c>
      <c r="K9" s="196">
        <v>0.69059999999999999</v>
      </c>
      <c r="L9" s="194">
        <v>2039</v>
      </c>
      <c r="M9" s="258">
        <f t="shared" si="5"/>
        <v>3970.7652338214457</v>
      </c>
      <c r="N9" s="258">
        <v>0</v>
      </c>
      <c r="O9" s="258">
        <v>23.030438356164385</v>
      </c>
      <c r="P9" s="258">
        <f t="shared" si="6"/>
        <v>3970.7652338214457</v>
      </c>
      <c r="Q9" s="259">
        <f t="shared" si="7"/>
        <v>0</v>
      </c>
      <c r="R9" s="261">
        <f>+Q9*E9</f>
        <v>0</v>
      </c>
      <c r="S9" s="259">
        <f>+G9/E9</f>
        <v>0</v>
      </c>
      <c r="T9" s="194">
        <v>2500</v>
      </c>
      <c r="U9" s="213">
        <v>3000</v>
      </c>
      <c r="V9" s="194">
        <v>2100</v>
      </c>
      <c r="W9" s="194">
        <v>1800</v>
      </c>
      <c r="X9" s="194"/>
      <c r="Y9" s="194"/>
      <c r="Z9" s="194"/>
      <c r="AA9" s="210">
        <f t="shared" si="0"/>
        <v>-60</v>
      </c>
      <c r="AB9" s="204">
        <f t="shared" si="1"/>
        <v>124000</v>
      </c>
      <c r="AC9" s="211">
        <f t="shared" si="2"/>
        <v>1660</v>
      </c>
      <c r="AD9" s="226">
        <f t="shared" si="3"/>
        <v>14.424799999999999</v>
      </c>
      <c r="AE9" s="227">
        <f t="shared" si="4"/>
        <v>15.46505</v>
      </c>
      <c r="AF9" s="186">
        <f>+(AE9-E9)/E9</f>
        <v>3.653150134048256E-2</v>
      </c>
    </row>
    <row r="10" spans="3:32" x14ac:dyDescent="0.25">
      <c r="C10" t="s">
        <v>492</v>
      </c>
      <c r="E10" s="194">
        <v>153.29</v>
      </c>
      <c r="F10" s="194">
        <v>0</v>
      </c>
      <c r="G10" s="194">
        <v>153.29</v>
      </c>
      <c r="H10">
        <f>+E10-G10</f>
        <v>0</v>
      </c>
      <c r="I10" s="186">
        <f>+G10/E10</f>
        <v>1</v>
      </c>
      <c r="J10" s="186">
        <f>+H10/E10</f>
        <v>0</v>
      </c>
      <c r="K10" s="196">
        <v>0.70950000000000002</v>
      </c>
      <c r="L10" s="194">
        <v>2036</v>
      </c>
      <c r="M10" s="258">
        <f t="shared" si="5"/>
        <v>70553.994630136978</v>
      </c>
      <c r="N10" s="258">
        <v>70553.994630136978</v>
      </c>
      <c r="O10" s="258">
        <v>0</v>
      </c>
      <c r="P10" s="258">
        <f t="shared" si="6"/>
        <v>0</v>
      </c>
      <c r="Q10" s="259">
        <f t="shared" si="7"/>
        <v>1</v>
      </c>
      <c r="R10" s="261">
        <f>+Q10*E10</f>
        <v>153.29</v>
      </c>
      <c r="S10" s="259">
        <f>+G10/E10</f>
        <v>1</v>
      </c>
      <c r="T10" s="194">
        <v>65000</v>
      </c>
      <c r="U10" s="213">
        <v>37500</v>
      </c>
      <c r="V10" s="194">
        <v>22500</v>
      </c>
      <c r="W10" s="194">
        <v>12500</v>
      </c>
      <c r="X10" s="194"/>
      <c r="Y10" s="194"/>
      <c r="Z10" s="194"/>
      <c r="AA10" s="232">
        <f t="shared" si="0"/>
        <v>-3450</v>
      </c>
      <c r="AB10" s="233">
        <f t="shared" si="1"/>
        <v>7029250</v>
      </c>
      <c r="AC10" s="234">
        <f t="shared" si="2"/>
        <v>5050</v>
      </c>
      <c r="AD10" s="224">
        <f t="shared" si="3"/>
        <v>204.54599999999999</v>
      </c>
      <c r="AE10" s="225">
        <f t="shared" si="4"/>
        <v>190.67599999999999</v>
      </c>
      <c r="AF10" s="186">
        <f>+(AE10-E10)/E10</f>
        <v>0.24389066475308238</v>
      </c>
    </row>
    <row r="11" spans="3:32" x14ac:dyDescent="0.25">
      <c r="C11" t="s">
        <v>493</v>
      </c>
      <c r="E11" s="194">
        <v>0.88</v>
      </c>
      <c r="F11" s="194">
        <v>0</v>
      </c>
      <c r="G11" s="194">
        <v>0.88</v>
      </c>
      <c r="H11">
        <f>+E11-G11</f>
        <v>0</v>
      </c>
      <c r="I11" s="186">
        <f>+G11/E11</f>
        <v>1</v>
      </c>
      <c r="J11" s="186">
        <f>+H11/E11</f>
        <v>0</v>
      </c>
      <c r="K11" s="196">
        <v>0.69830000000000003</v>
      </c>
      <c r="L11" s="194">
        <v>2042</v>
      </c>
      <c r="M11" s="258">
        <f t="shared" si="5"/>
        <v>226.03172602739721</v>
      </c>
      <c r="N11" s="258">
        <v>226.03172602739721</v>
      </c>
      <c r="O11" s="258">
        <v>0</v>
      </c>
      <c r="P11" s="258">
        <f t="shared" si="6"/>
        <v>0</v>
      </c>
      <c r="Q11" s="259">
        <f t="shared" si="7"/>
        <v>1</v>
      </c>
      <c r="R11" s="261">
        <f>+Q11*E11</f>
        <v>0.88</v>
      </c>
      <c r="S11" s="259">
        <f>+G11/E11</f>
        <v>1</v>
      </c>
      <c r="T11" s="194">
        <v>150</v>
      </c>
      <c r="U11" s="231">
        <v>180</v>
      </c>
      <c r="V11" s="194">
        <v>105</v>
      </c>
      <c r="W11" s="194">
        <v>90</v>
      </c>
      <c r="X11" s="194">
        <v>60</v>
      </c>
      <c r="Y11" s="194"/>
      <c r="Z11" s="194"/>
      <c r="AA11" s="232">
        <f t="shared" si="0"/>
        <v>-5.4</v>
      </c>
      <c r="AB11" s="233">
        <f t="shared" si="1"/>
        <v>11079</v>
      </c>
      <c r="AC11" s="234">
        <f t="shared" si="2"/>
        <v>52.199999999998909</v>
      </c>
      <c r="AD11" s="224">
        <f t="shared" si="3"/>
        <v>0.81183299999999559</v>
      </c>
      <c r="AE11" s="225">
        <f t="shared" si="4"/>
        <v>0.89614799999972805</v>
      </c>
      <c r="AF11" s="186">
        <f>+(AE11-E11)/E11</f>
        <v>1.8349999999690961E-2</v>
      </c>
    </row>
    <row r="12" spans="3:32" x14ac:dyDescent="0.25">
      <c r="C12" t="s">
        <v>494</v>
      </c>
      <c r="E12" s="194">
        <v>543.79</v>
      </c>
      <c r="F12" s="194">
        <v>0</v>
      </c>
      <c r="G12" s="194">
        <f>+E12</f>
        <v>543.79</v>
      </c>
      <c r="H12">
        <f>+E12-G12</f>
        <v>0</v>
      </c>
      <c r="I12" s="186">
        <f>+G12/E12</f>
        <v>1</v>
      </c>
      <c r="J12" s="186">
        <f>+H12/E12</f>
        <v>0</v>
      </c>
      <c r="K12" s="196">
        <v>0.31709999999999999</v>
      </c>
      <c r="L12" s="194">
        <v>2099</v>
      </c>
      <c r="M12" s="258">
        <f t="shared" si="5"/>
        <v>43276.035643835618</v>
      </c>
      <c r="N12" s="258">
        <v>43276.035643835618</v>
      </c>
      <c r="O12" s="258">
        <v>0</v>
      </c>
      <c r="P12" s="258">
        <f t="shared" si="6"/>
        <v>0</v>
      </c>
      <c r="Q12" s="259">
        <f t="shared" si="7"/>
        <v>1</v>
      </c>
      <c r="R12" s="261">
        <f>+Q12*E12</f>
        <v>543.79</v>
      </c>
      <c r="S12" s="259">
        <f>+G12/E12</f>
        <v>1</v>
      </c>
      <c r="T12" s="194">
        <v>40000</v>
      </c>
      <c r="U12" s="194"/>
      <c r="V12" s="194">
        <v>32500</v>
      </c>
      <c r="X12" s="194">
        <v>27500</v>
      </c>
      <c r="Y12" s="194"/>
      <c r="Z12" s="194">
        <v>22500</v>
      </c>
      <c r="AA12" s="232">
        <f t="shared" si="0"/>
        <v>-575</v>
      </c>
      <c r="AB12" s="233">
        <f t="shared" si="1"/>
        <v>1200750</v>
      </c>
      <c r="AC12" s="234">
        <f t="shared" si="2"/>
        <v>-6175</v>
      </c>
      <c r="AD12" s="224">
        <f t="shared" si="3"/>
        <v>487.67193750000001</v>
      </c>
      <c r="AE12" s="225">
        <f t="shared" si="4"/>
        <v>476.8588125</v>
      </c>
      <c r="AF12" s="186">
        <f>+(AE12-E12)/E12</f>
        <v>-0.1230827847146876</v>
      </c>
    </row>
    <row r="13" spans="3:32" x14ac:dyDescent="0.25">
      <c r="C13" t="s">
        <v>29</v>
      </c>
      <c r="E13" s="194">
        <v>272.89999999999998</v>
      </c>
      <c r="F13" s="194">
        <v>0</v>
      </c>
      <c r="G13" s="194">
        <v>272.29000000000002</v>
      </c>
      <c r="H13">
        <f>+E13-G13</f>
        <v>0.6099999999999568</v>
      </c>
      <c r="I13" s="186">
        <f>+G13/E13</f>
        <v>0.99776474899230505</v>
      </c>
      <c r="J13" s="186">
        <f>+H13/E13</f>
        <v>2.2352510076949681E-3</v>
      </c>
      <c r="K13" s="228">
        <v>0.71530000000000005</v>
      </c>
      <c r="L13" s="194">
        <v>2036</v>
      </c>
      <c r="M13" s="258">
        <f t="shared" si="5"/>
        <v>119308.68268493151</v>
      </c>
      <c r="N13" s="258">
        <v>119308.68268493151</v>
      </c>
      <c r="O13" s="258">
        <v>0</v>
      </c>
      <c r="P13" s="258">
        <f t="shared" si="6"/>
        <v>0</v>
      </c>
      <c r="Q13" s="259">
        <f t="shared" si="7"/>
        <v>1</v>
      </c>
      <c r="R13" s="261">
        <f>+Q13*E13</f>
        <v>272.89999999999998</v>
      </c>
      <c r="S13" s="259">
        <f>+G13/E13</f>
        <v>0.99776474899230505</v>
      </c>
      <c r="T13" s="205">
        <v>105000</v>
      </c>
      <c r="U13" s="214">
        <v>75000</v>
      </c>
      <c r="V13" s="194">
        <v>40000</v>
      </c>
      <c r="W13" s="194">
        <v>25000</v>
      </c>
      <c r="AA13" s="232">
        <f t="shared" si="0"/>
        <v>-5500</v>
      </c>
      <c r="AB13" s="233">
        <f t="shared" si="1"/>
        <v>11212500</v>
      </c>
      <c r="AC13" s="234">
        <f t="shared" si="2"/>
        <v>14500</v>
      </c>
      <c r="AD13" s="224">
        <f t="shared" si="3"/>
        <v>348.94</v>
      </c>
      <c r="AE13" s="225">
        <f t="shared" si="4"/>
        <v>341.64</v>
      </c>
      <c r="AF13" s="186">
        <f>+(AE13-E13)/E13</f>
        <v>0.25188713814584102</v>
      </c>
    </row>
    <row r="14" spans="3:32" x14ac:dyDescent="0.25">
      <c r="C14" t="s">
        <v>345</v>
      </c>
      <c r="E14" s="194">
        <v>16.52</v>
      </c>
      <c r="F14" s="194">
        <v>1.61</v>
      </c>
      <c r="G14">
        <f>+E14*98.07%</f>
        <v>16.201163999999999</v>
      </c>
      <c r="H14">
        <f>+E14-G14</f>
        <v>0.31883600000000101</v>
      </c>
      <c r="I14" s="186">
        <f>+G14/E14</f>
        <v>0.98069999999999991</v>
      </c>
      <c r="J14" s="186">
        <f>+H14/E14</f>
        <v>1.930000000000006E-2</v>
      </c>
      <c r="K14" s="228">
        <v>0.73629999999999995</v>
      </c>
      <c r="L14" s="194">
        <v>2060</v>
      </c>
      <c r="M14" s="258">
        <f t="shared" si="5"/>
        <v>4154.1152328767121</v>
      </c>
      <c r="N14" s="258">
        <v>4154.1152328767121</v>
      </c>
      <c r="O14" s="258">
        <v>0</v>
      </c>
      <c r="P14" s="258">
        <f t="shared" si="6"/>
        <v>0</v>
      </c>
      <c r="Q14" s="259">
        <f t="shared" si="7"/>
        <v>1</v>
      </c>
      <c r="R14" s="261">
        <f>+Q14*E14</f>
        <v>16.52</v>
      </c>
      <c r="S14" s="259">
        <f>+G14/E14</f>
        <v>0.98069999999999991</v>
      </c>
      <c r="T14" s="194">
        <v>4000</v>
      </c>
      <c r="U14" s="194">
        <v>3000</v>
      </c>
      <c r="V14" s="194">
        <v>1800</v>
      </c>
      <c r="W14" s="194">
        <v>1000</v>
      </c>
      <c r="X14" s="194">
        <v>900</v>
      </c>
      <c r="Y14" s="194">
        <v>700</v>
      </c>
      <c r="Z14" s="194">
        <v>500</v>
      </c>
      <c r="AA14" s="232">
        <f t="shared" si="0"/>
        <v>-114.28571428571429</v>
      </c>
      <c r="AB14" s="233">
        <f t="shared" si="1"/>
        <v>234271.42857142858</v>
      </c>
      <c r="AC14" s="234">
        <f t="shared" si="2"/>
        <v>-1157.1428571428696</v>
      </c>
      <c r="AD14" s="224">
        <f t="shared" si="3"/>
        <v>20.752857142857053</v>
      </c>
      <c r="AE14" s="225">
        <f t="shared" si="4"/>
        <v>16.47714285712421</v>
      </c>
      <c r="AF14" s="186">
        <f>+(AE14-E14)/E14</f>
        <v>-2.5942580433286396E-3</v>
      </c>
    </row>
    <row r="15" spans="3:32" x14ac:dyDescent="0.25">
      <c r="C15" t="s">
        <v>140</v>
      </c>
      <c r="E15" s="194">
        <v>21.91</v>
      </c>
      <c r="F15" s="194">
        <v>0</v>
      </c>
      <c r="G15">
        <f>+E15</f>
        <v>21.91</v>
      </c>
      <c r="H15">
        <f>+E15-G15</f>
        <v>0</v>
      </c>
      <c r="I15" s="186">
        <f>+G15/E15</f>
        <v>1</v>
      </c>
      <c r="J15" s="186">
        <f>+H15/E15</f>
        <v>0</v>
      </c>
      <c r="K15" s="228">
        <v>0.78649999999999998</v>
      </c>
      <c r="L15" s="194">
        <v>2035</v>
      </c>
      <c r="M15" s="258">
        <f t="shared" si="5"/>
        <v>10381.531479452055</v>
      </c>
      <c r="N15" s="258">
        <v>10381.531479452055</v>
      </c>
      <c r="O15" s="258">
        <v>0</v>
      </c>
      <c r="P15" s="258">
        <f t="shared" si="6"/>
        <v>0</v>
      </c>
      <c r="Q15" s="259">
        <f t="shared" si="7"/>
        <v>1</v>
      </c>
      <c r="R15" s="261">
        <f>+Q15*E15</f>
        <v>21.91</v>
      </c>
      <c r="S15" s="259">
        <f>+G15/E15</f>
        <v>1</v>
      </c>
      <c r="T15" s="205">
        <v>10500</v>
      </c>
      <c r="U15" s="215">
        <v>6000</v>
      </c>
      <c r="V15" s="194">
        <v>2300</v>
      </c>
      <c r="W15" s="194">
        <v>1800</v>
      </c>
      <c r="AA15" s="232">
        <f t="shared" si="0"/>
        <v>-596</v>
      </c>
      <c r="AB15" s="233">
        <f t="shared" si="1"/>
        <v>1213540</v>
      </c>
      <c r="AC15" s="234">
        <f t="shared" si="2"/>
        <v>680</v>
      </c>
      <c r="AD15" s="224">
        <f t="shared" si="3"/>
        <v>30.605250000000002</v>
      </c>
      <c r="AE15" s="225">
        <f t="shared" si="4"/>
        <v>28.196249999999999</v>
      </c>
      <c r="AF15" s="186">
        <f>+(AE15-E15)/E15</f>
        <v>0.28691236878137832</v>
      </c>
    </row>
    <row r="16" spans="3:32" x14ac:dyDescent="0.25">
      <c r="C16" t="s">
        <v>495</v>
      </c>
      <c r="E16" s="194">
        <v>8.85</v>
      </c>
      <c r="F16" s="194">
        <v>0</v>
      </c>
      <c r="G16">
        <f>+E16</f>
        <v>8.85</v>
      </c>
      <c r="H16">
        <f>+E16-G16</f>
        <v>0</v>
      </c>
      <c r="I16" s="186">
        <f>+G16/E16</f>
        <v>1</v>
      </c>
      <c r="J16" s="186">
        <f>+H16/E16</f>
        <v>0</v>
      </c>
      <c r="K16" s="228">
        <v>0.55530000000000002</v>
      </c>
      <c r="L16" s="194">
        <v>2052</v>
      </c>
      <c r="M16" s="258">
        <f t="shared" si="5"/>
        <v>1737.8650958904109</v>
      </c>
      <c r="N16" s="258">
        <v>1737.8650958904109</v>
      </c>
      <c r="O16" s="258">
        <v>0</v>
      </c>
      <c r="P16" s="258">
        <f t="shared" si="6"/>
        <v>0</v>
      </c>
      <c r="Q16" s="259">
        <f t="shared" si="7"/>
        <v>1</v>
      </c>
      <c r="R16" s="261">
        <f>+Q16*E16</f>
        <v>8.85</v>
      </c>
      <c r="S16" s="259">
        <f>+G16/E16</f>
        <v>1</v>
      </c>
      <c r="T16" s="205">
        <v>1600</v>
      </c>
      <c r="U16" s="205">
        <v>1500</v>
      </c>
      <c r="V16" s="194">
        <v>1100</v>
      </c>
      <c r="W16" s="194">
        <v>750</v>
      </c>
      <c r="X16" s="194">
        <v>500</v>
      </c>
      <c r="Y16" s="194">
        <v>250</v>
      </c>
      <c r="Z16" s="194">
        <v>200</v>
      </c>
      <c r="AA16" s="232">
        <f t="shared" si="0"/>
        <v>-52.142857142857146</v>
      </c>
      <c r="AB16" s="233">
        <f t="shared" si="1"/>
        <v>106953.57142857143</v>
      </c>
      <c r="AC16" s="234">
        <f t="shared" si="2"/>
        <v>-43.571428571434808</v>
      </c>
      <c r="AD16" s="224">
        <f t="shared" si="3"/>
        <v>9.0895428571428205</v>
      </c>
      <c r="AE16" s="225">
        <f t="shared" si="4"/>
        <v>9.2355428571459655</v>
      </c>
      <c r="AF16" s="186">
        <f>+(AE16-E16)/E16</f>
        <v>4.3564164649261675E-2</v>
      </c>
    </row>
    <row r="17" spans="3:32" x14ac:dyDescent="0.25">
      <c r="C17" t="s">
        <v>61</v>
      </c>
      <c r="E17" s="194">
        <v>146.25</v>
      </c>
      <c r="F17" s="194">
        <v>0</v>
      </c>
      <c r="G17">
        <v>146.25</v>
      </c>
      <c r="H17">
        <f>+E17-G17</f>
        <v>0</v>
      </c>
      <c r="I17" s="186">
        <f>+G17/E17</f>
        <v>1</v>
      </c>
      <c r="J17" s="186">
        <f>+H17/E17</f>
        <v>0</v>
      </c>
      <c r="K17" s="228">
        <v>0.58260000000000001</v>
      </c>
      <c r="L17" s="194">
        <v>2039</v>
      </c>
      <c r="M17" s="258">
        <f t="shared" si="5"/>
        <v>48971.756410958893</v>
      </c>
      <c r="N17" s="258">
        <v>48971.756410958893</v>
      </c>
      <c r="O17" s="258">
        <v>0</v>
      </c>
      <c r="P17" s="258">
        <f t="shared" si="6"/>
        <v>0</v>
      </c>
      <c r="Q17" s="259">
        <f t="shared" si="7"/>
        <v>1</v>
      </c>
      <c r="R17" s="261">
        <f>+Q17*E17</f>
        <v>146.25</v>
      </c>
      <c r="S17" s="259">
        <f>+G17/E17</f>
        <v>1</v>
      </c>
      <c r="T17" s="205">
        <v>50000</v>
      </c>
      <c r="U17" s="205">
        <v>35000</v>
      </c>
      <c r="V17" s="194">
        <v>20000</v>
      </c>
      <c r="W17" s="194">
        <v>12500</v>
      </c>
      <c r="AA17" s="232">
        <f t="shared" si="0"/>
        <v>-2550</v>
      </c>
      <c r="AB17" s="233">
        <f t="shared" si="1"/>
        <v>5199500</v>
      </c>
      <c r="AC17" s="234">
        <f t="shared" si="2"/>
        <v>50</v>
      </c>
      <c r="AD17" s="224">
        <f t="shared" si="3"/>
        <v>173.54837499999999</v>
      </c>
      <c r="AE17" s="225">
        <f t="shared" si="4"/>
        <v>168.34712500000001</v>
      </c>
      <c r="AF17" s="186">
        <f>+(AE17-E17)/E17</f>
        <v>0.15109145299145302</v>
      </c>
    </row>
    <row r="18" spans="3:32" x14ac:dyDescent="0.25">
      <c r="C18" t="s">
        <v>496</v>
      </c>
      <c r="E18" s="194">
        <v>89.99</v>
      </c>
      <c r="F18" s="194">
        <v>0</v>
      </c>
      <c r="G18">
        <f>+E18</f>
        <v>89.99</v>
      </c>
      <c r="H18">
        <f>+E18-G18</f>
        <v>0</v>
      </c>
      <c r="I18" s="186">
        <f>+G18/E18</f>
        <v>1</v>
      </c>
      <c r="J18" s="186">
        <f>+H18/E18</f>
        <v>0</v>
      </c>
      <c r="K18" s="228">
        <v>0.42830000000000001</v>
      </c>
      <c r="L18" s="194">
        <v>2044</v>
      </c>
      <c r="M18" s="258">
        <f t="shared" si="5"/>
        <v>20119.028164383562</v>
      </c>
      <c r="N18" s="258">
        <v>20119.028164383562</v>
      </c>
      <c r="O18" s="258">
        <v>0</v>
      </c>
      <c r="P18" s="258">
        <f t="shared" si="6"/>
        <v>0</v>
      </c>
      <c r="Q18" s="259">
        <f t="shared" si="7"/>
        <v>1</v>
      </c>
      <c r="R18" s="261">
        <f>+Q18*E18</f>
        <v>89.99</v>
      </c>
      <c r="S18" s="259">
        <f>+G18/E18</f>
        <v>1</v>
      </c>
      <c r="T18" s="205">
        <v>20000</v>
      </c>
      <c r="U18" s="205">
        <v>17500</v>
      </c>
      <c r="V18" s="194">
        <v>12500</v>
      </c>
      <c r="W18" s="194">
        <v>7600</v>
      </c>
      <c r="X18" s="194">
        <v>6000</v>
      </c>
      <c r="AA18" s="232">
        <f t="shared" si="0"/>
        <v>-758</v>
      </c>
      <c r="AB18" s="233">
        <f t="shared" si="1"/>
        <v>1551460</v>
      </c>
      <c r="AC18" s="234">
        <f t="shared" si="2"/>
        <v>2108</v>
      </c>
      <c r="AD18" s="224">
        <f t="shared" si="3"/>
        <v>96.833039999999997</v>
      </c>
      <c r="AE18" s="225">
        <f t="shared" si="4"/>
        <v>98.147040000000004</v>
      </c>
      <c r="AF18" s="186">
        <f>+(AE18-E18)/E18</f>
        <v>9.0643849316590835E-2</v>
      </c>
    </row>
    <row r="19" spans="3:32" x14ac:dyDescent="0.25">
      <c r="C19" t="s">
        <v>497</v>
      </c>
      <c r="E19" s="194">
        <v>86.96</v>
      </c>
      <c r="F19" s="194">
        <v>357.74</v>
      </c>
      <c r="G19">
        <f>+E19*68.57%</f>
        <v>59.628471999999995</v>
      </c>
      <c r="H19">
        <f>+E19-G19</f>
        <v>27.331527999999999</v>
      </c>
      <c r="I19" s="186">
        <f>+G19/E19</f>
        <v>0.68569999999999998</v>
      </c>
      <c r="J19" s="186">
        <f>+H19/E19</f>
        <v>0.31430000000000002</v>
      </c>
      <c r="K19" s="228">
        <v>0.87790000000000001</v>
      </c>
      <c r="L19" s="194">
        <v>2035</v>
      </c>
      <c r="M19" s="258">
        <f t="shared" si="5"/>
        <v>36739.649441662732</v>
      </c>
      <c r="N19" s="258">
        <v>5802.3135890410958</v>
      </c>
      <c r="O19" s="258">
        <v>179.43654794520549</v>
      </c>
      <c r="P19" s="258">
        <f t="shared" si="6"/>
        <v>30937.335852621636</v>
      </c>
      <c r="Q19" s="259">
        <f t="shared" si="7"/>
        <v>0.15793056485893622</v>
      </c>
      <c r="R19" s="261">
        <f>+Q19*E19</f>
        <v>13.733641920133094</v>
      </c>
      <c r="S19" s="259">
        <f>+G19/E19</f>
        <v>0.68569999999999998</v>
      </c>
      <c r="T19" s="205">
        <v>42000</v>
      </c>
      <c r="U19" s="205">
        <v>22000</v>
      </c>
      <c r="V19" s="194">
        <v>16000</v>
      </c>
      <c r="W19" s="194">
        <v>8000</v>
      </c>
      <c r="AA19" s="232">
        <f t="shared" si="0"/>
        <v>-2160</v>
      </c>
      <c r="AB19" s="233">
        <f t="shared" si="1"/>
        <v>4401400</v>
      </c>
      <c r="AC19" s="234">
        <f t="shared" si="2"/>
        <v>5800</v>
      </c>
      <c r="AD19" s="224">
        <f t="shared" si="3"/>
        <v>130.85249999999999</v>
      </c>
      <c r="AE19" s="225">
        <f t="shared" si="4"/>
        <v>120.45</v>
      </c>
      <c r="AF19" s="186">
        <f>+(AE19-E19)/E19</f>
        <v>0.38511959521619149</v>
      </c>
    </row>
    <row r="20" spans="3:32" x14ac:dyDescent="0.25">
      <c r="C20" t="s">
        <v>498</v>
      </c>
      <c r="E20" s="194">
        <v>5.73</v>
      </c>
      <c r="F20" s="194">
        <v>0</v>
      </c>
      <c r="G20">
        <f>+E20</f>
        <v>5.73</v>
      </c>
      <c r="H20">
        <f>+E20-G20</f>
        <v>0</v>
      </c>
      <c r="I20" s="186">
        <f>+G20/E20</f>
        <v>1</v>
      </c>
      <c r="J20" s="186">
        <f>+H20/E20</f>
        <v>0</v>
      </c>
      <c r="K20" s="228">
        <v>0.61819999999999997</v>
      </c>
      <c r="L20" s="194">
        <v>2050</v>
      </c>
      <c r="M20" s="258">
        <f t="shared" si="5"/>
        <v>3032.86197260274</v>
      </c>
      <c r="N20" s="258">
        <v>3032.86197260274</v>
      </c>
      <c r="O20" s="258">
        <v>0</v>
      </c>
      <c r="P20" s="258">
        <f t="shared" si="6"/>
        <v>0</v>
      </c>
      <c r="Q20" s="259">
        <f t="shared" si="7"/>
        <v>1</v>
      </c>
      <c r="R20" s="261">
        <f>+Q20*E20</f>
        <v>5.73</v>
      </c>
      <c r="S20" s="259">
        <f>+G20/E20</f>
        <v>1</v>
      </c>
      <c r="T20" s="205">
        <v>2250</v>
      </c>
      <c r="U20" s="205">
        <v>1250</v>
      </c>
      <c r="V20" s="194">
        <v>600</v>
      </c>
      <c r="W20" s="194">
        <v>400</v>
      </c>
      <c r="X20" s="194">
        <v>200</v>
      </c>
      <c r="Y20" s="194">
        <v>150</v>
      </c>
      <c r="Z20" s="194">
        <v>100</v>
      </c>
      <c r="AA20" s="232">
        <f t="shared" si="0"/>
        <v>-64.642857142857139</v>
      </c>
      <c r="AB20" s="233">
        <f t="shared" si="1"/>
        <v>132255.35714285716</v>
      </c>
      <c r="AC20" s="234">
        <f t="shared" si="2"/>
        <v>-262.4999999999709</v>
      </c>
      <c r="AD20" s="224">
        <f t="shared" si="3"/>
        <v>10.881562500000161</v>
      </c>
      <c r="AE20" s="225">
        <f t="shared" si="4"/>
        <v>7.7432142857189472</v>
      </c>
      <c r="AF20" s="186">
        <f>+(AE20-E20)/E20</f>
        <v>0.35134629768218961</v>
      </c>
    </row>
    <row r="21" spans="3:32" x14ac:dyDescent="0.25">
      <c r="C21" t="s">
        <v>499</v>
      </c>
      <c r="E21" s="194">
        <v>89.27</v>
      </c>
      <c r="F21" s="194">
        <v>504.38</v>
      </c>
      <c r="G21">
        <f>+E21*5.84%</f>
        <v>5.213368</v>
      </c>
      <c r="H21">
        <f>+E21-G21</f>
        <v>84.056631999999993</v>
      </c>
      <c r="I21" s="186">
        <f>+G21/E21</f>
        <v>5.8400000000000001E-2</v>
      </c>
      <c r="J21" s="186">
        <f>+H21/E21</f>
        <v>0.94159999999999999</v>
      </c>
      <c r="K21" s="228">
        <v>0.24510000000000001</v>
      </c>
      <c r="L21" s="194">
        <v>2059</v>
      </c>
      <c r="M21" s="258">
        <f t="shared" si="5"/>
        <v>5687.8121180916396</v>
      </c>
      <c r="N21" s="258">
        <v>1396.6784383561644</v>
      </c>
      <c r="O21" s="258">
        <v>24.888575342465753</v>
      </c>
      <c r="P21" s="258">
        <f t="shared" si="6"/>
        <v>4291.1336797354752</v>
      </c>
      <c r="Q21" s="259">
        <f t="shared" si="7"/>
        <v>0.24555635969648984</v>
      </c>
      <c r="R21" s="261">
        <f>+Q21*E21</f>
        <v>21.920816230105647</v>
      </c>
      <c r="S21" s="259">
        <f>+G21/E21</f>
        <v>5.8400000000000001E-2</v>
      </c>
      <c r="T21" s="205">
        <v>10000</v>
      </c>
      <c r="U21" s="205">
        <v>18500</v>
      </c>
      <c r="V21" s="194">
        <v>10000</v>
      </c>
      <c r="W21" s="194">
        <v>7000</v>
      </c>
      <c r="X21" s="194">
        <v>5000</v>
      </c>
      <c r="Y21" s="194">
        <v>3500</v>
      </c>
      <c r="Z21" s="194">
        <v>2100</v>
      </c>
      <c r="AA21" s="232">
        <f t="shared" si="0"/>
        <v>-419.28571428571439</v>
      </c>
      <c r="AB21" s="233">
        <f t="shared" si="1"/>
        <v>861260.71428571444</v>
      </c>
      <c r="AC21" s="234">
        <f t="shared" si="2"/>
        <v>-2048.5714285714785</v>
      </c>
      <c r="AD21" s="224">
        <f t="shared" si="3"/>
        <v>56.594292857142499</v>
      </c>
      <c r="AE21" s="225">
        <f t="shared" si="4"/>
        <v>87.224962500087017</v>
      </c>
      <c r="AF21" s="186">
        <f>+(AE21-E21)/E21</f>
        <v>-2.2908451886557404E-2</v>
      </c>
    </row>
    <row r="22" spans="3:32" x14ac:dyDescent="0.25">
      <c r="C22" t="s">
        <v>500</v>
      </c>
      <c r="E22" s="194">
        <v>10.25</v>
      </c>
      <c r="F22" s="194">
        <v>60.26</v>
      </c>
      <c r="G22">
        <f>+E22*2%</f>
        <v>0.20500000000000002</v>
      </c>
      <c r="H22">
        <f>+E22-G22</f>
        <v>10.045</v>
      </c>
      <c r="I22" s="186">
        <f>+G22/E22</f>
        <v>0.02</v>
      </c>
      <c r="J22" s="186">
        <f>+H22/E22</f>
        <v>0.98</v>
      </c>
      <c r="K22" s="228">
        <v>0.98270000000000002</v>
      </c>
      <c r="L22" s="194">
        <v>2025</v>
      </c>
      <c r="M22" s="258">
        <f t="shared" si="5"/>
        <v>13330.402025507794</v>
      </c>
      <c r="N22" s="258">
        <v>802.2064657534246</v>
      </c>
      <c r="O22" s="258">
        <v>72.663534246575338</v>
      </c>
      <c r="P22" s="258">
        <f t="shared" si="6"/>
        <v>12528.195559754369</v>
      </c>
      <c r="Q22" s="259">
        <f t="shared" si="7"/>
        <v>6.0178715106896125E-2</v>
      </c>
      <c r="R22" s="261">
        <f>+Q22*E22</f>
        <v>0.6168318298456853</v>
      </c>
      <c r="S22" s="259">
        <f>+G22/E22</f>
        <v>0.02</v>
      </c>
      <c r="T22" s="205">
        <v>8000</v>
      </c>
      <c r="U22" s="205">
        <v>5000</v>
      </c>
      <c r="AA22" s="232">
        <f t="shared" si="0"/>
        <v>-600</v>
      </c>
      <c r="AB22" s="233">
        <f t="shared" si="1"/>
        <v>1220000</v>
      </c>
      <c r="AC22" s="234">
        <f t="shared" si="2"/>
        <v>5000</v>
      </c>
      <c r="AD22" s="224">
        <f t="shared" si="3"/>
        <v>11.862500000000001</v>
      </c>
      <c r="AE22" s="225">
        <f t="shared" si="4"/>
        <v>11.862500000000001</v>
      </c>
      <c r="AF22" s="186">
        <f>+(AE22-E22)/E22</f>
        <v>0.15731707317073176</v>
      </c>
    </row>
    <row r="23" spans="3:32" x14ac:dyDescent="0.25">
      <c r="C23" t="s">
        <v>501</v>
      </c>
      <c r="E23" s="194">
        <v>17.7</v>
      </c>
      <c r="F23" s="194">
        <v>97.48</v>
      </c>
      <c r="G23">
        <f>+E23*8.23%</f>
        <v>1.4567099999999999</v>
      </c>
      <c r="H23">
        <f>+E23-G23</f>
        <v>16.243289999999998</v>
      </c>
      <c r="I23" s="186">
        <f>+G23/E23</f>
        <v>8.2299999999999998E-2</v>
      </c>
      <c r="J23" s="186">
        <f>+H23/E23</f>
        <v>0.91769999999999996</v>
      </c>
      <c r="K23" s="228">
        <v>0.97750000000000004</v>
      </c>
      <c r="L23" s="194">
        <v>2025</v>
      </c>
      <c r="M23" s="258">
        <f t="shared" si="5"/>
        <v>18303.892234293809</v>
      </c>
      <c r="N23" s="258">
        <v>2380.4156164383562</v>
      </c>
      <c r="O23" s="258">
        <v>92.356164383561648</v>
      </c>
      <c r="P23" s="258">
        <f t="shared" si="6"/>
        <v>15923.476617855455</v>
      </c>
      <c r="Q23" s="259">
        <f t="shared" si="7"/>
        <v>0.13004969576790104</v>
      </c>
      <c r="R23" s="261">
        <f>+Q23*E23</f>
        <v>2.3018796150918481</v>
      </c>
      <c r="S23" s="259">
        <f>+G23/E23</f>
        <v>8.2299999999999998E-2</v>
      </c>
      <c r="T23" s="194">
        <v>8000</v>
      </c>
      <c r="U23" s="213">
        <v>5000</v>
      </c>
      <c r="AA23" s="232">
        <f t="shared" si="0"/>
        <v>-600</v>
      </c>
      <c r="AB23" s="233">
        <f t="shared" si="1"/>
        <v>1220000</v>
      </c>
      <c r="AC23" s="234">
        <f t="shared" si="2"/>
        <v>5000</v>
      </c>
      <c r="AD23" s="224">
        <f t="shared" si="3"/>
        <v>11.862500000000001</v>
      </c>
      <c r="AE23" s="225">
        <f t="shared" si="4"/>
        <v>11.862500000000001</v>
      </c>
      <c r="AF23" s="186">
        <f>+(AE23-E23)/E23</f>
        <v>-0.32980225988700557</v>
      </c>
    </row>
    <row r="24" spans="3:32" x14ac:dyDescent="0.25">
      <c r="C24" t="s">
        <v>502</v>
      </c>
      <c r="E24" s="194">
        <v>8.8000000000000007</v>
      </c>
      <c r="F24" s="194">
        <v>2.82</v>
      </c>
      <c r="G24">
        <f>+E24*94.66%</f>
        <v>8.3300800000000006</v>
      </c>
      <c r="H24">
        <f>+E24-G24</f>
        <v>0.46992000000000012</v>
      </c>
      <c r="I24" s="186">
        <f>+G24/E24</f>
        <v>0.9466</v>
      </c>
      <c r="J24" s="186">
        <f>+H24/E24</f>
        <v>5.340000000000001E-2</v>
      </c>
      <c r="K24" s="228">
        <v>0.7712</v>
      </c>
      <c r="L24" s="194">
        <v>2039</v>
      </c>
      <c r="M24" s="258">
        <f t="shared" si="5"/>
        <v>3090.1880736891835</v>
      </c>
      <c r="N24" s="258">
        <v>2982.4176438356171</v>
      </c>
      <c r="O24" s="258">
        <v>0.62506849315068491</v>
      </c>
      <c r="P24" s="258">
        <f t="shared" si="6"/>
        <v>107.77042985356636</v>
      </c>
      <c r="Q24" s="259">
        <f t="shared" si="7"/>
        <v>0.96512496091381716</v>
      </c>
      <c r="R24" s="261">
        <f>+Q24*E24</f>
        <v>8.4930996560415917</v>
      </c>
      <c r="S24" s="259">
        <f>+G24/E24</f>
        <v>0.9466</v>
      </c>
      <c r="T24" s="194">
        <v>3000</v>
      </c>
      <c r="U24" s="213">
        <v>2000</v>
      </c>
      <c r="V24" s="194">
        <v>1100</v>
      </c>
      <c r="W24" s="194">
        <v>800</v>
      </c>
      <c r="AA24" s="232">
        <f t="shared" si="0"/>
        <v>-150</v>
      </c>
      <c r="AB24" s="233">
        <f t="shared" si="1"/>
        <v>305850</v>
      </c>
      <c r="AC24" s="234">
        <f t="shared" si="2"/>
        <v>0</v>
      </c>
      <c r="AD24" s="224">
        <f t="shared" si="3"/>
        <v>10.4025</v>
      </c>
      <c r="AE24" s="225">
        <f t="shared" si="4"/>
        <v>9.8823749999999997</v>
      </c>
      <c r="AF24" s="186">
        <f>+(AE24-E24)/E24</f>
        <v>0.12299715909090897</v>
      </c>
    </row>
    <row r="25" spans="3:32" x14ac:dyDescent="0.25">
      <c r="C25" t="s">
        <v>503</v>
      </c>
      <c r="E25" s="194">
        <v>1.1399999999999999</v>
      </c>
      <c r="F25" s="194">
        <v>0.47</v>
      </c>
      <c r="G25">
        <f>+E25*93.12%</f>
        <v>1.0615679999999998</v>
      </c>
      <c r="H25">
        <f>+E25-G25</f>
        <v>7.8432000000000057E-2</v>
      </c>
      <c r="I25" s="186">
        <f>+G25/E25</f>
        <v>0.93119999999999992</v>
      </c>
      <c r="J25" s="186">
        <f>+H25/E25</f>
        <v>6.8800000000000056E-2</v>
      </c>
      <c r="K25" s="228">
        <v>0.73509999999999998</v>
      </c>
      <c r="L25" s="194">
        <v>2033</v>
      </c>
      <c r="M25" s="258">
        <f t="shared" si="5"/>
        <v>1290.1837175247995</v>
      </c>
      <c r="N25" s="258">
        <v>1266.3858904109591</v>
      </c>
      <c r="O25" s="258">
        <v>0.13802739726027391</v>
      </c>
      <c r="P25" s="258">
        <f t="shared" si="6"/>
        <v>23.797827113840331</v>
      </c>
      <c r="Q25" s="259">
        <f t="shared" si="7"/>
        <v>0.98155469892342451</v>
      </c>
      <c r="R25" s="261">
        <f>+Q25*E25</f>
        <v>1.1189723567727039</v>
      </c>
      <c r="S25" s="259">
        <f>+G25/E25</f>
        <v>0.93119999999999992</v>
      </c>
      <c r="T25" s="205">
        <v>1000</v>
      </c>
      <c r="U25" s="213">
        <v>300</v>
      </c>
      <c r="V25" s="194">
        <v>100</v>
      </c>
      <c r="AA25" s="232">
        <f t="shared" si="0"/>
        <v>-90</v>
      </c>
      <c r="AB25" s="233">
        <f t="shared" si="1"/>
        <v>182716.66666666666</v>
      </c>
      <c r="AC25" s="234">
        <f t="shared" si="2"/>
        <v>-253.33333333334303</v>
      </c>
      <c r="AD25" s="224">
        <f t="shared" si="3"/>
        <v>1.7714666666666437</v>
      </c>
      <c r="AE25" s="225">
        <f t="shared" si="4"/>
        <v>1.5737583333405851</v>
      </c>
      <c r="AF25" s="186">
        <f>+(AE25-E25)/E25</f>
        <v>0.38048976608823271</v>
      </c>
    </row>
    <row r="26" spans="3:32" x14ac:dyDescent="0.25">
      <c r="C26" t="s">
        <v>504</v>
      </c>
      <c r="E26" s="194">
        <v>1.31</v>
      </c>
      <c r="F26" s="194">
        <v>0.37</v>
      </c>
      <c r="G26">
        <f>+E26*95.34%</f>
        <v>1.2489540000000001</v>
      </c>
      <c r="H26">
        <f>+E26-G26</f>
        <v>6.1045999999999934E-2</v>
      </c>
      <c r="I26" s="186">
        <f>+G26/E26</f>
        <v>0.95340000000000003</v>
      </c>
      <c r="J26" s="186">
        <f>+H26/E26</f>
        <v>4.6599999999999947E-2</v>
      </c>
      <c r="K26" s="228">
        <v>0.34710000000000002</v>
      </c>
      <c r="L26" s="194">
        <v>2053</v>
      </c>
      <c r="M26" s="258">
        <f t="shared" si="5"/>
        <v>483.05330278696272</v>
      </c>
      <c r="N26" s="258">
        <v>435.87805479452061</v>
      </c>
      <c r="O26" s="258">
        <v>0.27361643835616434</v>
      </c>
      <c r="P26" s="258">
        <f t="shared" si="6"/>
        <v>47.175247992442124</v>
      </c>
      <c r="Q26" s="259">
        <f t="shared" si="7"/>
        <v>0.90233945670122573</v>
      </c>
      <c r="R26" s="261">
        <f>+Q26*E26</f>
        <v>1.1820646882786057</v>
      </c>
      <c r="S26" s="259">
        <f>+G26/E26</f>
        <v>0.95340000000000003</v>
      </c>
      <c r="T26" s="205">
        <v>480</v>
      </c>
      <c r="U26" s="205">
        <v>280</v>
      </c>
      <c r="V26" s="194">
        <v>125</v>
      </c>
      <c r="W26">
        <v>90</v>
      </c>
      <c r="X26">
        <v>50</v>
      </c>
      <c r="Y26">
        <v>30</v>
      </c>
      <c r="Z26">
        <v>25</v>
      </c>
      <c r="AA26" s="232">
        <f t="shared" si="0"/>
        <v>-13.857142857142858</v>
      </c>
      <c r="AB26" s="233">
        <f t="shared" si="1"/>
        <v>28353.571428571428</v>
      </c>
      <c r="AC26" s="234">
        <f t="shared" si="2"/>
        <v>-95.142857142858702</v>
      </c>
      <c r="AD26" s="224">
        <f t="shared" si="3"/>
        <v>2.3178021428571336</v>
      </c>
      <c r="AE26" s="225">
        <f t="shared" si="4"/>
        <v>1.6080075</v>
      </c>
      <c r="AF26" s="186">
        <f>+(AE26-E26)/E26</f>
        <v>0.22748664122137402</v>
      </c>
    </row>
    <row r="27" spans="3:32" x14ac:dyDescent="0.25">
      <c r="C27" t="s">
        <v>505</v>
      </c>
      <c r="E27" s="194">
        <v>4.72</v>
      </c>
      <c r="F27" s="194">
        <v>7.45</v>
      </c>
      <c r="G27">
        <f>+E27*73.7%</f>
        <v>3.47864</v>
      </c>
      <c r="H27">
        <f>+E27-G27</f>
        <v>1.2413599999999998</v>
      </c>
      <c r="I27" s="186">
        <f>+G27/E27</f>
        <v>0.73699999999999999</v>
      </c>
      <c r="J27" s="186">
        <f>+H27/E27</f>
        <v>0.26299999999999996</v>
      </c>
      <c r="K27" s="228">
        <v>0.91449999999999998</v>
      </c>
      <c r="L27" s="194">
        <v>2030</v>
      </c>
      <c r="M27" s="258">
        <f t="shared" si="5"/>
        <v>4583.6177808219181</v>
      </c>
      <c r="N27" s="258">
        <v>4583.6177808219181</v>
      </c>
      <c r="O27" s="258">
        <v>0</v>
      </c>
      <c r="P27" s="258">
        <f t="shared" si="6"/>
        <v>0</v>
      </c>
      <c r="Q27" s="259">
        <f t="shared" si="7"/>
        <v>1</v>
      </c>
      <c r="R27" s="261">
        <f>+Q27*E27</f>
        <v>4.72</v>
      </c>
      <c r="S27" s="259">
        <f>+G27/E27</f>
        <v>0.73699999999999999</v>
      </c>
      <c r="T27" s="205">
        <v>3750</v>
      </c>
      <c r="U27" s="205">
        <v>1750</v>
      </c>
      <c r="V27" s="194">
        <v>750</v>
      </c>
      <c r="AA27" s="232">
        <f t="shared" si="0"/>
        <v>-300</v>
      </c>
      <c r="AB27" s="233">
        <f t="shared" si="1"/>
        <v>609583.33333333337</v>
      </c>
      <c r="AC27" s="234">
        <f t="shared" si="2"/>
        <v>583.33333333337214</v>
      </c>
      <c r="AD27" s="224">
        <f t="shared" si="3"/>
        <v>7.9083333333334034</v>
      </c>
      <c r="AE27" s="225">
        <f t="shared" si="4"/>
        <v>7.6041666666376591</v>
      </c>
      <c r="AF27" s="186">
        <f>+(AE27-E27)/E27</f>
        <v>0.61105225988086009</v>
      </c>
    </row>
    <row r="28" spans="3:32" x14ac:dyDescent="0.25">
      <c r="C28" t="s">
        <v>506</v>
      </c>
      <c r="E28" s="194">
        <v>11.27</v>
      </c>
      <c r="F28" s="194">
        <v>0</v>
      </c>
      <c r="G28">
        <v>11.27</v>
      </c>
      <c r="H28">
        <f>+E28-G28</f>
        <v>0</v>
      </c>
      <c r="I28" s="186">
        <f>+G28/E28</f>
        <v>1</v>
      </c>
      <c r="J28" s="186">
        <f>+H28/E28</f>
        <v>0</v>
      </c>
      <c r="K28" s="228">
        <v>0.4148</v>
      </c>
      <c r="L28" s="194">
        <v>2067</v>
      </c>
      <c r="M28" s="258">
        <f t="shared" si="5"/>
        <v>0</v>
      </c>
      <c r="N28" s="258"/>
      <c r="O28" s="258"/>
      <c r="P28" s="258">
        <f t="shared" si="6"/>
        <v>0</v>
      </c>
      <c r="Q28" s="259" t="e">
        <f t="shared" si="7"/>
        <v>#DIV/0!</v>
      </c>
      <c r="R28" s="261"/>
      <c r="S28" s="259">
        <f>+G28/E28</f>
        <v>1</v>
      </c>
      <c r="T28" s="205">
        <v>2500</v>
      </c>
      <c r="U28" s="214">
        <v>1750</v>
      </c>
      <c r="V28" s="194">
        <v>1250</v>
      </c>
      <c r="W28">
        <v>800</v>
      </c>
      <c r="X28">
        <v>600</v>
      </c>
      <c r="Y28">
        <v>400</v>
      </c>
      <c r="Z28">
        <v>300</v>
      </c>
      <c r="AA28" s="232">
        <f t="shared" si="0"/>
        <v>-71.071428571428569</v>
      </c>
      <c r="AB28" s="233">
        <f t="shared" si="1"/>
        <v>145716.07142857142</v>
      </c>
      <c r="AC28" s="234">
        <f t="shared" si="2"/>
        <v>-1188.5714285714203</v>
      </c>
      <c r="AD28" s="224">
        <f t="shared" si="3"/>
        <v>11.248778571428643</v>
      </c>
      <c r="AE28" s="225">
        <f t="shared" si="4"/>
        <v>8.2619705357080697</v>
      </c>
      <c r="AF28" s="186">
        <f>+(AE28-E28)/E28</f>
        <v>-0.2669058974527001</v>
      </c>
    </row>
    <row r="29" spans="3:32" x14ac:dyDescent="0.25">
      <c r="C29" t="s">
        <v>318</v>
      </c>
      <c r="E29" s="194">
        <v>3.84</v>
      </c>
      <c r="F29" s="194">
        <v>23.03</v>
      </c>
      <c r="H29">
        <f>+E29-G29</f>
        <v>3.84</v>
      </c>
      <c r="I29" s="186">
        <f>+G29/E29</f>
        <v>0</v>
      </c>
      <c r="J29" s="186">
        <f>+H29/E29</f>
        <v>1</v>
      </c>
      <c r="K29" s="228">
        <v>0.84079999999999999</v>
      </c>
      <c r="L29" s="194">
        <v>2028</v>
      </c>
      <c r="M29" s="258">
        <f t="shared" si="5"/>
        <v>5516.7123287671238</v>
      </c>
      <c r="N29" s="258">
        <v>0</v>
      </c>
      <c r="O29" s="258">
        <v>31.996931506849318</v>
      </c>
      <c r="P29" s="258">
        <f t="shared" si="6"/>
        <v>5516.7123287671238</v>
      </c>
      <c r="Q29" s="259">
        <f t="shared" si="7"/>
        <v>0</v>
      </c>
      <c r="R29" s="261">
        <f>+Q29*E29</f>
        <v>0</v>
      </c>
      <c r="S29" s="259">
        <f>+G29/E29</f>
        <v>0</v>
      </c>
      <c r="T29" s="205">
        <v>5300</v>
      </c>
      <c r="U29" s="205">
        <v>1250</v>
      </c>
      <c r="AA29" s="232">
        <f t="shared" si="0"/>
        <v>-810</v>
      </c>
      <c r="AB29" s="233">
        <f t="shared" si="1"/>
        <v>1641500</v>
      </c>
      <c r="AC29" s="234">
        <f t="shared" si="2"/>
        <v>-1180</v>
      </c>
      <c r="AD29" s="224">
        <f t="shared" si="3"/>
        <v>6.0152000000000001</v>
      </c>
      <c r="AE29" s="225">
        <f t="shared" si="4"/>
        <v>6.0152000000000001</v>
      </c>
      <c r="AF29" s="186">
        <f>+(AE29-E29)/E29</f>
        <v>0.5664583333333334</v>
      </c>
    </row>
    <row r="30" spans="3:32" x14ac:dyDescent="0.25">
      <c r="C30" t="s">
        <v>508</v>
      </c>
      <c r="E30" s="194">
        <v>14.92</v>
      </c>
      <c r="F30">
        <v>0.24</v>
      </c>
      <c r="G30">
        <f>+E30*99.74%</f>
        <v>14.881207999999999</v>
      </c>
      <c r="H30">
        <f>+E30-G30</f>
        <v>3.8792000000000826E-2</v>
      </c>
      <c r="I30" s="186">
        <f>+G30/E30</f>
        <v>0.99739999999999995</v>
      </c>
      <c r="J30" s="186">
        <f>+H30/E30</f>
        <v>2.6000000000000554E-3</v>
      </c>
      <c r="K30" s="228">
        <v>0.75690000000000002</v>
      </c>
      <c r="L30" s="194">
        <v>2043</v>
      </c>
      <c r="M30" s="258">
        <f t="shared" si="5"/>
        <v>12434.820158715165</v>
      </c>
      <c r="N30" s="258">
        <v>12274.754027397263</v>
      </c>
      <c r="O30" s="258">
        <v>0.92838356164383562</v>
      </c>
      <c r="P30" s="258">
        <f t="shared" si="6"/>
        <v>160.06613131790269</v>
      </c>
      <c r="Q30" s="259">
        <f t="shared" si="7"/>
        <v>0.98712758775158338</v>
      </c>
      <c r="R30" s="261">
        <f>+Q30*E30</f>
        <v>14.727943609253623</v>
      </c>
      <c r="S30" s="259">
        <f>+G30/E30</f>
        <v>0.99739999999999995</v>
      </c>
      <c r="T30" s="205">
        <v>10000</v>
      </c>
      <c r="U30" s="205">
        <v>4000</v>
      </c>
      <c r="V30" s="194">
        <v>1000</v>
      </c>
      <c r="W30">
        <v>500</v>
      </c>
      <c r="X30">
        <v>400</v>
      </c>
      <c r="AA30" s="232">
        <f t="shared" si="0"/>
        <v>-454</v>
      </c>
      <c r="AB30" s="233">
        <f t="shared" si="1"/>
        <v>924800</v>
      </c>
      <c r="AC30" s="234">
        <f t="shared" si="2"/>
        <v>-2722</v>
      </c>
      <c r="AD30" s="224">
        <f t="shared" si="3"/>
        <v>30.549405</v>
      </c>
      <c r="AE30" s="225">
        <f t="shared" si="4"/>
        <v>20.979105000000001</v>
      </c>
      <c r="AF30" s="186">
        <f>+(AE30-E30)/E30</f>
        <v>0.40610623324396788</v>
      </c>
    </row>
    <row r="31" spans="3:32" x14ac:dyDescent="0.25">
      <c r="C31" t="s">
        <v>80</v>
      </c>
      <c r="E31" s="194">
        <v>43.42</v>
      </c>
      <c r="F31" s="194">
        <v>16.96</v>
      </c>
      <c r="G31">
        <f>+E31*93.49%</f>
        <v>40.593358000000002</v>
      </c>
      <c r="H31">
        <f>+E31-G31</f>
        <v>2.8266419999999997</v>
      </c>
      <c r="I31" s="186">
        <f>+G31/E31</f>
        <v>0.93490000000000006</v>
      </c>
      <c r="J31" s="186">
        <f>+H31/E31</f>
        <v>6.5099999999999991E-2</v>
      </c>
      <c r="K31" s="228">
        <v>0.76190000000000002</v>
      </c>
      <c r="L31" s="194">
        <v>2042</v>
      </c>
      <c r="M31" s="258">
        <f t="shared" si="5"/>
        <v>30543.691030703827</v>
      </c>
      <c r="N31" s="258">
        <v>30059.642849315071</v>
      </c>
      <c r="O31" s="258">
        <v>2.8074794520547948</v>
      </c>
      <c r="P31" s="258">
        <f t="shared" si="6"/>
        <v>484.04818138875771</v>
      </c>
      <c r="Q31" s="259">
        <f t="shared" si="7"/>
        <v>0.98415226958319579</v>
      </c>
      <c r="R31" s="261">
        <f>+Q31*E31</f>
        <v>42.731891545302361</v>
      </c>
      <c r="S31" s="259">
        <f>+G31/E31</f>
        <v>0.93490000000000006</v>
      </c>
      <c r="T31" s="205">
        <v>25000</v>
      </c>
      <c r="U31" s="205">
        <v>12500</v>
      </c>
      <c r="V31" s="194">
        <v>4500</v>
      </c>
      <c r="W31">
        <v>2500</v>
      </c>
      <c r="X31">
        <v>1000</v>
      </c>
      <c r="AA31" s="232">
        <f t="shared" si="0"/>
        <v>-1160</v>
      </c>
      <c r="AB31" s="233">
        <f t="shared" si="1"/>
        <v>2363900</v>
      </c>
      <c r="AC31" s="234">
        <f t="shared" si="2"/>
        <v>-4820</v>
      </c>
      <c r="AD31" s="224">
        <f t="shared" si="3"/>
        <v>81.0227</v>
      </c>
      <c r="AE31" s="225">
        <f t="shared" si="4"/>
        <v>63.758200000000002</v>
      </c>
      <c r="AF31" s="186">
        <f>+(AE31-E31)/E31</f>
        <v>0.46840626439428834</v>
      </c>
    </row>
    <row r="32" spans="3:32" x14ac:dyDescent="0.25">
      <c r="C32" t="s">
        <v>449</v>
      </c>
      <c r="E32" s="194">
        <v>7.3</v>
      </c>
      <c r="F32" s="194">
        <v>4.54</v>
      </c>
      <c r="G32">
        <f>+E32*89.64%</f>
        <v>6.5437199999999995</v>
      </c>
      <c r="H32">
        <f>+E32-G32</f>
        <v>0.75628000000000029</v>
      </c>
      <c r="I32" s="186">
        <f>+G32/E32</f>
        <v>0.89639999999999997</v>
      </c>
      <c r="J32" s="186">
        <f>+H32/E32</f>
        <v>0.10360000000000004</v>
      </c>
      <c r="K32" s="228">
        <v>0.77580000000000005</v>
      </c>
      <c r="L32" s="194">
        <v>2044</v>
      </c>
      <c r="M32" s="258">
        <f t="shared" si="5"/>
        <v>1962.0646849315069</v>
      </c>
      <c r="N32" s="258">
        <v>1962.0646849315069</v>
      </c>
      <c r="O32" s="258">
        <v>0</v>
      </c>
      <c r="P32" s="258">
        <f t="shared" si="6"/>
        <v>0</v>
      </c>
      <c r="Q32" s="259">
        <f t="shared" si="7"/>
        <v>1</v>
      </c>
      <c r="R32" s="261">
        <f>+Q32*E32</f>
        <v>7.3</v>
      </c>
      <c r="S32" s="259">
        <f>+G32/E32</f>
        <v>0.89639999999999997</v>
      </c>
      <c r="T32" s="205">
        <v>2000</v>
      </c>
      <c r="U32" s="205">
        <v>1250</v>
      </c>
      <c r="V32" s="194">
        <v>900</v>
      </c>
      <c r="W32">
        <v>600</v>
      </c>
      <c r="X32">
        <v>400</v>
      </c>
      <c r="AA32" s="232">
        <f t="shared" si="0"/>
        <v>-77</v>
      </c>
      <c r="AB32" s="233">
        <f t="shared" si="1"/>
        <v>157340</v>
      </c>
      <c r="AC32" s="234">
        <f t="shared" si="2"/>
        <v>-48</v>
      </c>
      <c r="AD32" s="224">
        <f t="shared" si="3"/>
        <v>8.5497599999999991</v>
      </c>
      <c r="AE32" s="225">
        <f t="shared" si="4"/>
        <v>7.6737599999999997</v>
      </c>
      <c r="AF32" s="186">
        <f>+(AE32-E32)/E32</f>
        <v>5.1199999999999982E-2</v>
      </c>
    </row>
    <row r="33" spans="3:32" x14ac:dyDescent="0.25">
      <c r="C33" t="s">
        <v>509</v>
      </c>
      <c r="E33" s="194">
        <v>0.57999999999999996</v>
      </c>
      <c r="F33" s="194">
        <v>0</v>
      </c>
      <c r="G33">
        <f>+E33</f>
        <v>0.57999999999999996</v>
      </c>
      <c r="H33">
        <f>+E33-G33</f>
        <v>0</v>
      </c>
      <c r="I33" s="186">
        <f>+G33/E33</f>
        <v>1</v>
      </c>
      <c r="J33" s="186">
        <f>+H33/E33</f>
        <v>0</v>
      </c>
      <c r="K33" s="228">
        <v>0.91830000000000001</v>
      </c>
      <c r="L33" s="194">
        <v>2031</v>
      </c>
      <c r="M33" s="258">
        <f t="shared" si="5"/>
        <v>60862.479471894199</v>
      </c>
      <c r="N33" s="258">
        <v>26403.53284931507</v>
      </c>
      <c r="O33" s="258">
        <v>199.86189041095895</v>
      </c>
      <c r="P33" s="258">
        <f t="shared" si="6"/>
        <v>34458.946622579126</v>
      </c>
      <c r="Q33" s="259">
        <f t="shared" si="7"/>
        <v>0.43382282612242257</v>
      </c>
      <c r="R33" s="261">
        <f>+Q33*E33</f>
        <v>0.25161723915100509</v>
      </c>
      <c r="S33" s="259">
        <f>+G33/E33</f>
        <v>1</v>
      </c>
      <c r="T33" s="205">
        <v>500</v>
      </c>
      <c r="U33" s="205">
        <v>200</v>
      </c>
      <c r="V33" s="194">
        <v>80</v>
      </c>
      <c r="AA33" s="232">
        <f t="shared" si="0"/>
        <v>-42</v>
      </c>
      <c r="AB33" s="233">
        <f t="shared" si="1"/>
        <v>85310</v>
      </c>
      <c r="AC33" s="234">
        <f t="shared" si="2"/>
        <v>8</v>
      </c>
      <c r="AD33" s="224">
        <f t="shared" si="3"/>
        <v>1.0198100000000001</v>
      </c>
      <c r="AE33" s="225">
        <f t="shared" si="4"/>
        <v>0.95958500000000002</v>
      </c>
      <c r="AF33" s="186">
        <f>+(AE33-E33)/E33</f>
        <v>0.65445689655172434</v>
      </c>
    </row>
    <row r="34" spans="3:32" x14ac:dyDescent="0.25">
      <c r="C34" t="s">
        <v>510</v>
      </c>
      <c r="E34" s="194">
        <v>130.22</v>
      </c>
      <c r="F34" s="194">
        <v>284</v>
      </c>
      <c r="G34">
        <f>+E34*63.65%</f>
        <v>82.88503</v>
      </c>
      <c r="H34">
        <f>+E34-G34</f>
        <v>47.334969999999998</v>
      </c>
      <c r="I34" s="186">
        <f>+G34/E34</f>
        <v>0.63649999999999995</v>
      </c>
      <c r="J34" s="186">
        <f>+H34/E34</f>
        <v>0.36349999999999999</v>
      </c>
      <c r="K34" s="228">
        <v>0.63759999999999994</v>
      </c>
      <c r="L34" s="194">
        <v>2018</v>
      </c>
      <c r="M34" s="258">
        <f t="shared" si="5"/>
        <v>604.87506849315071</v>
      </c>
      <c r="N34" s="258">
        <v>604.87506849315071</v>
      </c>
      <c r="O34" s="258">
        <v>0</v>
      </c>
      <c r="P34" s="258">
        <f t="shared" si="6"/>
        <v>0</v>
      </c>
      <c r="Q34" s="259">
        <f t="shared" si="7"/>
        <v>1</v>
      </c>
      <c r="R34" s="261">
        <f>+Q34*E34</f>
        <v>130.22</v>
      </c>
      <c r="S34" s="259">
        <f>+G34/E34</f>
        <v>0.63649999999999995</v>
      </c>
      <c r="T34" s="205">
        <v>55000</v>
      </c>
      <c r="U34" s="205">
        <v>31000</v>
      </c>
      <c r="V34" s="194">
        <v>15000</v>
      </c>
      <c r="W34">
        <v>8000</v>
      </c>
      <c r="AA34" s="232">
        <f t="shared" si="0"/>
        <v>-3140</v>
      </c>
      <c r="AB34" s="233">
        <f t="shared" si="1"/>
        <v>6393600</v>
      </c>
      <c r="AC34" s="234">
        <f t="shared" si="2"/>
        <v>57080</v>
      </c>
      <c r="AD34" s="224">
        <f t="shared" si="3"/>
        <v>-40.909199999999998</v>
      </c>
      <c r="AE34" s="225">
        <f t="shared" si="4"/>
        <v>-39.376199999999997</v>
      </c>
      <c r="AF34" s="186">
        <f>+(AE34-E34)/E34</f>
        <v>-1.3023821225618186</v>
      </c>
    </row>
    <row r="35" spans="3:32" x14ac:dyDescent="0.25">
      <c r="C35" t="s">
        <v>344</v>
      </c>
      <c r="E35" s="194">
        <v>24.09</v>
      </c>
      <c r="F35" s="194">
        <v>0</v>
      </c>
      <c r="G35">
        <f>+E35</f>
        <v>24.09</v>
      </c>
      <c r="H35">
        <f>+E35-G35</f>
        <v>0</v>
      </c>
      <c r="I35" s="186">
        <f>+G35/E35</f>
        <v>1</v>
      </c>
      <c r="J35" s="186">
        <f>+H35/E35</f>
        <v>0</v>
      </c>
      <c r="K35" s="228">
        <v>0.73740000000000006</v>
      </c>
      <c r="L35" s="194">
        <v>2064</v>
      </c>
      <c r="M35" s="258">
        <f t="shared" si="5"/>
        <v>4233.3403013698626</v>
      </c>
      <c r="N35" s="258">
        <v>4233.3403013698626</v>
      </c>
      <c r="O35" s="258">
        <v>0</v>
      </c>
      <c r="P35" s="258">
        <f t="shared" si="6"/>
        <v>0</v>
      </c>
      <c r="Q35" s="259">
        <f t="shared" si="7"/>
        <v>1</v>
      </c>
      <c r="R35" s="261">
        <f>+Q35*E35</f>
        <v>24.09</v>
      </c>
      <c r="S35" s="259">
        <f>+G35/E35</f>
        <v>1</v>
      </c>
      <c r="T35" s="205">
        <v>4000</v>
      </c>
      <c r="U35" s="205">
        <v>3500</v>
      </c>
      <c r="V35" s="194">
        <v>2500</v>
      </c>
      <c r="W35">
        <v>2000</v>
      </c>
      <c r="X35">
        <v>1500</v>
      </c>
      <c r="Y35">
        <v>1250</v>
      </c>
      <c r="Z35">
        <v>1000</v>
      </c>
      <c r="AA35" s="232">
        <f t="shared" si="0"/>
        <v>-103.57142857142857</v>
      </c>
      <c r="AB35" s="233">
        <f t="shared" si="1"/>
        <v>213017.85714285713</v>
      </c>
      <c r="AC35" s="234">
        <f t="shared" si="2"/>
        <v>-753.57142857144936</v>
      </c>
      <c r="AD35" s="224">
        <f t="shared" si="3"/>
        <v>26.068821428571262</v>
      </c>
      <c r="AE35" s="225">
        <f t="shared" si="4"/>
        <v>24.491499999999998</v>
      </c>
      <c r="AF35" s="186">
        <f>+(AE35-E35)/E35</f>
        <v>1.6666666666666611E-2</v>
      </c>
    </row>
    <row r="36" spans="3:32" x14ac:dyDescent="0.25">
      <c r="C36" t="s">
        <v>511</v>
      </c>
      <c r="E36" s="194">
        <v>5.59</v>
      </c>
      <c r="F36" s="194">
        <v>0</v>
      </c>
      <c r="G36">
        <f>+E36</f>
        <v>5.59</v>
      </c>
      <c r="H36">
        <f>+E36-G36</f>
        <v>0</v>
      </c>
      <c r="I36" s="186">
        <f>+G36/E36</f>
        <v>1</v>
      </c>
      <c r="J36" s="186">
        <f>+H36/E36</f>
        <v>0</v>
      </c>
      <c r="K36" s="228">
        <v>0.69210000000000005</v>
      </c>
      <c r="L36" s="194">
        <v>2047</v>
      </c>
      <c r="M36" s="258">
        <f t="shared" si="5"/>
        <v>1476.5236986301368</v>
      </c>
      <c r="N36" s="258">
        <v>1476.5236986301368</v>
      </c>
      <c r="O36" s="258">
        <v>0</v>
      </c>
      <c r="P36" s="258">
        <f t="shared" si="6"/>
        <v>0</v>
      </c>
      <c r="Q36" s="259">
        <f t="shared" si="7"/>
        <v>1</v>
      </c>
      <c r="R36" s="261">
        <f>+Q36*E36</f>
        <v>5.59</v>
      </c>
      <c r="S36" s="259">
        <f>+G36/E36</f>
        <v>1</v>
      </c>
      <c r="T36" s="205">
        <v>1400</v>
      </c>
      <c r="U36" s="205">
        <v>1250</v>
      </c>
      <c r="V36" s="194">
        <v>750</v>
      </c>
      <c r="W36">
        <v>450</v>
      </c>
      <c r="X36">
        <v>250</v>
      </c>
      <c r="AA36" s="232">
        <f t="shared" si="0"/>
        <v>-62</v>
      </c>
      <c r="AB36" s="233">
        <f t="shared" si="1"/>
        <v>126680</v>
      </c>
      <c r="AC36" s="234">
        <f t="shared" si="2"/>
        <v>-234</v>
      </c>
      <c r="AD36" s="224">
        <f t="shared" si="3"/>
        <v>5.7454650000000003</v>
      </c>
      <c r="AE36" s="225">
        <f t="shared" si="4"/>
        <v>5.9425650000000001</v>
      </c>
      <c r="AF36" s="186">
        <f>+(AE36-E36)/E36</f>
        <v>6.307066189624333E-2</v>
      </c>
    </row>
    <row r="37" spans="3:32" x14ac:dyDescent="0.25">
      <c r="C37" t="s">
        <v>345</v>
      </c>
      <c r="E37" s="194">
        <v>16.52</v>
      </c>
      <c r="F37" s="194">
        <v>1.91</v>
      </c>
      <c r="G37">
        <f>+E37*98.07%</f>
        <v>16.201163999999999</v>
      </c>
      <c r="H37">
        <f>+E37-G37</f>
        <v>0.31883600000000101</v>
      </c>
      <c r="I37" s="186">
        <f>+G37/E37</f>
        <v>0.98069999999999991</v>
      </c>
      <c r="J37" s="186">
        <f>+H37/E37</f>
        <v>1.930000000000006E-2</v>
      </c>
      <c r="K37" s="228">
        <v>0.73629999999999995</v>
      </c>
      <c r="L37" s="194">
        <v>2060</v>
      </c>
      <c r="M37" s="258">
        <f t="shared" si="5"/>
        <v>4154.1152328767121</v>
      </c>
      <c r="N37" s="258">
        <v>4154.1152328767121</v>
      </c>
      <c r="O37" s="258">
        <v>0</v>
      </c>
      <c r="P37" s="258">
        <f t="shared" si="6"/>
        <v>0</v>
      </c>
      <c r="Q37" s="259">
        <f t="shared" si="7"/>
        <v>1</v>
      </c>
      <c r="R37" s="261">
        <f>+Q37*E37</f>
        <v>16.52</v>
      </c>
      <c r="S37" s="259">
        <f>+G37/E37</f>
        <v>0.98069999999999991</v>
      </c>
      <c r="T37" s="205">
        <v>4000</v>
      </c>
      <c r="U37" s="205">
        <v>3000</v>
      </c>
      <c r="V37" s="194">
        <v>1800</v>
      </c>
      <c r="W37">
        <v>1250</v>
      </c>
      <c r="X37">
        <v>1000</v>
      </c>
      <c r="Y37">
        <v>750</v>
      </c>
      <c r="AA37" s="232">
        <f t="shared" si="0"/>
        <v>-130.28571428571428</v>
      </c>
      <c r="AB37" s="233">
        <f t="shared" si="1"/>
        <v>266772.38095238095</v>
      </c>
      <c r="AC37" s="234">
        <f t="shared" si="2"/>
        <v>-1616.1904761904734</v>
      </c>
      <c r="AD37" s="224">
        <f t="shared" si="3"/>
        <v>17.401809523809543</v>
      </c>
      <c r="AE37" s="225">
        <f t="shared" si="4"/>
        <v>14.447047619026899</v>
      </c>
      <c r="AF37" s="186">
        <f>+(AE37-E37)/E37</f>
        <v>-0.12548137899352912</v>
      </c>
    </row>
    <row r="38" spans="3:32" x14ac:dyDescent="0.25">
      <c r="C38" t="s">
        <v>512</v>
      </c>
      <c r="E38" s="194">
        <v>90.73</v>
      </c>
      <c r="F38" s="194">
        <v>10.09</v>
      </c>
      <c r="G38">
        <f>+E38*98.15%</f>
        <v>89.051495000000003</v>
      </c>
      <c r="H38">
        <f>+E38-G38</f>
        <v>1.6785050000000012</v>
      </c>
      <c r="I38" s="186">
        <f>+G38/E38</f>
        <v>0.98150000000000004</v>
      </c>
      <c r="J38" s="186">
        <f>+H38/E38</f>
        <v>1.8500000000000013E-2</v>
      </c>
      <c r="K38" s="228">
        <v>0.50829999999999997</v>
      </c>
      <c r="L38" s="194">
        <v>2061</v>
      </c>
      <c r="M38" s="258">
        <f t="shared" si="5"/>
        <v>18271.22222390175</v>
      </c>
      <c r="N38" s="258">
        <v>17849.99879452055</v>
      </c>
      <c r="O38" s="258">
        <v>2.4430958904109596</v>
      </c>
      <c r="P38" s="258">
        <f t="shared" si="6"/>
        <v>421.22342938119994</v>
      </c>
      <c r="Q38" s="259">
        <f t="shared" si="7"/>
        <v>0.97694607266994049</v>
      </c>
      <c r="R38" s="261">
        <f>+Q38*E38</f>
        <v>88.638317173343708</v>
      </c>
      <c r="S38" s="259">
        <f>+G38/E38</f>
        <v>0.98150000000000004</v>
      </c>
      <c r="T38" s="205">
        <v>19000</v>
      </c>
      <c r="U38" s="205">
        <v>16000</v>
      </c>
      <c r="V38" s="194">
        <v>10000</v>
      </c>
      <c r="W38">
        <v>7000</v>
      </c>
      <c r="X38">
        <v>4500</v>
      </c>
      <c r="Y38">
        <v>3000</v>
      </c>
      <c r="Z38">
        <v>2000</v>
      </c>
    </row>
    <row r="39" spans="3:32" x14ac:dyDescent="0.25">
      <c r="H39">
        <f>+E39-G39</f>
        <v>0</v>
      </c>
      <c r="I39" s="186"/>
      <c r="J39" s="186"/>
    </row>
    <row r="40" spans="3:32" x14ac:dyDescent="0.25">
      <c r="C40" t="s">
        <v>519</v>
      </c>
      <c r="E40" s="194" t="s">
        <v>527</v>
      </c>
      <c r="F40" s="194">
        <v>23.75</v>
      </c>
      <c r="G40" t="e">
        <f>+E40*0.74%</f>
        <v>#VALUE!</v>
      </c>
      <c r="H40" t="e">
        <f>+E40-G40</f>
        <v>#VALUE!</v>
      </c>
      <c r="I40" s="186" t="e">
        <f>+G40/E40</f>
        <v>#VALUE!</v>
      </c>
      <c r="J40" s="186" t="e">
        <f>+H40/E40</f>
        <v>#VALUE!</v>
      </c>
      <c r="K40" s="228">
        <v>0.30909999999999999</v>
      </c>
      <c r="L40" s="194">
        <v>2049</v>
      </c>
      <c r="M40" s="194"/>
      <c r="N40" s="194"/>
      <c r="O40" s="194"/>
      <c r="P40" s="194"/>
      <c r="Q40" s="194"/>
      <c r="R40" s="194"/>
      <c r="S40" s="194"/>
    </row>
    <row r="41" spans="3:32" x14ac:dyDescent="0.25">
      <c r="C41" t="s">
        <v>520</v>
      </c>
      <c r="E41" s="194">
        <v>6.24</v>
      </c>
      <c r="F41" s="194">
        <v>11.14</v>
      </c>
      <c r="G41">
        <f>+E41*70.26%</f>
        <v>4.3842240000000006</v>
      </c>
      <c r="H41">
        <f>+E41-G41</f>
        <v>1.8557759999999996</v>
      </c>
      <c r="I41" s="186">
        <f>+G41/E41</f>
        <v>0.70260000000000011</v>
      </c>
      <c r="J41" s="186">
        <f>+H41/E41</f>
        <v>0.29739999999999994</v>
      </c>
      <c r="K41" s="228">
        <v>0.77259999999999995</v>
      </c>
      <c r="L41" s="194">
        <v>2041</v>
      </c>
      <c r="M41" s="194"/>
      <c r="N41" s="194"/>
      <c r="O41" s="194"/>
      <c r="P41" s="194"/>
      <c r="Q41" s="194"/>
      <c r="R41" s="194"/>
      <c r="S41" s="194"/>
      <c r="T41" s="205">
        <v>3700</v>
      </c>
    </row>
    <row r="42" spans="3:32" x14ac:dyDescent="0.25">
      <c r="C42" t="s">
        <v>521</v>
      </c>
      <c r="E42" s="194">
        <v>18.809999999999999</v>
      </c>
      <c r="F42" s="194">
        <v>112.29</v>
      </c>
      <c r="G42">
        <f>+E42*0.49%</f>
        <v>9.2168999999999987E-2</v>
      </c>
      <c r="H42">
        <f>+E42-G42</f>
        <v>18.717831</v>
      </c>
      <c r="I42" s="186">
        <f>+G42/E42</f>
        <v>4.8999999999999998E-3</v>
      </c>
      <c r="J42" s="186">
        <f>+H42/E42</f>
        <v>0.9951000000000001</v>
      </c>
      <c r="K42" s="228">
        <v>0.29599999999999999</v>
      </c>
      <c r="L42" s="194">
        <v>2042</v>
      </c>
      <c r="M42" s="194"/>
      <c r="N42" s="194"/>
      <c r="O42" s="194"/>
      <c r="P42" s="194"/>
      <c r="Q42" s="194"/>
      <c r="R42" s="194"/>
      <c r="S42" s="194"/>
      <c r="T42" s="205">
        <v>4500</v>
      </c>
    </row>
    <row r="43" spans="3:32" x14ac:dyDescent="0.25">
      <c r="C43" t="s">
        <v>522</v>
      </c>
      <c r="E43" s="194">
        <v>9.35</v>
      </c>
      <c r="F43" s="194">
        <v>4.1900000000000004</v>
      </c>
      <c r="G43">
        <f>+E43*92.53%</f>
        <v>8.6515550000000001</v>
      </c>
      <c r="H43">
        <f>+E43-G43</f>
        <v>0.69844499999999954</v>
      </c>
      <c r="I43" s="186">
        <f>+G43/E43</f>
        <v>0.92530000000000001</v>
      </c>
      <c r="J43" s="186">
        <f>+H43/E43</f>
        <v>7.4699999999999947E-2</v>
      </c>
      <c r="K43" s="228">
        <v>0.51980000000000004</v>
      </c>
      <c r="L43" s="194">
        <v>2068</v>
      </c>
      <c r="M43" s="194"/>
      <c r="N43" s="194"/>
      <c r="O43" s="194"/>
      <c r="P43" s="194"/>
      <c r="Q43" s="194"/>
      <c r="R43" s="194"/>
      <c r="S43" s="194"/>
      <c r="T43" s="194">
        <v>1800</v>
      </c>
    </row>
    <row r="45" spans="3:32" x14ac:dyDescent="0.25">
      <c r="T45">
        <f>+SUM(T6:T43)</f>
        <v>529280</v>
      </c>
      <c r="U45" t="s">
        <v>528</v>
      </c>
    </row>
    <row r="46" spans="3:32" x14ac:dyDescent="0.25">
      <c r="T46">
        <f>+T45*365</f>
        <v>193187200</v>
      </c>
      <c r="U46" t="s">
        <v>528</v>
      </c>
    </row>
    <row r="47" spans="3:32" x14ac:dyDescent="0.25">
      <c r="C47" t="s">
        <v>513</v>
      </c>
      <c r="E47" s="212">
        <f>+SUM(E5:E38)+E42</f>
        <v>1984.8899999999996</v>
      </c>
      <c r="F47" t="s">
        <v>488</v>
      </c>
      <c r="T47" s="229">
        <f>+T46/1000000</f>
        <v>193.18719999999999</v>
      </c>
      <c r="U47" t="s">
        <v>529</v>
      </c>
    </row>
    <row r="48" spans="3:32" x14ac:dyDescent="0.25">
      <c r="C48" t="s">
        <v>514</v>
      </c>
      <c r="E48">
        <f>+SUM(G5:G38)+G42</f>
        <v>1725.2950059999996</v>
      </c>
      <c r="F48" t="s">
        <v>488</v>
      </c>
      <c r="G48" s="186">
        <f>+E48/E47</f>
        <v>0.86921441792744181</v>
      </c>
      <c r="H48" s="186"/>
      <c r="I48" s="186"/>
      <c r="J48" s="186"/>
      <c r="K48" s="212"/>
      <c r="T48" s="219" t="s">
        <v>530</v>
      </c>
      <c r="U48" s="219" t="s">
        <v>531</v>
      </c>
    </row>
    <row r="49" spans="3:21" x14ac:dyDescent="0.25">
      <c r="C49" t="s">
        <v>517</v>
      </c>
      <c r="E49" s="212">
        <f>+E47-E48</f>
        <v>259.59499400000004</v>
      </c>
      <c r="F49" t="s">
        <v>488</v>
      </c>
      <c r="G49" s="186">
        <f>+E49/E47</f>
        <v>0.13078558207255822</v>
      </c>
      <c r="H49" s="186"/>
      <c r="I49" s="186"/>
      <c r="J49" s="186"/>
      <c r="T49" s="252">
        <f>+T47*T54</f>
        <v>25.114335999999998</v>
      </c>
      <c r="U49" s="253">
        <f>+T47*(100%-T54)</f>
        <v>168.07286399999998</v>
      </c>
    </row>
    <row r="50" spans="3:21" x14ac:dyDescent="0.25">
      <c r="C50" t="s">
        <v>515</v>
      </c>
      <c r="E50" s="212">
        <f>+SUM(F5:F38)</f>
        <v>1635.0453439999999</v>
      </c>
      <c r="F50" t="s">
        <v>516</v>
      </c>
    </row>
    <row r="51" spans="3:21" x14ac:dyDescent="0.25">
      <c r="E51" s="212">
        <f>+E50*(1000000000)</f>
        <v>1635045344000</v>
      </c>
      <c r="F51" t="s">
        <v>526</v>
      </c>
    </row>
    <row r="52" spans="3:21" x14ac:dyDescent="0.25">
      <c r="E52" s="212">
        <f>+(E51/G1)/1000000</f>
        <v>272.62588454016498</v>
      </c>
      <c r="L52" t="s">
        <v>518</v>
      </c>
      <c r="T52" t="s">
        <v>532</v>
      </c>
    </row>
    <row r="53" spans="3:21" x14ac:dyDescent="0.25">
      <c r="L53">
        <v>71</v>
      </c>
      <c r="T53" s="251">
        <v>0.87</v>
      </c>
    </row>
    <row r="54" spans="3:21" x14ac:dyDescent="0.25">
      <c r="E54">
        <f>+E50*1000</f>
        <v>1635045.3439999998</v>
      </c>
      <c r="F54" t="s">
        <v>523</v>
      </c>
      <c r="L54">
        <v>29</v>
      </c>
      <c r="T54" s="251">
        <v>0.13</v>
      </c>
    </row>
    <row r="55" spans="3:21" x14ac:dyDescent="0.25">
      <c r="E55">
        <f>+E54/11</f>
        <v>148640.4858181818</v>
      </c>
      <c r="F55" t="s">
        <v>523</v>
      </c>
      <c r="O55" t="s">
        <v>540</v>
      </c>
      <c r="P55" s="212">
        <f>+E47</f>
        <v>1984.8899999999996</v>
      </c>
      <c r="Q55" t="s">
        <v>488</v>
      </c>
    </row>
    <row r="56" spans="3:21" x14ac:dyDescent="0.25">
      <c r="E56">
        <f>+E55/365</f>
        <v>407.234207721046</v>
      </c>
      <c r="F56" t="s">
        <v>523</v>
      </c>
      <c r="O56" t="s">
        <v>541</v>
      </c>
      <c r="P56" s="261">
        <f>+SUM(R6:R38)</f>
        <v>1737.7836457184026</v>
      </c>
    </row>
    <row r="58" spans="3:21" x14ac:dyDescent="0.25">
      <c r="E58">
        <v>1000</v>
      </c>
      <c r="F58" t="s">
        <v>523</v>
      </c>
    </row>
    <row r="59" spans="3:21" x14ac:dyDescent="0.25">
      <c r="E59">
        <f>+E58*365</f>
        <v>365000</v>
      </c>
    </row>
    <row r="60" spans="3:21" x14ac:dyDescent="0.25">
      <c r="E60" s="229">
        <f>+E54/E59</f>
        <v>4.4795762849315066</v>
      </c>
      <c r="F60" t="s">
        <v>524</v>
      </c>
    </row>
    <row r="61" spans="3:21" x14ac:dyDescent="0.25">
      <c r="E61" s="223"/>
    </row>
  </sheetData>
  <mergeCells count="1">
    <mergeCell ref="AD3:AE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2F472-E402-46D4-B360-E35C880EA1BD}">
  <dimension ref="C1:AH61"/>
  <sheetViews>
    <sheetView showGridLines="0" tabSelected="1" topLeftCell="I25" zoomScale="115" zoomScaleNormal="115" workbookViewId="0">
      <selection activeCell="W51" sqref="W51"/>
    </sheetView>
  </sheetViews>
  <sheetFormatPr baseColWidth="10" defaultRowHeight="15" x14ac:dyDescent="0.25"/>
  <cols>
    <col min="3" max="4" width="17.5703125" customWidth="1"/>
    <col min="5" max="5" width="21.42578125" customWidth="1"/>
    <col min="6" max="6" width="13.42578125" customWidth="1"/>
    <col min="7" max="14" width="11.42578125" customWidth="1"/>
    <col min="21" max="21" width="15.28515625" customWidth="1"/>
    <col min="23" max="23" width="14.140625" customWidth="1"/>
    <col min="30" max="30" width="14.140625" customWidth="1"/>
    <col min="31" max="31" width="21.28515625" customWidth="1"/>
    <col min="32" max="32" width="18.85546875" customWidth="1"/>
    <col min="33" max="33" width="20.28515625" customWidth="1"/>
  </cols>
  <sheetData>
    <row r="1" spans="3:34" x14ac:dyDescent="0.25">
      <c r="F1" t="s">
        <v>507</v>
      </c>
      <c r="G1" s="229">
        <f>+F29*1000/E29</f>
        <v>5997.3958333333339</v>
      </c>
      <c r="H1" s="229" t="s">
        <v>525</v>
      </c>
      <c r="I1" s="229"/>
      <c r="J1" s="229"/>
      <c r="K1" s="229"/>
      <c r="L1" s="229"/>
      <c r="W1">
        <v>1</v>
      </c>
      <c r="X1" t="s">
        <v>484</v>
      </c>
      <c r="Y1">
        <v>5800</v>
      </c>
      <c r="Z1" t="s">
        <v>485</v>
      </c>
    </row>
    <row r="3" spans="3:34" x14ac:dyDescent="0.25">
      <c r="O3" s="254" t="s">
        <v>533</v>
      </c>
      <c r="P3" s="255"/>
      <c r="Q3" s="255"/>
      <c r="R3" s="255"/>
      <c r="S3" s="256"/>
      <c r="T3" s="255"/>
      <c r="U3" s="255"/>
      <c r="V3" s="207" t="s">
        <v>479</v>
      </c>
      <c r="W3" s="208"/>
      <c r="X3" s="208"/>
      <c r="Y3" s="208"/>
      <c r="Z3" s="208"/>
      <c r="AA3" s="208"/>
      <c r="AB3" s="209"/>
      <c r="AF3" s="250" t="s">
        <v>488</v>
      </c>
      <c r="AG3" s="250"/>
    </row>
    <row r="4" spans="3:34" x14ac:dyDescent="0.25">
      <c r="E4" s="216" t="s">
        <v>475</v>
      </c>
      <c r="F4" s="217" t="s">
        <v>478</v>
      </c>
      <c r="G4" s="218" t="s">
        <v>477</v>
      </c>
      <c r="H4" s="218" t="s">
        <v>476</v>
      </c>
      <c r="I4" s="218"/>
      <c r="J4" s="218"/>
      <c r="K4" s="218"/>
      <c r="L4" s="218"/>
      <c r="M4" s="219" t="s">
        <v>480</v>
      </c>
      <c r="N4" s="216" t="s">
        <v>481</v>
      </c>
      <c r="O4" s="257" t="s">
        <v>380</v>
      </c>
      <c r="P4" s="257" t="s">
        <v>535</v>
      </c>
      <c r="Q4" s="257" t="s">
        <v>534</v>
      </c>
      <c r="R4" s="257" t="s">
        <v>536</v>
      </c>
      <c r="S4" s="257" t="s">
        <v>537</v>
      </c>
      <c r="T4" s="257" t="s">
        <v>477</v>
      </c>
      <c r="U4" s="257" t="s">
        <v>538</v>
      </c>
      <c r="V4" s="216">
        <v>2020</v>
      </c>
      <c r="W4" s="217">
        <v>2025</v>
      </c>
      <c r="X4" s="217">
        <v>2030</v>
      </c>
      <c r="Y4" s="217">
        <v>2035</v>
      </c>
      <c r="Z4" s="217">
        <v>2040</v>
      </c>
      <c r="AA4" s="217">
        <v>2045</v>
      </c>
      <c r="AB4" s="218">
        <v>2050</v>
      </c>
      <c r="AC4" s="220" t="s">
        <v>483</v>
      </c>
      <c r="AD4" s="221" t="s">
        <v>482</v>
      </c>
      <c r="AE4" s="222" t="s">
        <v>486</v>
      </c>
      <c r="AF4" s="220" t="s">
        <v>487</v>
      </c>
      <c r="AG4" s="221" t="s">
        <v>489</v>
      </c>
      <c r="AH4" s="183" t="s">
        <v>490</v>
      </c>
    </row>
    <row r="5" spans="3:34" x14ac:dyDescent="0.25">
      <c r="C5" t="s">
        <v>301</v>
      </c>
      <c r="E5" s="197">
        <v>28.68</v>
      </c>
      <c r="F5" s="198">
        <v>172.07</v>
      </c>
      <c r="G5" s="199">
        <v>0</v>
      </c>
      <c r="H5">
        <f t="shared" ref="H5:H43" si="0">+E5-G5</f>
        <v>28.68</v>
      </c>
      <c r="I5" s="186">
        <f>+G5/E5</f>
        <v>0</v>
      </c>
      <c r="J5" s="186">
        <f>+H5/E5</f>
        <v>1</v>
      </c>
      <c r="M5" s="200">
        <v>0.96079999999999999</v>
      </c>
      <c r="N5" s="201">
        <v>2027</v>
      </c>
      <c r="S5" s="260">
        <v>0</v>
      </c>
      <c r="T5" s="261">
        <f>+S5*E5</f>
        <v>0</v>
      </c>
      <c r="U5" t="s">
        <v>539</v>
      </c>
      <c r="V5" s="202">
        <v>20000</v>
      </c>
      <c r="W5" s="203">
        <v>12500</v>
      </c>
      <c r="X5" s="206"/>
      <c r="Y5" s="206"/>
      <c r="Z5" s="206"/>
      <c r="AA5" s="206"/>
      <c r="AB5" s="199"/>
      <c r="AC5" s="210">
        <f t="shared" ref="AC5:AC37" si="1">+SLOPE(V5:AB5,$V$4:$AB$4)</f>
        <v>-1500</v>
      </c>
      <c r="AD5" s="204">
        <f t="shared" ref="AD5:AD37" si="2">+INTERCEPT(V5:AB5,$V$4:$AB$4)</f>
        <v>3050000</v>
      </c>
      <c r="AE5" s="211">
        <f t="shared" ref="AE5:AE37" si="3">+AC5*N5+AD5</f>
        <v>9500</v>
      </c>
      <c r="AF5" s="224">
        <f t="shared" ref="AF5:AF37" si="4">+((N5-$V$4)*AE5+((N5-$V$4)*(V5-AE5))/2)*365/1000000</f>
        <v>37.686250000000001</v>
      </c>
      <c r="AG5" s="225">
        <f t="shared" ref="AG5:AG37" si="5">+((AC5*N5*N5/2)+(AD5*N5)-(AC5*$V$4*$V$4/2)-(AD5*$V$4))*365/1000000</f>
        <v>37.686250000000001</v>
      </c>
      <c r="AH5" s="186">
        <f t="shared" ref="AH5:AH37" si="6">+(AG5-E5)/E5</f>
        <v>0.31402545327754539</v>
      </c>
    </row>
    <row r="6" spans="3:34" x14ac:dyDescent="0.25">
      <c r="C6" t="s">
        <v>342</v>
      </c>
      <c r="E6" s="194">
        <v>89.87</v>
      </c>
      <c r="F6" s="194">
        <v>0</v>
      </c>
      <c r="G6" s="194">
        <f>+E6</f>
        <v>89.87</v>
      </c>
      <c r="H6">
        <f t="shared" si="0"/>
        <v>0</v>
      </c>
      <c r="I6" s="186">
        <f t="shared" ref="I6:I43" si="7">+G6/E6</f>
        <v>1</v>
      </c>
      <c r="J6" s="186">
        <f t="shared" ref="J6:J43" si="8">+H6/E6</f>
        <v>0</v>
      </c>
      <c r="M6" s="196">
        <v>0.24629999999999999</v>
      </c>
      <c r="N6" s="194">
        <v>2048</v>
      </c>
      <c r="O6" s="258">
        <f>+P6+R6</f>
        <v>19756.607616438356</v>
      </c>
      <c r="P6" s="258">
        <v>19756.607616438356</v>
      </c>
      <c r="Q6" s="258">
        <v>0</v>
      </c>
      <c r="R6" s="258">
        <f>+(Q6*1000000)/$Y$1</f>
        <v>0</v>
      </c>
      <c r="S6" s="259">
        <f>+P6/O6</f>
        <v>1</v>
      </c>
      <c r="T6" s="261">
        <f t="shared" ref="T6:T38" si="9">+S6*E6</f>
        <v>89.87</v>
      </c>
      <c r="U6" s="259">
        <f>+G6/E6</f>
        <v>1</v>
      </c>
      <c r="V6" s="194">
        <v>10000</v>
      </c>
      <c r="W6" s="194">
        <v>16000</v>
      </c>
      <c r="X6" s="194">
        <v>11000</v>
      </c>
      <c r="Y6" s="194">
        <v>7500</v>
      </c>
      <c r="Z6" s="194">
        <v>5500</v>
      </c>
      <c r="AA6" s="194">
        <v>4000</v>
      </c>
      <c r="AB6" s="194"/>
      <c r="AC6" s="210">
        <f t="shared" si="1"/>
        <v>-371.42857142857144</v>
      </c>
      <c r="AD6" s="204">
        <f t="shared" si="2"/>
        <v>763928.57142857148</v>
      </c>
      <c r="AE6" s="211">
        <f t="shared" si="3"/>
        <v>3242.8571428571595</v>
      </c>
      <c r="AF6" s="226">
        <f t="shared" si="4"/>
        <v>67.671000000000092</v>
      </c>
      <c r="AG6" s="227">
        <f t="shared" si="5"/>
        <v>86.286000000000001</v>
      </c>
      <c r="AH6" s="186">
        <f t="shared" si="6"/>
        <v>-3.9879826415934162E-2</v>
      </c>
    </row>
    <row r="7" spans="3:34"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M7" s="196">
        <v>0.62780000000000002</v>
      </c>
      <c r="N7" s="194">
        <v>2041</v>
      </c>
      <c r="O7" s="258">
        <f t="shared" ref="O7:O38" si="10">+P7+R7</f>
        <v>285.28490222012289</v>
      </c>
      <c r="P7" s="258">
        <v>249.14413698630142</v>
      </c>
      <c r="Q7" s="258">
        <v>0.20961643835616439</v>
      </c>
      <c r="R7" s="258">
        <f t="shared" ref="R7:R38" si="11">+(Q7*1000000)/$Y$1</f>
        <v>36.140765233821448</v>
      </c>
      <c r="S7" s="259">
        <f t="shared" ref="S7:S38" si="12">+P7/O7</f>
        <v>0.8733169370248145</v>
      </c>
      <c r="T7" s="261">
        <f t="shared" si="9"/>
        <v>1.196444203723996</v>
      </c>
      <c r="U7" s="259">
        <f t="shared" ref="U7:U38" si="13">+G7/E7</f>
        <v>0.98879999999999979</v>
      </c>
      <c r="V7" s="194">
        <v>400</v>
      </c>
      <c r="W7" s="194">
        <v>280</v>
      </c>
      <c r="X7" s="194">
        <v>200</v>
      </c>
      <c r="Y7" s="194">
        <v>120</v>
      </c>
      <c r="Z7" s="194">
        <v>80</v>
      </c>
      <c r="AA7" s="194"/>
      <c r="AB7" s="194"/>
      <c r="AC7" s="210">
        <f t="shared" si="1"/>
        <v>-16</v>
      </c>
      <c r="AD7" s="204">
        <f t="shared" si="2"/>
        <v>32696</v>
      </c>
      <c r="AE7" s="211">
        <f t="shared" si="3"/>
        <v>40</v>
      </c>
      <c r="AF7" s="226">
        <f t="shared" si="4"/>
        <v>1.6862999999999999</v>
      </c>
      <c r="AG7" s="227">
        <f t="shared" si="5"/>
        <v>1.59432</v>
      </c>
      <c r="AH7" s="186">
        <f t="shared" si="6"/>
        <v>0.16373722627737214</v>
      </c>
    </row>
    <row r="8" spans="3:34" x14ac:dyDescent="0.25">
      <c r="C8" t="s">
        <v>346</v>
      </c>
      <c r="E8" s="194">
        <v>2.5</v>
      </c>
      <c r="F8" s="194">
        <v>7.0000000000000007E-2</v>
      </c>
      <c r="G8" s="194">
        <f>+E8*99.53%</f>
        <v>2.4882499999999999</v>
      </c>
      <c r="H8">
        <f t="shared" si="0"/>
        <v>1.1750000000000149E-2</v>
      </c>
      <c r="I8" s="186">
        <f t="shared" si="7"/>
        <v>0.99529999999999996</v>
      </c>
      <c r="J8" s="186">
        <f t="shared" si="8"/>
        <v>4.70000000000006E-3</v>
      </c>
      <c r="M8" s="196">
        <v>0.93179999999999996</v>
      </c>
      <c r="N8" s="194">
        <v>2029</v>
      </c>
      <c r="O8" s="258">
        <f t="shared" si="10"/>
        <v>3767.1428889938588</v>
      </c>
      <c r="P8" s="258">
        <v>3691.9893698630135</v>
      </c>
      <c r="Q8" s="258">
        <v>0.43589041095890391</v>
      </c>
      <c r="R8" s="258">
        <f t="shared" si="11"/>
        <v>75.153519130845496</v>
      </c>
      <c r="S8" s="259">
        <f t="shared" si="12"/>
        <v>0.98005026054349709</v>
      </c>
      <c r="T8" s="261">
        <f t="shared" si="9"/>
        <v>2.4501256513587428</v>
      </c>
      <c r="U8" s="259">
        <f t="shared" si="13"/>
        <v>0.99529999999999996</v>
      </c>
      <c r="V8" s="194">
        <v>2950</v>
      </c>
      <c r="W8" s="194">
        <v>750</v>
      </c>
      <c r="X8" s="194"/>
      <c r="Y8" s="194"/>
      <c r="Z8" s="194"/>
      <c r="AA8" s="194"/>
      <c r="AB8" s="194"/>
      <c r="AC8" s="210">
        <f t="shared" si="1"/>
        <v>-440</v>
      </c>
      <c r="AD8" s="204">
        <f t="shared" si="2"/>
        <v>891750</v>
      </c>
      <c r="AE8" s="211">
        <f t="shared" si="3"/>
        <v>-1010</v>
      </c>
      <c r="AF8" s="226">
        <f t="shared" si="4"/>
        <v>3.1864499999999998</v>
      </c>
      <c r="AG8" s="227">
        <f t="shared" si="5"/>
        <v>3.1864499999999998</v>
      </c>
      <c r="AH8" s="186">
        <f t="shared" si="6"/>
        <v>0.27457999999999994</v>
      </c>
    </row>
    <row r="9" spans="3:34" x14ac:dyDescent="0.25">
      <c r="C9" t="s">
        <v>311</v>
      </c>
      <c r="E9" s="194">
        <v>14.92</v>
      </c>
      <c r="F9" s="194">
        <v>89.54</v>
      </c>
      <c r="G9" s="194">
        <v>0</v>
      </c>
      <c r="H9">
        <f t="shared" si="0"/>
        <v>14.92</v>
      </c>
      <c r="I9" s="186">
        <f t="shared" si="7"/>
        <v>0</v>
      </c>
      <c r="J9" s="186">
        <f t="shared" si="8"/>
        <v>1</v>
      </c>
      <c r="M9" s="196">
        <v>0.69059999999999999</v>
      </c>
      <c r="N9" s="194">
        <v>2039</v>
      </c>
      <c r="O9" s="258">
        <f t="shared" si="10"/>
        <v>3970.7652338214457</v>
      </c>
      <c r="P9" s="258">
        <v>0</v>
      </c>
      <c r="Q9" s="258">
        <v>23.030438356164385</v>
      </c>
      <c r="R9" s="258">
        <f t="shared" si="11"/>
        <v>3970.7652338214457</v>
      </c>
      <c r="S9" s="259">
        <f t="shared" si="12"/>
        <v>0</v>
      </c>
      <c r="T9" s="261">
        <f t="shared" si="9"/>
        <v>0</v>
      </c>
      <c r="U9" s="259">
        <f t="shared" si="13"/>
        <v>0</v>
      </c>
      <c r="V9" s="194">
        <v>2500</v>
      </c>
      <c r="W9" s="213">
        <v>3000</v>
      </c>
      <c r="X9" s="194">
        <v>2100</v>
      </c>
      <c r="Y9" s="194">
        <v>1800</v>
      </c>
      <c r="Z9" s="194"/>
      <c r="AA9" s="194"/>
      <c r="AB9" s="194"/>
      <c r="AC9" s="210">
        <f t="shared" si="1"/>
        <v>-60</v>
      </c>
      <c r="AD9" s="204">
        <f t="shared" si="2"/>
        <v>124000</v>
      </c>
      <c r="AE9" s="211">
        <f t="shared" si="3"/>
        <v>1660</v>
      </c>
      <c r="AF9" s="226">
        <f t="shared" si="4"/>
        <v>14.424799999999999</v>
      </c>
      <c r="AG9" s="227">
        <f t="shared" si="5"/>
        <v>15.46505</v>
      </c>
      <c r="AH9" s="186">
        <f t="shared" si="6"/>
        <v>3.653150134048256E-2</v>
      </c>
    </row>
    <row r="10" spans="3:34" x14ac:dyDescent="0.25">
      <c r="C10" t="s">
        <v>492</v>
      </c>
      <c r="E10" s="194">
        <v>153.29</v>
      </c>
      <c r="F10" s="194">
        <v>0</v>
      </c>
      <c r="G10" s="194">
        <v>153.29</v>
      </c>
      <c r="H10">
        <f t="shared" si="0"/>
        <v>0</v>
      </c>
      <c r="I10" s="186">
        <f t="shared" si="7"/>
        <v>1</v>
      </c>
      <c r="J10" s="186">
        <f t="shared" si="8"/>
        <v>0</v>
      </c>
      <c r="M10" s="196">
        <v>0.70950000000000002</v>
      </c>
      <c r="N10" s="194">
        <v>2036</v>
      </c>
      <c r="O10" s="258">
        <f t="shared" si="10"/>
        <v>70553.994630136978</v>
      </c>
      <c r="P10" s="258">
        <v>70553.994630136978</v>
      </c>
      <c r="Q10" s="258">
        <v>0</v>
      </c>
      <c r="R10" s="258">
        <f t="shared" si="11"/>
        <v>0</v>
      </c>
      <c r="S10" s="259">
        <f t="shared" si="12"/>
        <v>1</v>
      </c>
      <c r="T10" s="261">
        <f t="shared" si="9"/>
        <v>153.29</v>
      </c>
      <c r="U10" s="259">
        <f t="shared" si="13"/>
        <v>1</v>
      </c>
      <c r="V10" s="194">
        <v>65000</v>
      </c>
      <c r="W10" s="213">
        <v>37500</v>
      </c>
      <c r="X10" s="194">
        <v>22500</v>
      </c>
      <c r="Y10" s="194">
        <v>12500</v>
      </c>
      <c r="Z10" s="194"/>
      <c r="AA10" s="194"/>
      <c r="AB10" s="194"/>
      <c r="AC10" s="232">
        <f t="shared" si="1"/>
        <v>-3450</v>
      </c>
      <c r="AD10" s="233">
        <f t="shared" si="2"/>
        <v>7029250</v>
      </c>
      <c r="AE10" s="234">
        <f t="shared" si="3"/>
        <v>5050</v>
      </c>
      <c r="AF10" s="224">
        <f t="shared" si="4"/>
        <v>204.54599999999999</v>
      </c>
      <c r="AG10" s="225">
        <f t="shared" si="5"/>
        <v>190.67599999999999</v>
      </c>
      <c r="AH10" s="186">
        <f t="shared" si="6"/>
        <v>0.24389066475308238</v>
      </c>
    </row>
    <row r="11" spans="3:34" x14ac:dyDescent="0.25">
      <c r="C11" t="s">
        <v>493</v>
      </c>
      <c r="E11" s="194">
        <v>0.88</v>
      </c>
      <c r="F11" s="194">
        <v>0</v>
      </c>
      <c r="G11" s="194">
        <v>0.88</v>
      </c>
      <c r="H11">
        <f t="shared" si="0"/>
        <v>0</v>
      </c>
      <c r="I11" s="186">
        <f t="shared" si="7"/>
        <v>1</v>
      </c>
      <c r="J11" s="186">
        <f t="shared" si="8"/>
        <v>0</v>
      </c>
      <c r="M11" s="196">
        <v>0.69830000000000003</v>
      </c>
      <c r="N11" s="194">
        <v>2042</v>
      </c>
      <c r="O11" s="258">
        <f t="shared" si="10"/>
        <v>226.03172602739721</v>
      </c>
      <c r="P11" s="258">
        <v>226.03172602739721</v>
      </c>
      <c r="Q11" s="258">
        <v>0</v>
      </c>
      <c r="R11" s="258">
        <f t="shared" si="11"/>
        <v>0</v>
      </c>
      <c r="S11" s="259">
        <f t="shared" si="12"/>
        <v>1</v>
      </c>
      <c r="T11" s="261">
        <f t="shared" si="9"/>
        <v>0.88</v>
      </c>
      <c r="U11" s="259">
        <f t="shared" si="13"/>
        <v>1</v>
      </c>
      <c r="V11" s="194">
        <v>150</v>
      </c>
      <c r="W11" s="231">
        <v>180</v>
      </c>
      <c r="X11" s="194">
        <v>105</v>
      </c>
      <c r="Y11" s="194">
        <v>90</v>
      </c>
      <c r="Z11" s="194">
        <v>60</v>
      </c>
      <c r="AA11" s="194"/>
      <c r="AB11" s="194"/>
      <c r="AC11" s="232">
        <f t="shared" si="1"/>
        <v>-5.4</v>
      </c>
      <c r="AD11" s="233">
        <f t="shared" si="2"/>
        <v>11079</v>
      </c>
      <c r="AE11" s="234">
        <f t="shared" si="3"/>
        <v>52.199999999998909</v>
      </c>
      <c r="AF11" s="224">
        <f t="shared" si="4"/>
        <v>0.81183299999999559</v>
      </c>
      <c r="AG11" s="225">
        <f t="shared" si="5"/>
        <v>0.89614799999972805</v>
      </c>
      <c r="AH11" s="186">
        <f t="shared" si="6"/>
        <v>1.8349999999690961E-2</v>
      </c>
    </row>
    <row r="12" spans="3:34" x14ac:dyDescent="0.25">
      <c r="C12" t="s">
        <v>494</v>
      </c>
      <c r="E12" s="194">
        <v>543.79</v>
      </c>
      <c r="F12" s="194">
        <v>0</v>
      </c>
      <c r="G12" s="194">
        <f>+E12</f>
        <v>543.79</v>
      </c>
      <c r="H12">
        <f t="shared" si="0"/>
        <v>0</v>
      </c>
      <c r="I12" s="186">
        <f t="shared" si="7"/>
        <v>1</v>
      </c>
      <c r="J12" s="186">
        <f t="shared" si="8"/>
        <v>0</v>
      </c>
      <c r="M12" s="196">
        <v>0.31709999999999999</v>
      </c>
      <c r="N12" s="194">
        <v>2099</v>
      </c>
      <c r="O12" s="258">
        <f t="shared" si="10"/>
        <v>43276.035643835618</v>
      </c>
      <c r="P12" s="258">
        <v>43276.035643835618</v>
      </c>
      <c r="Q12" s="258">
        <v>0</v>
      </c>
      <c r="R12" s="258">
        <f t="shared" si="11"/>
        <v>0</v>
      </c>
      <c r="S12" s="259">
        <f t="shared" si="12"/>
        <v>1</v>
      </c>
      <c r="T12" s="261">
        <f t="shared" si="9"/>
        <v>543.79</v>
      </c>
      <c r="U12" s="259">
        <f t="shared" si="13"/>
        <v>1</v>
      </c>
      <c r="V12" s="194">
        <v>40000</v>
      </c>
      <c r="W12" s="194"/>
      <c r="X12" s="194">
        <v>32500</v>
      </c>
      <c r="Z12" s="194">
        <v>27500</v>
      </c>
      <c r="AA12" s="194"/>
      <c r="AB12" s="194">
        <v>22500</v>
      </c>
      <c r="AC12" s="232">
        <f t="shared" si="1"/>
        <v>-575</v>
      </c>
      <c r="AD12" s="233">
        <f t="shared" si="2"/>
        <v>1200750</v>
      </c>
      <c r="AE12" s="234">
        <f t="shared" si="3"/>
        <v>-6175</v>
      </c>
      <c r="AF12" s="224">
        <f t="shared" si="4"/>
        <v>487.67193750000001</v>
      </c>
      <c r="AG12" s="225">
        <f t="shared" si="5"/>
        <v>476.8588125</v>
      </c>
      <c r="AH12" s="186">
        <f t="shared" si="6"/>
        <v>-0.1230827847146876</v>
      </c>
    </row>
    <row r="13" spans="3:34" x14ac:dyDescent="0.25">
      <c r="C13" t="s">
        <v>29</v>
      </c>
      <c r="E13" s="194">
        <v>272.89999999999998</v>
      </c>
      <c r="F13" s="194">
        <v>0</v>
      </c>
      <c r="G13" s="194">
        <v>272.29000000000002</v>
      </c>
      <c r="H13">
        <f t="shared" si="0"/>
        <v>0.6099999999999568</v>
      </c>
      <c r="I13" s="186">
        <f t="shared" si="7"/>
        <v>0.99776474899230505</v>
      </c>
      <c r="J13" s="186">
        <f t="shared" si="8"/>
        <v>2.2352510076949681E-3</v>
      </c>
      <c r="M13" s="228">
        <v>0.71530000000000005</v>
      </c>
      <c r="N13" s="194">
        <v>2036</v>
      </c>
      <c r="O13" s="258">
        <f t="shared" si="10"/>
        <v>119308.68268493151</v>
      </c>
      <c r="P13" s="258">
        <v>119308.68268493151</v>
      </c>
      <c r="Q13" s="258">
        <v>0</v>
      </c>
      <c r="R13" s="258">
        <f t="shared" si="11"/>
        <v>0</v>
      </c>
      <c r="S13" s="259">
        <f t="shared" si="12"/>
        <v>1</v>
      </c>
      <c r="T13" s="261">
        <f t="shared" si="9"/>
        <v>272.89999999999998</v>
      </c>
      <c r="U13" s="259">
        <f t="shared" si="13"/>
        <v>0.99776474899230505</v>
      </c>
      <c r="V13" s="205">
        <v>105000</v>
      </c>
      <c r="W13" s="214">
        <v>75000</v>
      </c>
      <c r="X13" s="194">
        <v>40000</v>
      </c>
      <c r="Y13" s="194">
        <v>25000</v>
      </c>
      <c r="AC13" s="232">
        <f t="shared" si="1"/>
        <v>-5500</v>
      </c>
      <c r="AD13" s="233">
        <f t="shared" si="2"/>
        <v>11212500</v>
      </c>
      <c r="AE13" s="234">
        <f t="shared" si="3"/>
        <v>14500</v>
      </c>
      <c r="AF13" s="224">
        <f t="shared" si="4"/>
        <v>348.94</v>
      </c>
      <c r="AG13" s="225">
        <f t="shared" si="5"/>
        <v>341.64</v>
      </c>
      <c r="AH13" s="186">
        <f t="shared" si="6"/>
        <v>0.25188713814584102</v>
      </c>
    </row>
    <row r="14" spans="3:34" x14ac:dyDescent="0.25">
      <c r="C14" t="s">
        <v>345</v>
      </c>
      <c r="E14" s="194">
        <v>16.52</v>
      </c>
      <c r="F14" s="194">
        <v>1.61</v>
      </c>
      <c r="G14">
        <f>+E14*98.07%</f>
        <v>16.201163999999999</v>
      </c>
      <c r="H14">
        <f t="shared" si="0"/>
        <v>0.31883600000000101</v>
      </c>
      <c r="I14" s="186">
        <f t="shared" si="7"/>
        <v>0.98069999999999991</v>
      </c>
      <c r="J14" s="186">
        <f t="shared" si="8"/>
        <v>1.930000000000006E-2</v>
      </c>
      <c r="M14" s="228">
        <v>0.73629999999999995</v>
      </c>
      <c r="N14" s="194">
        <v>2060</v>
      </c>
      <c r="O14" s="258">
        <f t="shared" si="10"/>
        <v>4154.1152328767121</v>
      </c>
      <c r="P14" s="258">
        <v>4154.1152328767121</v>
      </c>
      <c r="Q14" s="258">
        <v>0</v>
      </c>
      <c r="R14" s="258">
        <f t="shared" si="11"/>
        <v>0</v>
      </c>
      <c r="S14" s="259">
        <f t="shared" si="12"/>
        <v>1</v>
      </c>
      <c r="T14" s="261">
        <f t="shared" si="9"/>
        <v>16.52</v>
      </c>
      <c r="U14" s="259">
        <f t="shared" si="13"/>
        <v>0.98069999999999991</v>
      </c>
      <c r="V14" s="194">
        <v>4000</v>
      </c>
      <c r="W14" s="194">
        <v>3000</v>
      </c>
      <c r="X14" s="194">
        <v>1800</v>
      </c>
      <c r="Y14" s="194">
        <v>1000</v>
      </c>
      <c r="Z14" s="194">
        <v>900</v>
      </c>
      <c r="AA14" s="194">
        <v>700</v>
      </c>
      <c r="AB14" s="194">
        <v>500</v>
      </c>
      <c r="AC14" s="232">
        <f t="shared" si="1"/>
        <v>-114.28571428571429</v>
      </c>
      <c r="AD14" s="233">
        <f t="shared" si="2"/>
        <v>234271.42857142858</v>
      </c>
      <c r="AE14" s="234">
        <f t="shared" si="3"/>
        <v>-1157.1428571428696</v>
      </c>
      <c r="AF14" s="224">
        <f t="shared" si="4"/>
        <v>20.752857142857053</v>
      </c>
      <c r="AG14" s="225">
        <f t="shared" si="5"/>
        <v>16.47714285712421</v>
      </c>
      <c r="AH14" s="186">
        <f t="shared" si="6"/>
        <v>-2.5942580433286396E-3</v>
      </c>
    </row>
    <row r="15" spans="3:34" x14ac:dyDescent="0.25">
      <c r="C15" t="s">
        <v>140</v>
      </c>
      <c r="E15" s="194">
        <v>21.91</v>
      </c>
      <c r="F15" s="194">
        <v>0</v>
      </c>
      <c r="G15">
        <f>+E15</f>
        <v>21.91</v>
      </c>
      <c r="H15">
        <f t="shared" si="0"/>
        <v>0</v>
      </c>
      <c r="I15" s="186">
        <f t="shared" si="7"/>
        <v>1</v>
      </c>
      <c r="J15" s="186">
        <f t="shared" si="8"/>
        <v>0</v>
      </c>
      <c r="M15" s="228">
        <v>0.78649999999999998</v>
      </c>
      <c r="N15" s="194">
        <v>2035</v>
      </c>
      <c r="O15" s="258">
        <f t="shared" si="10"/>
        <v>10381.531479452055</v>
      </c>
      <c r="P15" s="258">
        <v>10381.531479452055</v>
      </c>
      <c r="Q15" s="258">
        <v>0</v>
      </c>
      <c r="R15" s="258">
        <f t="shared" si="11"/>
        <v>0</v>
      </c>
      <c r="S15" s="259">
        <f t="shared" si="12"/>
        <v>1</v>
      </c>
      <c r="T15" s="261">
        <f t="shared" si="9"/>
        <v>21.91</v>
      </c>
      <c r="U15" s="259">
        <f t="shared" si="13"/>
        <v>1</v>
      </c>
      <c r="V15" s="205">
        <v>10500</v>
      </c>
      <c r="W15" s="215">
        <v>6000</v>
      </c>
      <c r="X15" s="194">
        <v>2300</v>
      </c>
      <c r="Y15" s="194">
        <v>1800</v>
      </c>
      <c r="AC15" s="232">
        <f t="shared" si="1"/>
        <v>-596</v>
      </c>
      <c r="AD15" s="233">
        <f t="shared" si="2"/>
        <v>1213540</v>
      </c>
      <c r="AE15" s="234">
        <f t="shared" si="3"/>
        <v>680</v>
      </c>
      <c r="AF15" s="224">
        <f t="shared" si="4"/>
        <v>30.605250000000002</v>
      </c>
      <c r="AG15" s="225">
        <f t="shared" si="5"/>
        <v>28.196249999999999</v>
      </c>
      <c r="AH15" s="186">
        <f t="shared" si="6"/>
        <v>0.28691236878137832</v>
      </c>
    </row>
    <row r="16" spans="3:34" x14ac:dyDescent="0.25">
      <c r="C16" t="s">
        <v>495</v>
      </c>
      <c r="E16" s="194">
        <v>8.85</v>
      </c>
      <c r="F16" s="194">
        <v>0</v>
      </c>
      <c r="G16">
        <f>+E16</f>
        <v>8.85</v>
      </c>
      <c r="H16">
        <f t="shared" si="0"/>
        <v>0</v>
      </c>
      <c r="I16" s="186">
        <f t="shared" si="7"/>
        <v>1</v>
      </c>
      <c r="J16" s="186">
        <f t="shared" si="8"/>
        <v>0</v>
      </c>
      <c r="M16" s="228">
        <v>0.55530000000000002</v>
      </c>
      <c r="N16" s="194">
        <v>2052</v>
      </c>
      <c r="O16" s="258">
        <f t="shared" si="10"/>
        <v>1737.8650958904109</v>
      </c>
      <c r="P16" s="258">
        <v>1737.8650958904109</v>
      </c>
      <c r="Q16" s="258">
        <v>0</v>
      </c>
      <c r="R16" s="258">
        <f t="shared" si="11"/>
        <v>0</v>
      </c>
      <c r="S16" s="259">
        <f t="shared" si="12"/>
        <v>1</v>
      </c>
      <c r="T16" s="261">
        <f t="shared" si="9"/>
        <v>8.85</v>
      </c>
      <c r="U16" s="259">
        <f t="shared" si="13"/>
        <v>1</v>
      </c>
      <c r="V16" s="205">
        <v>1600</v>
      </c>
      <c r="W16" s="205">
        <v>1500</v>
      </c>
      <c r="X16" s="194">
        <v>1100</v>
      </c>
      <c r="Y16" s="194">
        <v>750</v>
      </c>
      <c r="Z16" s="194">
        <v>500</v>
      </c>
      <c r="AA16" s="194">
        <v>250</v>
      </c>
      <c r="AB16" s="194">
        <v>200</v>
      </c>
      <c r="AC16" s="232">
        <f t="shared" si="1"/>
        <v>-52.142857142857146</v>
      </c>
      <c r="AD16" s="233">
        <f t="shared" si="2"/>
        <v>106953.57142857143</v>
      </c>
      <c r="AE16" s="234">
        <f t="shared" si="3"/>
        <v>-43.571428571434808</v>
      </c>
      <c r="AF16" s="224">
        <f t="shared" si="4"/>
        <v>9.0895428571428205</v>
      </c>
      <c r="AG16" s="225">
        <f t="shared" si="5"/>
        <v>9.2355428571459655</v>
      </c>
      <c r="AH16" s="186">
        <f t="shared" si="6"/>
        <v>4.3564164649261675E-2</v>
      </c>
    </row>
    <row r="17" spans="3:34" x14ac:dyDescent="0.25">
      <c r="C17" t="s">
        <v>61</v>
      </c>
      <c r="E17" s="194">
        <v>146.25</v>
      </c>
      <c r="F17" s="194">
        <v>0</v>
      </c>
      <c r="G17">
        <v>146.25</v>
      </c>
      <c r="H17">
        <f t="shared" si="0"/>
        <v>0</v>
      </c>
      <c r="I17" s="186">
        <f t="shared" si="7"/>
        <v>1</v>
      </c>
      <c r="J17" s="186">
        <f t="shared" si="8"/>
        <v>0</v>
      </c>
      <c r="M17" s="228">
        <v>0.58260000000000001</v>
      </c>
      <c r="N17" s="194">
        <v>2039</v>
      </c>
      <c r="O17" s="258">
        <f t="shared" si="10"/>
        <v>48971.756410958893</v>
      </c>
      <c r="P17" s="258">
        <v>48971.756410958893</v>
      </c>
      <c r="Q17" s="258">
        <v>0</v>
      </c>
      <c r="R17" s="258">
        <f t="shared" si="11"/>
        <v>0</v>
      </c>
      <c r="S17" s="259">
        <f t="shared" si="12"/>
        <v>1</v>
      </c>
      <c r="T17" s="261">
        <f t="shared" si="9"/>
        <v>146.25</v>
      </c>
      <c r="U17" s="259">
        <f t="shared" si="13"/>
        <v>1</v>
      </c>
      <c r="V17" s="205">
        <v>50000</v>
      </c>
      <c r="W17" s="205">
        <v>35000</v>
      </c>
      <c r="X17" s="194">
        <v>20000</v>
      </c>
      <c r="Y17" s="194">
        <v>12500</v>
      </c>
      <c r="AC17" s="232">
        <f t="shared" si="1"/>
        <v>-2550</v>
      </c>
      <c r="AD17" s="233">
        <f t="shared" si="2"/>
        <v>5199500</v>
      </c>
      <c r="AE17" s="234">
        <f t="shared" si="3"/>
        <v>50</v>
      </c>
      <c r="AF17" s="224">
        <f t="shared" si="4"/>
        <v>173.54837499999999</v>
      </c>
      <c r="AG17" s="225">
        <f t="shared" si="5"/>
        <v>168.34712500000001</v>
      </c>
      <c r="AH17" s="186">
        <f t="shared" si="6"/>
        <v>0.15109145299145302</v>
      </c>
    </row>
    <row r="18" spans="3:34" x14ac:dyDescent="0.25">
      <c r="C18" t="s">
        <v>496</v>
      </c>
      <c r="E18" s="194">
        <v>89.99</v>
      </c>
      <c r="F18" s="194">
        <v>0</v>
      </c>
      <c r="G18">
        <f>+E18</f>
        <v>89.99</v>
      </c>
      <c r="H18">
        <f t="shared" si="0"/>
        <v>0</v>
      </c>
      <c r="I18" s="186">
        <f t="shared" si="7"/>
        <v>1</v>
      </c>
      <c r="J18" s="186">
        <f t="shared" si="8"/>
        <v>0</v>
      </c>
      <c r="M18" s="228">
        <v>0.42830000000000001</v>
      </c>
      <c r="N18" s="194">
        <v>2044</v>
      </c>
      <c r="O18" s="258">
        <f t="shared" si="10"/>
        <v>20119.028164383562</v>
      </c>
      <c r="P18" s="258">
        <v>20119.028164383562</v>
      </c>
      <c r="Q18" s="258">
        <v>0</v>
      </c>
      <c r="R18" s="258">
        <f t="shared" si="11"/>
        <v>0</v>
      </c>
      <c r="S18" s="259">
        <f t="shared" si="12"/>
        <v>1</v>
      </c>
      <c r="T18" s="261">
        <f t="shared" si="9"/>
        <v>89.99</v>
      </c>
      <c r="U18" s="259">
        <f t="shared" si="13"/>
        <v>1</v>
      </c>
      <c r="V18" s="205">
        <v>20000</v>
      </c>
      <c r="W18" s="205">
        <v>17500</v>
      </c>
      <c r="X18" s="194">
        <v>12500</v>
      </c>
      <c r="Y18" s="194">
        <v>7600</v>
      </c>
      <c r="Z18" s="194">
        <v>6000</v>
      </c>
      <c r="AC18" s="232">
        <f t="shared" si="1"/>
        <v>-758</v>
      </c>
      <c r="AD18" s="233">
        <f t="shared" si="2"/>
        <v>1551460</v>
      </c>
      <c r="AE18" s="234">
        <f t="shared" si="3"/>
        <v>2108</v>
      </c>
      <c r="AF18" s="224">
        <f t="shared" si="4"/>
        <v>96.833039999999997</v>
      </c>
      <c r="AG18" s="225">
        <f t="shared" si="5"/>
        <v>98.147040000000004</v>
      </c>
      <c r="AH18" s="186">
        <f t="shared" si="6"/>
        <v>9.0643849316590835E-2</v>
      </c>
    </row>
    <row r="19" spans="3:34" x14ac:dyDescent="0.25">
      <c r="C19" t="s">
        <v>497</v>
      </c>
      <c r="E19" s="194">
        <v>86.96</v>
      </c>
      <c r="F19" s="194">
        <v>357.74</v>
      </c>
      <c r="G19">
        <f>+E19*68.57%</f>
        <v>59.628471999999995</v>
      </c>
      <c r="H19">
        <f t="shared" si="0"/>
        <v>27.331527999999999</v>
      </c>
      <c r="I19" s="186">
        <f t="shared" si="7"/>
        <v>0.68569999999999998</v>
      </c>
      <c r="J19" s="186">
        <f t="shared" si="8"/>
        <v>0.31430000000000002</v>
      </c>
      <c r="M19" s="228">
        <v>0.87790000000000001</v>
      </c>
      <c r="N19" s="194">
        <v>2035</v>
      </c>
      <c r="O19" s="258">
        <f t="shared" si="10"/>
        <v>36739.649441662732</v>
      </c>
      <c r="P19" s="258">
        <v>5802.3135890410958</v>
      </c>
      <c r="Q19" s="258">
        <v>179.43654794520549</v>
      </c>
      <c r="R19" s="258">
        <f t="shared" si="11"/>
        <v>30937.335852621636</v>
      </c>
      <c r="S19" s="259">
        <f t="shared" si="12"/>
        <v>0.15793056485893622</v>
      </c>
      <c r="T19" s="261">
        <f t="shared" si="9"/>
        <v>13.733641920133094</v>
      </c>
      <c r="U19" s="259">
        <f t="shared" si="13"/>
        <v>0.68569999999999998</v>
      </c>
      <c r="V19" s="205">
        <v>42000</v>
      </c>
      <c r="W19" s="205">
        <v>22000</v>
      </c>
      <c r="X19" s="194">
        <v>16000</v>
      </c>
      <c r="Y19" s="194">
        <v>8000</v>
      </c>
      <c r="AC19" s="232">
        <f t="shared" si="1"/>
        <v>-2160</v>
      </c>
      <c r="AD19" s="233">
        <f t="shared" si="2"/>
        <v>4401400</v>
      </c>
      <c r="AE19" s="234">
        <f t="shared" si="3"/>
        <v>5800</v>
      </c>
      <c r="AF19" s="224">
        <f t="shared" si="4"/>
        <v>130.85249999999999</v>
      </c>
      <c r="AG19" s="225">
        <f t="shared" si="5"/>
        <v>120.45</v>
      </c>
      <c r="AH19" s="186">
        <f t="shared" si="6"/>
        <v>0.38511959521619149</v>
      </c>
    </row>
    <row r="20" spans="3:34" x14ac:dyDescent="0.25">
      <c r="C20" t="s">
        <v>498</v>
      </c>
      <c r="E20" s="194">
        <v>5.73</v>
      </c>
      <c r="F20" s="194">
        <v>0</v>
      </c>
      <c r="G20">
        <f>+E20</f>
        <v>5.73</v>
      </c>
      <c r="H20">
        <f t="shared" si="0"/>
        <v>0</v>
      </c>
      <c r="I20" s="186">
        <f t="shared" si="7"/>
        <v>1</v>
      </c>
      <c r="J20" s="186">
        <f t="shared" si="8"/>
        <v>0</v>
      </c>
      <c r="M20" s="228">
        <v>0.61819999999999997</v>
      </c>
      <c r="N20" s="194">
        <v>2050</v>
      </c>
      <c r="O20" s="258">
        <f t="shared" si="10"/>
        <v>3032.86197260274</v>
      </c>
      <c r="P20" s="258">
        <v>3032.86197260274</v>
      </c>
      <c r="Q20" s="258">
        <v>0</v>
      </c>
      <c r="R20" s="258">
        <f t="shared" si="11"/>
        <v>0</v>
      </c>
      <c r="S20" s="259">
        <f t="shared" si="12"/>
        <v>1</v>
      </c>
      <c r="T20" s="261">
        <f t="shared" si="9"/>
        <v>5.73</v>
      </c>
      <c r="U20" s="259">
        <f t="shared" si="13"/>
        <v>1</v>
      </c>
      <c r="V20" s="205">
        <v>2250</v>
      </c>
      <c r="W20" s="205">
        <v>1250</v>
      </c>
      <c r="X20" s="194">
        <v>600</v>
      </c>
      <c r="Y20" s="194">
        <v>400</v>
      </c>
      <c r="Z20" s="194">
        <v>200</v>
      </c>
      <c r="AA20" s="194">
        <v>150</v>
      </c>
      <c r="AB20" s="194">
        <v>100</v>
      </c>
      <c r="AC20" s="232">
        <f t="shared" si="1"/>
        <v>-64.642857142857139</v>
      </c>
      <c r="AD20" s="233">
        <f t="shared" si="2"/>
        <v>132255.35714285716</v>
      </c>
      <c r="AE20" s="234">
        <f t="shared" si="3"/>
        <v>-262.4999999999709</v>
      </c>
      <c r="AF20" s="224">
        <f t="shared" si="4"/>
        <v>10.881562500000161</v>
      </c>
      <c r="AG20" s="225">
        <f t="shared" si="5"/>
        <v>7.7432142857189472</v>
      </c>
      <c r="AH20" s="186">
        <f t="shared" si="6"/>
        <v>0.35134629768218961</v>
      </c>
    </row>
    <row r="21" spans="3:34" x14ac:dyDescent="0.25">
      <c r="C21" t="s">
        <v>499</v>
      </c>
      <c r="E21" s="194">
        <v>89.27</v>
      </c>
      <c r="F21" s="194">
        <v>504.38</v>
      </c>
      <c r="G21">
        <f>+E21*5.84%</f>
        <v>5.213368</v>
      </c>
      <c r="H21">
        <f t="shared" si="0"/>
        <v>84.056631999999993</v>
      </c>
      <c r="I21" s="186">
        <f t="shared" si="7"/>
        <v>5.8400000000000001E-2</v>
      </c>
      <c r="J21" s="186">
        <f t="shared" si="8"/>
        <v>0.94159999999999999</v>
      </c>
      <c r="M21" s="228">
        <v>0.24510000000000001</v>
      </c>
      <c r="N21" s="194">
        <v>2059</v>
      </c>
      <c r="O21" s="258">
        <f t="shared" si="10"/>
        <v>5687.8121180916396</v>
      </c>
      <c r="P21" s="258">
        <v>1396.6784383561644</v>
      </c>
      <c r="Q21" s="258">
        <v>24.888575342465753</v>
      </c>
      <c r="R21" s="258">
        <f t="shared" si="11"/>
        <v>4291.1336797354752</v>
      </c>
      <c r="S21" s="259">
        <f t="shared" si="12"/>
        <v>0.24555635969648984</v>
      </c>
      <c r="T21" s="261">
        <f t="shared" si="9"/>
        <v>21.920816230105647</v>
      </c>
      <c r="U21" s="259">
        <f t="shared" si="13"/>
        <v>5.8400000000000001E-2</v>
      </c>
      <c r="V21" s="205">
        <v>10000</v>
      </c>
      <c r="W21" s="205">
        <v>18500</v>
      </c>
      <c r="X21" s="194">
        <v>10000</v>
      </c>
      <c r="Y21" s="194">
        <v>7000</v>
      </c>
      <c r="Z21" s="194">
        <v>5000</v>
      </c>
      <c r="AA21" s="194">
        <v>3500</v>
      </c>
      <c r="AB21" s="194">
        <v>2100</v>
      </c>
      <c r="AC21" s="232">
        <f t="shared" si="1"/>
        <v>-419.28571428571439</v>
      </c>
      <c r="AD21" s="233">
        <f t="shared" si="2"/>
        <v>861260.71428571444</v>
      </c>
      <c r="AE21" s="234">
        <f t="shared" si="3"/>
        <v>-2048.5714285714785</v>
      </c>
      <c r="AF21" s="224">
        <f t="shared" si="4"/>
        <v>56.594292857142499</v>
      </c>
      <c r="AG21" s="225">
        <f t="shared" si="5"/>
        <v>87.224962500087017</v>
      </c>
      <c r="AH21" s="186">
        <f t="shared" si="6"/>
        <v>-2.2908451886557404E-2</v>
      </c>
    </row>
    <row r="22" spans="3:34" x14ac:dyDescent="0.25">
      <c r="C22" t="s">
        <v>500</v>
      </c>
      <c r="E22" s="194">
        <v>10.25</v>
      </c>
      <c r="F22" s="194">
        <v>60.26</v>
      </c>
      <c r="G22">
        <f>+E22*2%</f>
        <v>0.20500000000000002</v>
      </c>
      <c r="H22">
        <f t="shared" si="0"/>
        <v>10.045</v>
      </c>
      <c r="I22" s="186">
        <f t="shared" si="7"/>
        <v>0.02</v>
      </c>
      <c r="J22" s="186">
        <f t="shared" si="8"/>
        <v>0.98</v>
      </c>
      <c r="M22" s="228">
        <v>0.98270000000000002</v>
      </c>
      <c r="N22" s="194">
        <v>2025</v>
      </c>
      <c r="O22" s="258">
        <f t="shared" si="10"/>
        <v>13330.402025507794</v>
      </c>
      <c r="P22" s="258">
        <v>802.2064657534246</v>
      </c>
      <c r="Q22" s="258">
        <v>72.663534246575338</v>
      </c>
      <c r="R22" s="258">
        <f t="shared" si="11"/>
        <v>12528.195559754369</v>
      </c>
      <c r="S22" s="259">
        <f t="shared" si="12"/>
        <v>6.0178715106896125E-2</v>
      </c>
      <c r="T22" s="261">
        <f t="shared" si="9"/>
        <v>0.6168318298456853</v>
      </c>
      <c r="U22" s="259">
        <f t="shared" si="13"/>
        <v>0.02</v>
      </c>
      <c r="V22" s="205">
        <v>8000</v>
      </c>
      <c r="W22" s="205">
        <v>5000</v>
      </c>
      <c r="AC22" s="232">
        <f t="shared" si="1"/>
        <v>-600</v>
      </c>
      <c r="AD22" s="233">
        <f t="shared" si="2"/>
        <v>1220000</v>
      </c>
      <c r="AE22" s="234">
        <f t="shared" si="3"/>
        <v>5000</v>
      </c>
      <c r="AF22" s="224">
        <f t="shared" si="4"/>
        <v>11.862500000000001</v>
      </c>
      <c r="AG22" s="225">
        <f t="shared" si="5"/>
        <v>11.862500000000001</v>
      </c>
      <c r="AH22" s="186">
        <f t="shared" si="6"/>
        <v>0.15731707317073176</v>
      </c>
    </row>
    <row r="23" spans="3:34" x14ac:dyDescent="0.25">
      <c r="C23" t="s">
        <v>501</v>
      </c>
      <c r="E23" s="194">
        <v>17.7</v>
      </c>
      <c r="F23" s="194">
        <v>97.48</v>
      </c>
      <c r="G23">
        <f>+E23*8.23%</f>
        <v>1.4567099999999999</v>
      </c>
      <c r="H23">
        <f t="shared" si="0"/>
        <v>16.243289999999998</v>
      </c>
      <c r="I23" s="186">
        <f t="shared" si="7"/>
        <v>8.2299999999999998E-2</v>
      </c>
      <c r="J23" s="186">
        <f t="shared" si="8"/>
        <v>0.91769999999999996</v>
      </c>
      <c r="M23" s="228">
        <v>0.97750000000000004</v>
      </c>
      <c r="N23" s="194">
        <v>2025</v>
      </c>
      <c r="O23" s="258">
        <f t="shared" si="10"/>
        <v>18303.892234293809</v>
      </c>
      <c r="P23" s="258">
        <v>2380.4156164383562</v>
      </c>
      <c r="Q23" s="258">
        <v>92.356164383561648</v>
      </c>
      <c r="R23" s="258">
        <f t="shared" si="11"/>
        <v>15923.476617855455</v>
      </c>
      <c r="S23" s="259">
        <f t="shared" si="12"/>
        <v>0.13004969576790104</v>
      </c>
      <c r="T23" s="261">
        <f t="shared" si="9"/>
        <v>2.3018796150918481</v>
      </c>
      <c r="U23" s="259">
        <f t="shared" si="13"/>
        <v>8.2299999999999998E-2</v>
      </c>
      <c r="V23" s="194">
        <v>8000</v>
      </c>
      <c r="W23" s="213">
        <v>5000</v>
      </c>
      <c r="AC23" s="232">
        <f t="shared" si="1"/>
        <v>-600</v>
      </c>
      <c r="AD23" s="233">
        <f t="shared" si="2"/>
        <v>1220000</v>
      </c>
      <c r="AE23" s="234">
        <f t="shared" si="3"/>
        <v>5000</v>
      </c>
      <c r="AF23" s="224">
        <f t="shared" si="4"/>
        <v>11.862500000000001</v>
      </c>
      <c r="AG23" s="225">
        <f t="shared" si="5"/>
        <v>11.862500000000001</v>
      </c>
      <c r="AH23" s="186">
        <f t="shared" si="6"/>
        <v>-0.32980225988700557</v>
      </c>
    </row>
    <row r="24" spans="3:34" x14ac:dyDescent="0.25">
      <c r="C24" t="s">
        <v>502</v>
      </c>
      <c r="E24" s="194">
        <v>8.8000000000000007</v>
      </c>
      <c r="F24" s="194">
        <v>2.82</v>
      </c>
      <c r="G24">
        <f>+E24*94.66%</f>
        <v>8.3300800000000006</v>
      </c>
      <c r="H24">
        <f t="shared" si="0"/>
        <v>0.46992000000000012</v>
      </c>
      <c r="I24" s="186">
        <f t="shared" si="7"/>
        <v>0.9466</v>
      </c>
      <c r="J24" s="186">
        <f t="shared" si="8"/>
        <v>5.340000000000001E-2</v>
      </c>
      <c r="M24" s="228">
        <v>0.7712</v>
      </c>
      <c r="N24" s="194">
        <v>2039</v>
      </c>
      <c r="O24" s="258">
        <f t="shared" si="10"/>
        <v>3090.1880736891835</v>
      </c>
      <c r="P24" s="258">
        <v>2982.4176438356171</v>
      </c>
      <c r="Q24" s="258">
        <v>0.62506849315068491</v>
      </c>
      <c r="R24" s="258">
        <f t="shared" si="11"/>
        <v>107.77042985356636</v>
      </c>
      <c r="S24" s="259">
        <f t="shared" si="12"/>
        <v>0.96512496091381716</v>
      </c>
      <c r="T24" s="261">
        <f t="shared" si="9"/>
        <v>8.4930996560415917</v>
      </c>
      <c r="U24" s="259">
        <f t="shared" si="13"/>
        <v>0.9466</v>
      </c>
      <c r="V24" s="194">
        <v>3000</v>
      </c>
      <c r="W24" s="213">
        <v>2000</v>
      </c>
      <c r="X24" s="194">
        <v>1100</v>
      </c>
      <c r="Y24" s="194">
        <v>800</v>
      </c>
      <c r="AC24" s="232">
        <f t="shared" si="1"/>
        <v>-150</v>
      </c>
      <c r="AD24" s="233">
        <f t="shared" si="2"/>
        <v>305850</v>
      </c>
      <c r="AE24" s="234">
        <f t="shared" si="3"/>
        <v>0</v>
      </c>
      <c r="AF24" s="224">
        <f t="shared" si="4"/>
        <v>10.4025</v>
      </c>
      <c r="AG24" s="225">
        <f t="shared" si="5"/>
        <v>9.8823749999999997</v>
      </c>
      <c r="AH24" s="186">
        <f t="shared" si="6"/>
        <v>0.12299715909090897</v>
      </c>
    </row>
    <row r="25" spans="3:34" x14ac:dyDescent="0.25">
      <c r="C25" t="s">
        <v>503</v>
      </c>
      <c r="E25" s="194">
        <v>1.1399999999999999</v>
      </c>
      <c r="F25" s="194">
        <v>0.47</v>
      </c>
      <c r="G25">
        <f>+E25*93.12%</f>
        <v>1.0615679999999998</v>
      </c>
      <c r="H25">
        <f t="shared" si="0"/>
        <v>7.8432000000000057E-2</v>
      </c>
      <c r="I25" s="186">
        <f t="shared" si="7"/>
        <v>0.93119999999999992</v>
      </c>
      <c r="J25" s="186">
        <f t="shared" si="8"/>
        <v>6.8800000000000056E-2</v>
      </c>
      <c r="M25" s="228">
        <v>0.73509999999999998</v>
      </c>
      <c r="N25" s="194">
        <v>2033</v>
      </c>
      <c r="O25" s="258">
        <f t="shared" si="10"/>
        <v>1290.1837175247995</v>
      </c>
      <c r="P25" s="258">
        <v>1266.3858904109591</v>
      </c>
      <c r="Q25" s="258">
        <v>0.13802739726027391</v>
      </c>
      <c r="R25" s="258">
        <f t="shared" si="11"/>
        <v>23.797827113840331</v>
      </c>
      <c r="S25" s="259">
        <f t="shared" si="12"/>
        <v>0.98155469892342451</v>
      </c>
      <c r="T25" s="261">
        <f t="shared" si="9"/>
        <v>1.1189723567727039</v>
      </c>
      <c r="U25" s="259">
        <f t="shared" si="13"/>
        <v>0.93119999999999992</v>
      </c>
      <c r="V25" s="205">
        <v>1000</v>
      </c>
      <c r="W25" s="213">
        <v>300</v>
      </c>
      <c r="X25" s="194">
        <v>100</v>
      </c>
      <c r="AC25" s="232">
        <f t="shared" si="1"/>
        <v>-90</v>
      </c>
      <c r="AD25" s="233">
        <f t="shared" si="2"/>
        <v>182716.66666666666</v>
      </c>
      <c r="AE25" s="234">
        <f t="shared" si="3"/>
        <v>-253.33333333334303</v>
      </c>
      <c r="AF25" s="224">
        <f t="shared" si="4"/>
        <v>1.7714666666666437</v>
      </c>
      <c r="AG25" s="225">
        <f t="shared" si="5"/>
        <v>1.5737583333405851</v>
      </c>
      <c r="AH25" s="186">
        <f t="shared" si="6"/>
        <v>0.38048976608823271</v>
      </c>
    </row>
    <row r="26" spans="3:34" x14ac:dyDescent="0.25">
      <c r="C26" t="s">
        <v>504</v>
      </c>
      <c r="E26" s="194">
        <v>1.31</v>
      </c>
      <c r="F26" s="194">
        <v>0.37</v>
      </c>
      <c r="G26">
        <f>+E26*95.34%</f>
        <v>1.2489540000000001</v>
      </c>
      <c r="H26">
        <f t="shared" si="0"/>
        <v>6.1045999999999934E-2</v>
      </c>
      <c r="I26" s="186">
        <f t="shared" si="7"/>
        <v>0.95340000000000003</v>
      </c>
      <c r="J26" s="186">
        <f t="shared" si="8"/>
        <v>4.6599999999999947E-2</v>
      </c>
      <c r="M26" s="228">
        <v>0.34710000000000002</v>
      </c>
      <c r="N26" s="194">
        <v>2053</v>
      </c>
      <c r="O26" s="258">
        <f t="shared" si="10"/>
        <v>483.05330278696272</v>
      </c>
      <c r="P26" s="258">
        <v>435.87805479452061</v>
      </c>
      <c r="Q26" s="258">
        <v>0.27361643835616434</v>
      </c>
      <c r="R26" s="258">
        <f t="shared" si="11"/>
        <v>47.175247992442124</v>
      </c>
      <c r="S26" s="259">
        <f t="shared" si="12"/>
        <v>0.90233945670122573</v>
      </c>
      <c r="T26" s="261">
        <f t="shared" si="9"/>
        <v>1.1820646882786057</v>
      </c>
      <c r="U26" s="259">
        <f t="shared" si="13"/>
        <v>0.95340000000000003</v>
      </c>
      <c r="V26" s="205">
        <v>480</v>
      </c>
      <c r="W26" s="205">
        <v>280</v>
      </c>
      <c r="X26" s="194">
        <v>125</v>
      </c>
      <c r="Y26">
        <v>90</v>
      </c>
      <c r="Z26">
        <v>50</v>
      </c>
      <c r="AA26">
        <v>30</v>
      </c>
      <c r="AB26">
        <v>25</v>
      </c>
      <c r="AC26" s="232">
        <f t="shared" si="1"/>
        <v>-13.857142857142858</v>
      </c>
      <c r="AD26" s="233">
        <f t="shared" si="2"/>
        <v>28353.571428571428</v>
      </c>
      <c r="AE26" s="234">
        <f t="shared" si="3"/>
        <v>-95.142857142858702</v>
      </c>
      <c r="AF26" s="224">
        <f t="shared" si="4"/>
        <v>2.3178021428571336</v>
      </c>
      <c r="AG26" s="225">
        <f t="shared" si="5"/>
        <v>1.6080075</v>
      </c>
      <c r="AH26" s="186">
        <f t="shared" si="6"/>
        <v>0.22748664122137402</v>
      </c>
    </row>
    <row r="27" spans="3:34" x14ac:dyDescent="0.25">
      <c r="C27" t="s">
        <v>505</v>
      </c>
      <c r="E27" s="194">
        <v>4.72</v>
      </c>
      <c r="F27" s="194">
        <v>7.45</v>
      </c>
      <c r="G27">
        <f>+E27*73.7%</f>
        <v>3.47864</v>
      </c>
      <c r="H27">
        <f t="shared" si="0"/>
        <v>1.2413599999999998</v>
      </c>
      <c r="I27" s="186">
        <f t="shared" si="7"/>
        <v>0.73699999999999999</v>
      </c>
      <c r="J27" s="186">
        <f t="shared" si="8"/>
        <v>0.26299999999999996</v>
      </c>
      <c r="M27" s="228">
        <v>0.91449999999999998</v>
      </c>
      <c r="N27" s="194">
        <v>2030</v>
      </c>
      <c r="O27" s="258">
        <f t="shared" si="10"/>
        <v>4583.6177808219181</v>
      </c>
      <c r="P27" s="258">
        <v>4583.6177808219181</v>
      </c>
      <c r="Q27" s="258">
        <v>0</v>
      </c>
      <c r="R27" s="258">
        <f t="shared" si="11"/>
        <v>0</v>
      </c>
      <c r="S27" s="259">
        <f t="shared" si="12"/>
        <v>1</v>
      </c>
      <c r="T27" s="261">
        <f t="shared" si="9"/>
        <v>4.72</v>
      </c>
      <c r="U27" s="259">
        <f t="shared" si="13"/>
        <v>0.73699999999999999</v>
      </c>
      <c r="V27" s="205">
        <v>3750</v>
      </c>
      <c r="W27" s="205">
        <v>1750</v>
      </c>
      <c r="X27" s="194">
        <v>750</v>
      </c>
      <c r="AC27" s="232">
        <f t="shared" si="1"/>
        <v>-300</v>
      </c>
      <c r="AD27" s="233">
        <f t="shared" si="2"/>
        <v>609583.33333333337</v>
      </c>
      <c r="AE27" s="234">
        <f t="shared" si="3"/>
        <v>583.33333333337214</v>
      </c>
      <c r="AF27" s="224">
        <f t="shared" si="4"/>
        <v>7.9083333333334034</v>
      </c>
      <c r="AG27" s="225">
        <f t="shared" si="5"/>
        <v>7.6041666666376591</v>
      </c>
      <c r="AH27" s="186">
        <f t="shared" si="6"/>
        <v>0.61105225988086009</v>
      </c>
    </row>
    <row r="28" spans="3:34" x14ac:dyDescent="0.25">
      <c r="C28" t="s">
        <v>506</v>
      </c>
      <c r="E28" s="194">
        <v>11.27</v>
      </c>
      <c r="F28" s="194">
        <v>0</v>
      </c>
      <c r="G28">
        <v>11.27</v>
      </c>
      <c r="H28">
        <f t="shared" si="0"/>
        <v>0</v>
      </c>
      <c r="I28" s="186">
        <f t="shared" si="7"/>
        <v>1</v>
      </c>
      <c r="J28" s="186">
        <f t="shared" si="8"/>
        <v>0</v>
      </c>
      <c r="M28" s="228">
        <v>0.4148</v>
      </c>
      <c r="N28" s="194">
        <v>2067</v>
      </c>
      <c r="O28" s="258">
        <f t="shared" si="10"/>
        <v>0</v>
      </c>
      <c r="P28" s="258"/>
      <c r="Q28" s="258"/>
      <c r="R28" s="258">
        <f t="shared" si="11"/>
        <v>0</v>
      </c>
      <c r="S28" s="259" t="e">
        <f t="shared" si="12"/>
        <v>#DIV/0!</v>
      </c>
      <c r="T28" s="261"/>
      <c r="U28" s="259">
        <f t="shared" si="13"/>
        <v>1</v>
      </c>
      <c r="V28" s="205">
        <v>2500</v>
      </c>
      <c r="W28" s="214">
        <v>1750</v>
      </c>
      <c r="X28" s="194">
        <v>1250</v>
      </c>
      <c r="Y28">
        <v>800</v>
      </c>
      <c r="Z28">
        <v>600</v>
      </c>
      <c r="AA28">
        <v>400</v>
      </c>
      <c r="AB28">
        <v>300</v>
      </c>
      <c r="AC28" s="232">
        <f t="shared" si="1"/>
        <v>-71.071428571428569</v>
      </c>
      <c r="AD28" s="233">
        <f t="shared" si="2"/>
        <v>145716.07142857142</v>
      </c>
      <c r="AE28" s="234">
        <f t="shared" si="3"/>
        <v>-1188.5714285714203</v>
      </c>
      <c r="AF28" s="224">
        <f t="shared" si="4"/>
        <v>11.248778571428643</v>
      </c>
      <c r="AG28" s="225">
        <f t="shared" si="5"/>
        <v>8.2619705357080697</v>
      </c>
      <c r="AH28" s="186">
        <f t="shared" si="6"/>
        <v>-0.2669058974527001</v>
      </c>
    </row>
    <row r="29" spans="3:34" x14ac:dyDescent="0.25">
      <c r="C29" t="s">
        <v>318</v>
      </c>
      <c r="E29" s="194">
        <v>3.84</v>
      </c>
      <c r="F29" s="194">
        <v>23.03</v>
      </c>
      <c r="H29">
        <f t="shared" si="0"/>
        <v>3.84</v>
      </c>
      <c r="I29" s="186">
        <f t="shared" si="7"/>
        <v>0</v>
      </c>
      <c r="J29" s="186">
        <f t="shared" si="8"/>
        <v>1</v>
      </c>
      <c r="M29" s="228">
        <v>0.84079999999999999</v>
      </c>
      <c r="N29" s="194">
        <v>2028</v>
      </c>
      <c r="O29" s="258">
        <f t="shared" si="10"/>
        <v>5516.7123287671238</v>
      </c>
      <c r="P29" s="258">
        <v>0</v>
      </c>
      <c r="Q29" s="258">
        <v>31.996931506849318</v>
      </c>
      <c r="R29" s="258">
        <f t="shared" si="11"/>
        <v>5516.7123287671238</v>
      </c>
      <c r="S29" s="259">
        <f t="shared" si="12"/>
        <v>0</v>
      </c>
      <c r="T29" s="261">
        <f t="shared" si="9"/>
        <v>0</v>
      </c>
      <c r="U29" s="259">
        <f t="shared" si="13"/>
        <v>0</v>
      </c>
      <c r="V29" s="205">
        <v>5300</v>
      </c>
      <c r="W29" s="205">
        <v>1250</v>
      </c>
      <c r="AC29" s="232">
        <f t="shared" si="1"/>
        <v>-810</v>
      </c>
      <c r="AD29" s="233">
        <f t="shared" si="2"/>
        <v>1641500</v>
      </c>
      <c r="AE29" s="234">
        <f t="shared" si="3"/>
        <v>-1180</v>
      </c>
      <c r="AF29" s="224">
        <f t="shared" si="4"/>
        <v>6.0152000000000001</v>
      </c>
      <c r="AG29" s="225">
        <f t="shared" si="5"/>
        <v>6.0152000000000001</v>
      </c>
      <c r="AH29" s="186">
        <f t="shared" si="6"/>
        <v>0.5664583333333334</v>
      </c>
    </row>
    <row r="30" spans="3:34" x14ac:dyDescent="0.25">
      <c r="C30" t="s">
        <v>508</v>
      </c>
      <c r="E30" s="194">
        <v>14.92</v>
      </c>
      <c r="F30">
        <v>0.24</v>
      </c>
      <c r="G30">
        <f>+E30*99.74%</f>
        <v>14.881207999999999</v>
      </c>
      <c r="H30">
        <f t="shared" si="0"/>
        <v>3.8792000000000826E-2</v>
      </c>
      <c r="I30" s="186">
        <f t="shared" si="7"/>
        <v>0.99739999999999995</v>
      </c>
      <c r="J30" s="186">
        <f t="shared" si="8"/>
        <v>2.6000000000000554E-3</v>
      </c>
      <c r="M30" s="228">
        <v>0.75690000000000002</v>
      </c>
      <c r="N30" s="194">
        <v>2043</v>
      </c>
      <c r="O30" s="258">
        <f t="shared" si="10"/>
        <v>12434.820158715165</v>
      </c>
      <c r="P30" s="258">
        <v>12274.754027397263</v>
      </c>
      <c r="Q30" s="258">
        <v>0.92838356164383562</v>
      </c>
      <c r="R30" s="258">
        <f t="shared" si="11"/>
        <v>160.06613131790269</v>
      </c>
      <c r="S30" s="259">
        <f t="shared" si="12"/>
        <v>0.98712758775158338</v>
      </c>
      <c r="T30" s="261">
        <f t="shared" si="9"/>
        <v>14.727943609253623</v>
      </c>
      <c r="U30" s="259">
        <f t="shared" si="13"/>
        <v>0.99739999999999995</v>
      </c>
      <c r="V30" s="205">
        <v>10000</v>
      </c>
      <c r="W30" s="205">
        <v>4000</v>
      </c>
      <c r="X30" s="194">
        <v>1000</v>
      </c>
      <c r="Y30">
        <v>500</v>
      </c>
      <c r="Z30">
        <v>400</v>
      </c>
      <c r="AC30" s="232">
        <f t="shared" si="1"/>
        <v>-454</v>
      </c>
      <c r="AD30" s="233">
        <f t="shared" si="2"/>
        <v>924800</v>
      </c>
      <c r="AE30" s="234">
        <f t="shared" si="3"/>
        <v>-2722</v>
      </c>
      <c r="AF30" s="224">
        <f t="shared" si="4"/>
        <v>30.549405</v>
      </c>
      <c r="AG30" s="225">
        <f t="shared" si="5"/>
        <v>20.979105000000001</v>
      </c>
      <c r="AH30" s="186">
        <f t="shared" si="6"/>
        <v>0.40610623324396788</v>
      </c>
    </row>
    <row r="31" spans="3:34" x14ac:dyDescent="0.25">
      <c r="C31" t="s">
        <v>80</v>
      </c>
      <c r="E31" s="194">
        <v>43.42</v>
      </c>
      <c r="F31" s="194">
        <v>16.96</v>
      </c>
      <c r="G31">
        <f>+E31*93.49%</f>
        <v>40.593358000000002</v>
      </c>
      <c r="H31">
        <f t="shared" si="0"/>
        <v>2.8266419999999997</v>
      </c>
      <c r="I31" s="186">
        <f t="shared" si="7"/>
        <v>0.93490000000000006</v>
      </c>
      <c r="J31" s="186">
        <f t="shared" si="8"/>
        <v>6.5099999999999991E-2</v>
      </c>
      <c r="M31" s="228">
        <v>0.76190000000000002</v>
      </c>
      <c r="N31" s="194">
        <v>2042</v>
      </c>
      <c r="O31" s="258">
        <f t="shared" si="10"/>
        <v>30543.691030703827</v>
      </c>
      <c r="P31" s="258">
        <v>30059.642849315071</v>
      </c>
      <c r="Q31" s="258">
        <v>2.8074794520547948</v>
      </c>
      <c r="R31" s="258">
        <f t="shared" si="11"/>
        <v>484.04818138875771</v>
      </c>
      <c r="S31" s="259">
        <f t="shared" si="12"/>
        <v>0.98415226958319579</v>
      </c>
      <c r="T31" s="261">
        <f t="shared" si="9"/>
        <v>42.731891545302361</v>
      </c>
      <c r="U31" s="259">
        <f t="shared" si="13"/>
        <v>0.93490000000000006</v>
      </c>
      <c r="V31" s="205">
        <v>25000</v>
      </c>
      <c r="W31" s="205">
        <v>12500</v>
      </c>
      <c r="X31" s="194">
        <v>4500</v>
      </c>
      <c r="Y31">
        <v>2500</v>
      </c>
      <c r="Z31">
        <v>1000</v>
      </c>
      <c r="AC31" s="232">
        <f t="shared" si="1"/>
        <v>-1160</v>
      </c>
      <c r="AD31" s="233">
        <f t="shared" si="2"/>
        <v>2363900</v>
      </c>
      <c r="AE31" s="234">
        <f t="shared" si="3"/>
        <v>-4820</v>
      </c>
      <c r="AF31" s="224">
        <f t="shared" si="4"/>
        <v>81.0227</v>
      </c>
      <c r="AG31" s="225">
        <f t="shared" si="5"/>
        <v>63.758200000000002</v>
      </c>
      <c r="AH31" s="186">
        <f t="shared" si="6"/>
        <v>0.46840626439428834</v>
      </c>
    </row>
    <row r="32" spans="3:34" x14ac:dyDescent="0.25">
      <c r="C32" t="s">
        <v>449</v>
      </c>
      <c r="E32" s="194">
        <v>7.3</v>
      </c>
      <c r="F32" s="194">
        <v>4.54</v>
      </c>
      <c r="G32">
        <f>+E32*89.64%</f>
        <v>6.5437199999999995</v>
      </c>
      <c r="H32">
        <f t="shared" si="0"/>
        <v>0.75628000000000029</v>
      </c>
      <c r="I32" s="186">
        <f t="shared" si="7"/>
        <v>0.89639999999999997</v>
      </c>
      <c r="J32" s="186">
        <f t="shared" si="8"/>
        <v>0.10360000000000004</v>
      </c>
      <c r="M32" s="228">
        <v>0.77580000000000005</v>
      </c>
      <c r="N32" s="194">
        <v>2044</v>
      </c>
      <c r="O32" s="258">
        <f t="shared" si="10"/>
        <v>1962.0646849315069</v>
      </c>
      <c r="P32" s="258">
        <v>1962.0646849315069</v>
      </c>
      <c r="Q32" s="258">
        <v>0</v>
      </c>
      <c r="R32" s="258">
        <f t="shared" si="11"/>
        <v>0</v>
      </c>
      <c r="S32" s="259">
        <f t="shared" si="12"/>
        <v>1</v>
      </c>
      <c r="T32" s="261">
        <f t="shared" si="9"/>
        <v>7.3</v>
      </c>
      <c r="U32" s="259">
        <f t="shared" si="13"/>
        <v>0.89639999999999997</v>
      </c>
      <c r="V32" s="205">
        <v>2000</v>
      </c>
      <c r="W32" s="205">
        <v>1250</v>
      </c>
      <c r="X32" s="194">
        <v>900</v>
      </c>
      <c r="Y32">
        <v>600</v>
      </c>
      <c r="Z32">
        <v>400</v>
      </c>
      <c r="AC32" s="232">
        <f t="shared" si="1"/>
        <v>-77</v>
      </c>
      <c r="AD32" s="233">
        <f t="shared" si="2"/>
        <v>157340</v>
      </c>
      <c r="AE32" s="234">
        <f t="shared" si="3"/>
        <v>-48</v>
      </c>
      <c r="AF32" s="224">
        <f t="shared" si="4"/>
        <v>8.5497599999999991</v>
      </c>
      <c r="AG32" s="225">
        <f t="shared" si="5"/>
        <v>7.6737599999999997</v>
      </c>
      <c r="AH32" s="186">
        <f t="shared" si="6"/>
        <v>5.1199999999999982E-2</v>
      </c>
    </row>
    <row r="33" spans="3:34" x14ac:dyDescent="0.25">
      <c r="C33" t="s">
        <v>509</v>
      </c>
      <c r="E33" s="194">
        <v>0.57999999999999996</v>
      </c>
      <c r="F33" s="194">
        <v>0</v>
      </c>
      <c r="G33">
        <f>+E33</f>
        <v>0.57999999999999996</v>
      </c>
      <c r="H33">
        <f t="shared" si="0"/>
        <v>0</v>
      </c>
      <c r="I33" s="186">
        <f t="shared" si="7"/>
        <v>1</v>
      </c>
      <c r="J33" s="186">
        <f t="shared" si="8"/>
        <v>0</v>
      </c>
      <c r="M33" s="228">
        <v>0.91830000000000001</v>
      </c>
      <c r="N33" s="194">
        <v>2031</v>
      </c>
      <c r="O33" s="258">
        <f t="shared" si="10"/>
        <v>60862.479471894199</v>
      </c>
      <c r="P33" s="258">
        <v>26403.53284931507</v>
      </c>
      <c r="Q33" s="258">
        <v>199.86189041095895</v>
      </c>
      <c r="R33" s="258">
        <f t="shared" si="11"/>
        <v>34458.946622579126</v>
      </c>
      <c r="S33" s="259">
        <f t="shared" si="12"/>
        <v>0.43382282612242257</v>
      </c>
      <c r="T33" s="261">
        <f t="shared" si="9"/>
        <v>0.25161723915100509</v>
      </c>
      <c r="U33" s="259">
        <f t="shared" si="13"/>
        <v>1</v>
      </c>
      <c r="V33" s="205">
        <v>500</v>
      </c>
      <c r="W33" s="205">
        <v>200</v>
      </c>
      <c r="X33" s="194">
        <v>80</v>
      </c>
      <c r="AC33" s="232">
        <f t="shared" si="1"/>
        <v>-42</v>
      </c>
      <c r="AD33" s="233">
        <f t="shared" si="2"/>
        <v>85310</v>
      </c>
      <c r="AE33" s="234">
        <f t="shared" si="3"/>
        <v>8</v>
      </c>
      <c r="AF33" s="224">
        <f t="shared" si="4"/>
        <v>1.0198100000000001</v>
      </c>
      <c r="AG33" s="225">
        <f t="shared" si="5"/>
        <v>0.95958500000000002</v>
      </c>
      <c r="AH33" s="186">
        <f t="shared" si="6"/>
        <v>0.65445689655172434</v>
      </c>
    </row>
    <row r="34" spans="3:34" x14ac:dyDescent="0.25">
      <c r="C34" t="s">
        <v>510</v>
      </c>
      <c r="E34" s="194">
        <v>130.22</v>
      </c>
      <c r="F34" s="194">
        <v>284</v>
      </c>
      <c r="G34">
        <f>+E34*63.65%</f>
        <v>82.88503</v>
      </c>
      <c r="H34">
        <f t="shared" si="0"/>
        <v>47.334969999999998</v>
      </c>
      <c r="I34" s="186">
        <f t="shared" si="7"/>
        <v>0.63649999999999995</v>
      </c>
      <c r="J34" s="186">
        <f t="shared" si="8"/>
        <v>0.36349999999999999</v>
      </c>
      <c r="M34" s="228">
        <v>0.63759999999999994</v>
      </c>
      <c r="N34" s="194">
        <v>2018</v>
      </c>
      <c r="O34" s="258">
        <f t="shared" si="10"/>
        <v>604.87506849315071</v>
      </c>
      <c r="P34" s="258">
        <v>604.87506849315071</v>
      </c>
      <c r="Q34" s="258">
        <v>0</v>
      </c>
      <c r="R34" s="258">
        <f t="shared" si="11"/>
        <v>0</v>
      </c>
      <c r="S34" s="259">
        <f t="shared" si="12"/>
        <v>1</v>
      </c>
      <c r="T34" s="261">
        <f t="shared" si="9"/>
        <v>130.22</v>
      </c>
      <c r="U34" s="259">
        <f t="shared" si="13"/>
        <v>0.63649999999999995</v>
      </c>
      <c r="V34" s="205">
        <v>55000</v>
      </c>
      <c r="W34" s="205">
        <v>31000</v>
      </c>
      <c r="X34" s="194">
        <v>15000</v>
      </c>
      <c r="Y34">
        <v>8000</v>
      </c>
      <c r="AC34" s="232">
        <f t="shared" si="1"/>
        <v>-3140</v>
      </c>
      <c r="AD34" s="233">
        <f t="shared" si="2"/>
        <v>6393600</v>
      </c>
      <c r="AE34" s="234">
        <f t="shared" si="3"/>
        <v>57080</v>
      </c>
      <c r="AF34" s="224">
        <f t="shared" si="4"/>
        <v>-40.909199999999998</v>
      </c>
      <c r="AG34" s="225">
        <f t="shared" si="5"/>
        <v>-39.376199999999997</v>
      </c>
      <c r="AH34" s="186">
        <f t="shared" si="6"/>
        <v>-1.3023821225618186</v>
      </c>
    </row>
    <row r="35" spans="3:34" x14ac:dyDescent="0.25">
      <c r="C35" t="s">
        <v>344</v>
      </c>
      <c r="E35" s="194">
        <v>24.09</v>
      </c>
      <c r="F35" s="194">
        <v>0</v>
      </c>
      <c r="G35">
        <f>+E35</f>
        <v>24.09</v>
      </c>
      <c r="H35">
        <f t="shared" si="0"/>
        <v>0</v>
      </c>
      <c r="I35" s="186">
        <f t="shared" si="7"/>
        <v>1</v>
      </c>
      <c r="J35" s="186">
        <f t="shared" si="8"/>
        <v>0</v>
      </c>
      <c r="M35" s="228">
        <v>0.73740000000000006</v>
      </c>
      <c r="N35" s="194">
        <v>2064</v>
      </c>
      <c r="O35" s="258">
        <f t="shared" si="10"/>
        <v>4233.3403013698626</v>
      </c>
      <c r="P35" s="258">
        <v>4233.3403013698626</v>
      </c>
      <c r="Q35" s="258">
        <v>0</v>
      </c>
      <c r="R35" s="258">
        <f t="shared" si="11"/>
        <v>0</v>
      </c>
      <c r="S35" s="259">
        <f t="shared" si="12"/>
        <v>1</v>
      </c>
      <c r="T35" s="261">
        <f t="shared" si="9"/>
        <v>24.09</v>
      </c>
      <c r="U35" s="259">
        <f t="shared" si="13"/>
        <v>1</v>
      </c>
      <c r="V35" s="205">
        <v>4000</v>
      </c>
      <c r="W35" s="205">
        <v>3500</v>
      </c>
      <c r="X35" s="194">
        <v>2500</v>
      </c>
      <c r="Y35">
        <v>2000</v>
      </c>
      <c r="Z35">
        <v>1500</v>
      </c>
      <c r="AA35">
        <v>1250</v>
      </c>
      <c r="AB35">
        <v>1000</v>
      </c>
      <c r="AC35" s="232">
        <f t="shared" si="1"/>
        <v>-103.57142857142857</v>
      </c>
      <c r="AD35" s="233">
        <f t="shared" si="2"/>
        <v>213017.85714285713</v>
      </c>
      <c r="AE35" s="234">
        <f t="shared" si="3"/>
        <v>-753.57142857144936</v>
      </c>
      <c r="AF35" s="224">
        <f t="shared" si="4"/>
        <v>26.068821428571262</v>
      </c>
      <c r="AG35" s="225">
        <f t="shared" si="5"/>
        <v>24.491499999999998</v>
      </c>
      <c r="AH35" s="186">
        <f t="shared" si="6"/>
        <v>1.6666666666666611E-2</v>
      </c>
    </row>
    <row r="36" spans="3:34" x14ac:dyDescent="0.25">
      <c r="C36" t="s">
        <v>511</v>
      </c>
      <c r="E36" s="194">
        <v>5.59</v>
      </c>
      <c r="F36" s="194">
        <v>0</v>
      </c>
      <c r="G36">
        <f>+E36</f>
        <v>5.59</v>
      </c>
      <c r="H36">
        <f t="shared" si="0"/>
        <v>0</v>
      </c>
      <c r="I36" s="186">
        <f t="shared" si="7"/>
        <v>1</v>
      </c>
      <c r="J36" s="186">
        <f t="shared" si="8"/>
        <v>0</v>
      </c>
      <c r="M36" s="228">
        <v>0.69210000000000005</v>
      </c>
      <c r="N36" s="194">
        <v>2047</v>
      </c>
      <c r="O36" s="258">
        <f t="shared" si="10"/>
        <v>1476.5236986301368</v>
      </c>
      <c r="P36" s="258">
        <v>1476.5236986301368</v>
      </c>
      <c r="Q36" s="258">
        <v>0</v>
      </c>
      <c r="R36" s="258">
        <f t="shared" si="11"/>
        <v>0</v>
      </c>
      <c r="S36" s="259">
        <f t="shared" si="12"/>
        <v>1</v>
      </c>
      <c r="T36" s="261">
        <f t="shared" si="9"/>
        <v>5.59</v>
      </c>
      <c r="U36" s="259">
        <f t="shared" si="13"/>
        <v>1</v>
      </c>
      <c r="V36" s="205">
        <v>1400</v>
      </c>
      <c r="W36" s="205">
        <v>1250</v>
      </c>
      <c r="X36" s="194">
        <v>750</v>
      </c>
      <c r="Y36">
        <v>450</v>
      </c>
      <c r="Z36">
        <v>250</v>
      </c>
      <c r="AC36" s="232">
        <f t="shared" si="1"/>
        <v>-62</v>
      </c>
      <c r="AD36" s="233">
        <f t="shared" si="2"/>
        <v>126680</v>
      </c>
      <c r="AE36" s="234">
        <f t="shared" si="3"/>
        <v>-234</v>
      </c>
      <c r="AF36" s="224">
        <f t="shared" si="4"/>
        <v>5.7454650000000003</v>
      </c>
      <c r="AG36" s="225">
        <f t="shared" si="5"/>
        <v>5.9425650000000001</v>
      </c>
      <c r="AH36" s="186">
        <f t="shared" si="6"/>
        <v>6.307066189624333E-2</v>
      </c>
    </row>
    <row r="37" spans="3:34" x14ac:dyDescent="0.25">
      <c r="C37" t="s">
        <v>345</v>
      </c>
      <c r="E37" s="194">
        <v>16.52</v>
      </c>
      <c r="F37" s="194">
        <v>1.91</v>
      </c>
      <c r="G37">
        <f>+E37*98.07%</f>
        <v>16.201163999999999</v>
      </c>
      <c r="H37">
        <f t="shared" si="0"/>
        <v>0.31883600000000101</v>
      </c>
      <c r="I37" s="186">
        <f t="shared" si="7"/>
        <v>0.98069999999999991</v>
      </c>
      <c r="J37" s="186">
        <f t="shared" si="8"/>
        <v>1.930000000000006E-2</v>
      </c>
      <c r="M37" s="228">
        <v>0.73629999999999995</v>
      </c>
      <c r="N37" s="194">
        <v>2060</v>
      </c>
      <c r="O37" s="258">
        <f t="shared" si="10"/>
        <v>4154.1152328767121</v>
      </c>
      <c r="P37" s="258">
        <v>4154.1152328767121</v>
      </c>
      <c r="Q37" s="258">
        <v>0</v>
      </c>
      <c r="R37" s="258">
        <f t="shared" si="11"/>
        <v>0</v>
      </c>
      <c r="S37" s="259">
        <f t="shared" si="12"/>
        <v>1</v>
      </c>
      <c r="T37" s="261">
        <f t="shared" si="9"/>
        <v>16.52</v>
      </c>
      <c r="U37" s="259">
        <f t="shared" si="13"/>
        <v>0.98069999999999991</v>
      </c>
      <c r="V37" s="205">
        <v>4000</v>
      </c>
      <c r="W37" s="205">
        <v>3000</v>
      </c>
      <c r="X37" s="194">
        <v>1800</v>
      </c>
      <c r="Y37">
        <v>1250</v>
      </c>
      <c r="Z37">
        <v>1000</v>
      </c>
      <c r="AA37">
        <v>750</v>
      </c>
      <c r="AC37" s="232">
        <f t="shared" si="1"/>
        <v>-130.28571428571428</v>
      </c>
      <c r="AD37" s="233">
        <f t="shared" si="2"/>
        <v>266772.38095238095</v>
      </c>
      <c r="AE37" s="234">
        <f t="shared" si="3"/>
        <v>-1616.1904761904734</v>
      </c>
      <c r="AF37" s="224">
        <f t="shared" si="4"/>
        <v>17.401809523809543</v>
      </c>
      <c r="AG37" s="225">
        <f t="shared" si="5"/>
        <v>14.447047619026899</v>
      </c>
      <c r="AH37" s="186">
        <f t="shared" si="6"/>
        <v>-0.12548137899352912</v>
      </c>
    </row>
    <row r="38" spans="3:34" x14ac:dyDescent="0.25">
      <c r="C38" t="s">
        <v>512</v>
      </c>
      <c r="E38" s="194">
        <v>90.73</v>
      </c>
      <c r="F38" s="194">
        <v>10.09</v>
      </c>
      <c r="G38">
        <f>+E38*98.15%</f>
        <v>89.051495000000003</v>
      </c>
      <c r="H38">
        <f t="shared" si="0"/>
        <v>1.6785050000000012</v>
      </c>
      <c r="I38" s="186">
        <f t="shared" si="7"/>
        <v>0.98150000000000004</v>
      </c>
      <c r="J38" s="186">
        <f t="shared" si="8"/>
        <v>1.8500000000000013E-2</v>
      </c>
      <c r="M38" s="228">
        <v>0.50829999999999997</v>
      </c>
      <c r="N38" s="194">
        <v>2061</v>
      </c>
      <c r="O38" s="258">
        <f t="shared" si="10"/>
        <v>18271.22222390175</v>
      </c>
      <c r="P38" s="258">
        <v>17849.99879452055</v>
      </c>
      <c r="Q38" s="258">
        <v>2.4430958904109596</v>
      </c>
      <c r="R38" s="258">
        <f t="shared" si="11"/>
        <v>421.22342938119994</v>
      </c>
      <c r="S38" s="259">
        <f t="shared" si="12"/>
        <v>0.97694607266994049</v>
      </c>
      <c r="T38" s="261">
        <f t="shared" si="9"/>
        <v>88.638317173343708</v>
      </c>
      <c r="U38" s="259">
        <f t="shared" si="13"/>
        <v>0.98150000000000004</v>
      </c>
      <c r="V38" s="205">
        <v>19000</v>
      </c>
      <c r="W38" s="205">
        <v>16000</v>
      </c>
      <c r="X38" s="194">
        <v>10000</v>
      </c>
      <c r="Y38">
        <v>7000</v>
      </c>
      <c r="Z38">
        <v>4500</v>
      </c>
      <c r="AA38">
        <v>3000</v>
      </c>
      <c r="AB38">
        <v>2000</v>
      </c>
    </row>
    <row r="39" spans="3:34" x14ac:dyDescent="0.25">
      <c r="H39">
        <f t="shared" si="0"/>
        <v>0</v>
      </c>
      <c r="I39" s="186"/>
      <c r="J39" s="186"/>
    </row>
    <row r="40" spans="3:34" x14ac:dyDescent="0.25">
      <c r="C40" t="s">
        <v>519</v>
      </c>
      <c r="E40" s="194" t="s">
        <v>527</v>
      </c>
      <c r="F40" s="194">
        <v>23.75</v>
      </c>
      <c r="G40" t="e">
        <f>+E40*0.74%</f>
        <v>#VALUE!</v>
      </c>
      <c r="H40" t="e">
        <f t="shared" si="0"/>
        <v>#VALUE!</v>
      </c>
      <c r="I40" s="186" t="e">
        <f t="shared" si="7"/>
        <v>#VALUE!</v>
      </c>
      <c r="J40" s="186" t="e">
        <f t="shared" si="8"/>
        <v>#VALUE!</v>
      </c>
      <c r="M40" s="228">
        <v>0.30909999999999999</v>
      </c>
      <c r="N40" s="194">
        <v>2049</v>
      </c>
      <c r="O40" s="194"/>
      <c r="P40" s="194"/>
      <c r="Q40" s="194"/>
      <c r="R40" s="194"/>
      <c r="S40" s="194"/>
      <c r="T40" s="194"/>
      <c r="U40" s="194"/>
    </row>
    <row r="41" spans="3:34" x14ac:dyDescent="0.25">
      <c r="C41" t="s">
        <v>520</v>
      </c>
      <c r="E41" s="194">
        <v>6.24</v>
      </c>
      <c r="F41" s="194">
        <v>11.14</v>
      </c>
      <c r="G41">
        <f>+E41*70.26%</f>
        <v>4.3842240000000006</v>
      </c>
      <c r="H41">
        <f t="shared" si="0"/>
        <v>1.8557759999999996</v>
      </c>
      <c r="I41" s="186">
        <f t="shared" si="7"/>
        <v>0.70260000000000011</v>
      </c>
      <c r="J41" s="186">
        <f t="shared" si="8"/>
        <v>0.29739999999999994</v>
      </c>
      <c r="M41" s="228">
        <v>0.77259999999999995</v>
      </c>
      <c r="N41" s="194">
        <v>2041</v>
      </c>
      <c r="O41" s="194"/>
      <c r="P41" s="194"/>
      <c r="Q41" s="194"/>
      <c r="R41" s="194"/>
      <c r="S41" s="194"/>
      <c r="T41" s="194"/>
      <c r="U41" s="194"/>
      <c r="V41" s="205">
        <v>3700</v>
      </c>
    </row>
    <row r="42" spans="3:34" x14ac:dyDescent="0.25">
      <c r="C42" t="s">
        <v>521</v>
      </c>
      <c r="E42" s="194">
        <v>18.809999999999999</v>
      </c>
      <c r="F42" s="194">
        <v>112.29</v>
      </c>
      <c r="G42">
        <f>+E42*0.49%</f>
        <v>9.2168999999999987E-2</v>
      </c>
      <c r="H42">
        <f t="shared" si="0"/>
        <v>18.717831</v>
      </c>
      <c r="I42" s="186">
        <f t="shared" si="7"/>
        <v>4.8999999999999998E-3</v>
      </c>
      <c r="J42" s="186">
        <f t="shared" si="8"/>
        <v>0.9951000000000001</v>
      </c>
      <c r="M42" s="228">
        <v>0.29599999999999999</v>
      </c>
      <c r="N42" s="194">
        <v>2042</v>
      </c>
      <c r="O42" s="194"/>
      <c r="P42" s="194"/>
      <c r="Q42" s="194"/>
      <c r="R42" s="194"/>
      <c r="S42" s="194"/>
      <c r="T42" s="194"/>
      <c r="U42" s="194"/>
      <c r="V42" s="205">
        <v>4500</v>
      </c>
    </row>
    <row r="43" spans="3:34" x14ac:dyDescent="0.25">
      <c r="C43" t="s">
        <v>522</v>
      </c>
      <c r="E43" s="194">
        <v>9.35</v>
      </c>
      <c r="F43" s="194">
        <v>4.1900000000000004</v>
      </c>
      <c r="G43">
        <f>+E43*92.53%</f>
        <v>8.6515550000000001</v>
      </c>
      <c r="H43">
        <f t="shared" si="0"/>
        <v>0.69844499999999954</v>
      </c>
      <c r="I43" s="186">
        <f t="shared" si="7"/>
        <v>0.92530000000000001</v>
      </c>
      <c r="J43" s="186">
        <f t="shared" si="8"/>
        <v>7.4699999999999947E-2</v>
      </c>
      <c r="M43" s="228">
        <v>0.51980000000000004</v>
      </c>
      <c r="N43" s="194">
        <v>2068</v>
      </c>
      <c r="O43" s="194"/>
      <c r="P43" s="194"/>
      <c r="Q43" s="194"/>
      <c r="R43" s="194"/>
      <c r="S43" s="194"/>
      <c r="T43" s="194"/>
      <c r="U43" s="194"/>
      <c r="V43" s="194">
        <v>1800</v>
      </c>
    </row>
    <row r="45" spans="3:34" x14ac:dyDescent="0.25">
      <c r="V45">
        <f>+SUM(V6:V43)</f>
        <v>529280</v>
      </c>
      <c r="W45" t="s">
        <v>528</v>
      </c>
    </row>
    <row r="46" spans="3:34" x14ac:dyDescent="0.25">
      <c r="V46">
        <f>+V45*365</f>
        <v>193187200</v>
      </c>
      <c r="W46" t="s">
        <v>528</v>
      </c>
    </row>
    <row r="47" spans="3:34" x14ac:dyDescent="0.25">
      <c r="C47" t="s">
        <v>513</v>
      </c>
      <c r="E47" s="212">
        <f>+SUM(E5:E38)+E42</f>
        <v>1984.8899999999996</v>
      </c>
      <c r="F47" t="s">
        <v>488</v>
      </c>
      <c r="V47" s="229">
        <f>+V46/1000000</f>
        <v>193.18719999999999</v>
      </c>
      <c r="W47" t="s">
        <v>529</v>
      </c>
    </row>
    <row r="48" spans="3:34" x14ac:dyDescent="0.25">
      <c r="C48" t="s">
        <v>514</v>
      </c>
      <c r="E48">
        <f>+SUM(G5:G38)+G42</f>
        <v>1725.2950059999996</v>
      </c>
      <c r="F48" t="s">
        <v>488</v>
      </c>
      <c r="G48" s="186">
        <f>+E48/E47</f>
        <v>0.86921441792744181</v>
      </c>
      <c r="H48" s="186"/>
      <c r="I48" s="186"/>
      <c r="J48" s="186"/>
      <c r="K48" s="186"/>
      <c r="L48" s="186"/>
      <c r="M48" s="212"/>
      <c r="V48" s="219" t="s">
        <v>530</v>
      </c>
      <c r="W48" s="219" t="s">
        <v>531</v>
      </c>
    </row>
    <row r="49" spans="3:23" x14ac:dyDescent="0.25">
      <c r="C49" t="s">
        <v>517</v>
      </c>
      <c r="E49" s="212">
        <f>+E47-E48</f>
        <v>259.59499400000004</v>
      </c>
      <c r="F49" t="s">
        <v>488</v>
      </c>
      <c r="G49" s="186">
        <f>+E49/E47</f>
        <v>0.13078558207255822</v>
      </c>
      <c r="H49" s="186"/>
      <c r="I49" s="186"/>
      <c r="J49" s="186"/>
      <c r="K49" s="186"/>
      <c r="L49" s="186"/>
      <c r="V49" s="252">
        <f>+V47*V54</f>
        <v>25.114335999999998</v>
      </c>
      <c r="W49" s="253">
        <f>+V47*(100%-V54)</f>
        <v>168.07286399999998</v>
      </c>
    </row>
    <row r="50" spans="3:23" x14ac:dyDescent="0.25">
      <c r="C50" t="s">
        <v>515</v>
      </c>
      <c r="E50" s="212">
        <f>+SUM(F5:F38)</f>
        <v>1635.0453439999999</v>
      </c>
      <c r="F50" t="s">
        <v>516</v>
      </c>
      <c r="V50" s="262">
        <f>+E49/V49</f>
        <v>10.33652627726252</v>
      </c>
    </row>
    <row r="51" spans="3:23" x14ac:dyDescent="0.25">
      <c r="E51" s="212">
        <f>+E50*(1000000000)</f>
        <v>1635045344000</v>
      </c>
      <c r="F51" t="s">
        <v>526</v>
      </c>
    </row>
    <row r="52" spans="3:23" x14ac:dyDescent="0.25">
      <c r="E52" s="212">
        <f>+(E51/G1)/1000000</f>
        <v>272.62588454016498</v>
      </c>
      <c r="N52" t="s">
        <v>518</v>
      </c>
      <c r="V52" t="s">
        <v>532</v>
      </c>
    </row>
    <row r="53" spans="3:23" x14ac:dyDescent="0.25">
      <c r="N53">
        <v>71</v>
      </c>
      <c r="V53" s="251">
        <v>0.87</v>
      </c>
    </row>
    <row r="54" spans="3:23" x14ac:dyDescent="0.25">
      <c r="E54">
        <f>+E50*1000</f>
        <v>1635045.3439999998</v>
      </c>
      <c r="F54" t="s">
        <v>523</v>
      </c>
      <c r="N54">
        <v>29</v>
      </c>
      <c r="V54" s="251">
        <v>0.13</v>
      </c>
    </row>
    <row r="55" spans="3:23" x14ac:dyDescent="0.25">
      <c r="E55">
        <f>+E54/11</f>
        <v>148640.4858181818</v>
      </c>
      <c r="F55" t="s">
        <v>523</v>
      </c>
      <c r="Q55" t="s">
        <v>540</v>
      </c>
      <c r="R55" s="212">
        <f>+E47</f>
        <v>1984.8899999999996</v>
      </c>
      <c r="S55" t="s">
        <v>488</v>
      </c>
    </row>
    <row r="56" spans="3:23" x14ac:dyDescent="0.25">
      <c r="E56">
        <f>+E55/365</f>
        <v>407.234207721046</v>
      </c>
      <c r="F56" t="s">
        <v>523</v>
      </c>
      <c r="Q56" t="s">
        <v>541</v>
      </c>
      <c r="R56" s="261">
        <f>+SUM(T6:T38)</f>
        <v>1737.7836457184026</v>
      </c>
    </row>
    <row r="58" spans="3:23" x14ac:dyDescent="0.25">
      <c r="E58">
        <v>1000</v>
      </c>
      <c r="F58" t="s">
        <v>523</v>
      </c>
    </row>
    <row r="59" spans="3:23" x14ac:dyDescent="0.25">
      <c r="E59">
        <f>+E58*365</f>
        <v>365000</v>
      </c>
    </row>
    <row r="60" spans="3:23" x14ac:dyDescent="0.25">
      <c r="E60" s="229">
        <f>+E54/E59</f>
        <v>4.4795762849315066</v>
      </c>
      <c r="F60" t="s">
        <v>524</v>
      </c>
    </row>
    <row r="61" spans="3:23" x14ac:dyDescent="0.25">
      <c r="E61" s="223"/>
    </row>
  </sheetData>
  <mergeCells count="1">
    <mergeCell ref="AF3:AG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25AB-0F37-47F2-B729-BE4992C6F666}">
  <dimension ref="C1:Y61"/>
  <sheetViews>
    <sheetView showGridLines="0" topLeftCell="B34" zoomScale="115" zoomScaleNormal="115" workbookViewId="0">
      <selection activeCell="J52" sqref="J52"/>
    </sheetView>
  </sheetViews>
  <sheetFormatPr baseColWidth="10" defaultRowHeight="15" x14ac:dyDescent="0.25"/>
  <cols>
    <col min="3" max="4" width="17.5703125" customWidth="1"/>
    <col min="5" max="5" width="21.42578125" customWidth="1"/>
    <col min="6" max="6" width="13.42578125" bestFit="1" customWidth="1"/>
    <col min="14" max="14" width="14.140625" customWidth="1"/>
    <col min="21" max="21" width="14.140625" customWidth="1"/>
    <col min="22" max="22" width="21.28515625" customWidth="1"/>
    <col min="23" max="23" width="18.85546875" customWidth="1"/>
    <col min="24" max="24" width="20.28515625" customWidth="1"/>
  </cols>
  <sheetData>
    <row r="1" spans="3:25" x14ac:dyDescent="0.25">
      <c r="F1" t="s">
        <v>507</v>
      </c>
      <c r="G1" s="229">
        <f>+F29*1000/E29</f>
        <v>5997.3958333333339</v>
      </c>
      <c r="H1" s="229" t="s">
        <v>525</v>
      </c>
      <c r="I1" s="229"/>
      <c r="J1" s="229"/>
      <c r="N1">
        <v>1</v>
      </c>
      <c r="O1" t="s">
        <v>484</v>
      </c>
      <c r="P1">
        <v>5800</v>
      </c>
      <c r="Q1" t="s">
        <v>485</v>
      </c>
    </row>
    <row r="3" spans="3:25" x14ac:dyDescent="0.25">
      <c r="M3" s="207" t="s">
        <v>479</v>
      </c>
      <c r="N3" s="208"/>
      <c r="O3" s="208"/>
      <c r="P3" s="208"/>
      <c r="Q3" s="208"/>
      <c r="R3" s="208"/>
      <c r="S3" s="209"/>
      <c r="W3" s="250" t="s">
        <v>488</v>
      </c>
      <c r="X3" s="250"/>
    </row>
    <row r="4" spans="3:25" x14ac:dyDescent="0.25">
      <c r="E4" s="216" t="s">
        <v>475</v>
      </c>
      <c r="F4" s="217" t="s">
        <v>478</v>
      </c>
      <c r="G4" s="218" t="s">
        <v>477</v>
      </c>
      <c r="H4" s="218" t="s">
        <v>476</v>
      </c>
      <c r="I4" s="218"/>
      <c r="J4" s="218"/>
      <c r="K4" s="219" t="s">
        <v>480</v>
      </c>
      <c r="L4" s="216" t="s">
        <v>481</v>
      </c>
      <c r="M4" s="216">
        <v>2020</v>
      </c>
      <c r="N4" s="217">
        <v>2025</v>
      </c>
      <c r="O4" s="217">
        <v>2030</v>
      </c>
      <c r="P4" s="217">
        <v>2035</v>
      </c>
      <c r="Q4" s="217">
        <v>2040</v>
      </c>
      <c r="R4" s="217">
        <v>2045</v>
      </c>
      <c r="S4" s="218">
        <v>2050</v>
      </c>
      <c r="T4" s="220" t="s">
        <v>483</v>
      </c>
      <c r="U4" s="221" t="s">
        <v>482</v>
      </c>
      <c r="V4" s="222" t="s">
        <v>486</v>
      </c>
      <c r="W4" s="220" t="s">
        <v>487</v>
      </c>
      <c r="X4" s="221" t="s">
        <v>489</v>
      </c>
      <c r="Y4" s="183" t="s">
        <v>490</v>
      </c>
    </row>
    <row r="5" spans="3:25" x14ac:dyDescent="0.25">
      <c r="C5" t="s">
        <v>301</v>
      </c>
      <c r="E5" s="197">
        <v>28.68</v>
      </c>
      <c r="F5" s="198">
        <v>172.07</v>
      </c>
      <c r="G5" s="199">
        <v>0</v>
      </c>
      <c r="H5">
        <f t="shared" ref="H5:H43" si="0">+E5-G5</f>
        <v>28.68</v>
      </c>
      <c r="I5" s="186">
        <f>+G5/E5</f>
        <v>0</v>
      </c>
      <c r="J5" s="186">
        <f>+H5/E5</f>
        <v>1</v>
      </c>
      <c r="K5" s="200">
        <v>0.96079999999999999</v>
      </c>
      <c r="L5" s="201">
        <v>2027</v>
      </c>
      <c r="M5" s="202">
        <v>20000</v>
      </c>
      <c r="N5" s="203">
        <v>12500</v>
      </c>
      <c r="O5" s="206"/>
      <c r="P5" s="206"/>
      <c r="Q5" s="206"/>
      <c r="R5" s="206"/>
      <c r="S5" s="199"/>
      <c r="T5" s="210">
        <f t="shared" ref="T5:T20" si="1">+SLOPE(M5:S5,$M$4:$S$4)</f>
        <v>-1500</v>
      </c>
      <c r="U5" s="204">
        <f t="shared" ref="U5:U20" si="2">+INTERCEPT(M5:S5,$M$4:$S$4)</f>
        <v>3050000</v>
      </c>
      <c r="V5" s="211">
        <f t="shared" ref="V5:V20" si="3">+T5*L5+U5</f>
        <v>9500</v>
      </c>
      <c r="W5" s="224">
        <f t="shared" ref="W5:W20" si="4">+((L5-$M$4)*V5+((L5-$M$4)*(M5-V5))/2)*365/1000000</f>
        <v>37.686250000000001</v>
      </c>
      <c r="X5" s="225">
        <f t="shared" ref="X5:X20" si="5">+((T5*L5*L5/2)+(U5*L5)-(T5*$M$4*$M$4/2)-(U5*$M$4))*365/1000000</f>
        <v>37.686250000000001</v>
      </c>
      <c r="Y5" s="186">
        <f>+(X5-E5)/E5</f>
        <v>0.31402545327754539</v>
      </c>
    </row>
    <row r="6" spans="3:25" x14ac:dyDescent="0.25">
      <c r="C6" t="s">
        <v>342</v>
      </c>
      <c r="E6" s="194">
        <v>89.87</v>
      </c>
      <c r="F6" s="194">
        <v>0</v>
      </c>
      <c r="G6" s="194">
        <f>+E6</f>
        <v>89.87</v>
      </c>
      <c r="H6">
        <f t="shared" si="0"/>
        <v>0</v>
      </c>
      <c r="I6" s="186">
        <f t="shared" ref="I6:I43" si="6">+G6/E6</f>
        <v>1</v>
      </c>
      <c r="J6" s="186">
        <f t="shared" ref="J6:J43" si="7">+H6/E6</f>
        <v>0</v>
      </c>
      <c r="K6" s="196">
        <v>0.24629999999999999</v>
      </c>
      <c r="L6" s="194">
        <v>2048</v>
      </c>
      <c r="M6" s="194">
        <v>10000</v>
      </c>
      <c r="N6" s="194">
        <v>16000</v>
      </c>
      <c r="O6" s="194">
        <v>11000</v>
      </c>
      <c r="P6" s="194">
        <v>7500</v>
      </c>
      <c r="Q6" s="194">
        <v>5500</v>
      </c>
      <c r="R6" s="194">
        <v>4000</v>
      </c>
      <c r="S6" s="194"/>
      <c r="T6" s="210">
        <f t="shared" si="1"/>
        <v>-371.42857142857144</v>
      </c>
      <c r="U6" s="204">
        <f t="shared" si="2"/>
        <v>763928.57142857148</v>
      </c>
      <c r="V6" s="211">
        <f t="shared" si="3"/>
        <v>3242.8571428571595</v>
      </c>
      <c r="W6" s="226">
        <f t="shared" si="4"/>
        <v>67.671000000000092</v>
      </c>
      <c r="X6" s="227">
        <f t="shared" si="5"/>
        <v>86.286000000000001</v>
      </c>
      <c r="Y6" s="186">
        <f>+(X6-E6)/E6</f>
        <v>-3.9879826415934162E-2</v>
      </c>
    </row>
    <row r="7" spans="3:25" x14ac:dyDescent="0.25">
      <c r="C7" t="s">
        <v>491</v>
      </c>
      <c r="E7" s="194">
        <v>1.37</v>
      </c>
      <c r="F7" s="230">
        <f>+E7*1.12%</f>
        <v>1.5344000000000003E-2</v>
      </c>
      <c r="G7" s="195">
        <f>+E7*98.88%</f>
        <v>1.3546559999999999</v>
      </c>
      <c r="H7">
        <f t="shared" si="0"/>
        <v>1.5344000000000246E-2</v>
      </c>
      <c r="I7" s="186">
        <f t="shared" si="6"/>
        <v>0.98879999999999979</v>
      </c>
      <c r="J7" s="186">
        <f t="shared" si="7"/>
        <v>1.1200000000000179E-2</v>
      </c>
      <c r="K7" s="196">
        <v>0.62780000000000002</v>
      </c>
      <c r="L7" s="194">
        <v>2041</v>
      </c>
      <c r="M7" s="194">
        <v>400</v>
      </c>
      <c r="N7" s="194">
        <v>280</v>
      </c>
      <c r="O7" s="194">
        <v>200</v>
      </c>
      <c r="P7" s="194">
        <v>120</v>
      </c>
      <c r="Q7" s="194">
        <v>80</v>
      </c>
      <c r="R7" s="194"/>
      <c r="S7" s="194"/>
      <c r="T7" s="210">
        <f t="shared" si="1"/>
        <v>-16</v>
      </c>
      <c r="U7" s="204">
        <f t="shared" si="2"/>
        <v>32696</v>
      </c>
      <c r="V7" s="211">
        <f t="shared" si="3"/>
        <v>40</v>
      </c>
      <c r="W7" s="226">
        <f t="shared" si="4"/>
        <v>1.6862999999999999</v>
      </c>
      <c r="X7" s="227">
        <f t="shared" si="5"/>
        <v>1.59432</v>
      </c>
      <c r="Y7" s="186">
        <f>+(X7-E7)/E7</f>
        <v>0.16373722627737214</v>
      </c>
    </row>
    <row r="8" spans="3:25" x14ac:dyDescent="0.25">
      <c r="C8" t="s">
        <v>346</v>
      </c>
      <c r="E8" s="194">
        <v>2.5</v>
      </c>
      <c r="F8" s="194">
        <v>7.0000000000000007E-2</v>
      </c>
      <c r="G8" s="194">
        <f>+E8*99.53%</f>
        <v>2.4882499999999999</v>
      </c>
      <c r="H8">
        <f t="shared" si="0"/>
        <v>1.1750000000000149E-2</v>
      </c>
      <c r="I8" s="186">
        <f t="shared" si="6"/>
        <v>0.99529999999999996</v>
      </c>
      <c r="J8" s="186">
        <f t="shared" si="7"/>
        <v>4.70000000000006E-3</v>
      </c>
      <c r="K8" s="196">
        <v>0.93179999999999996</v>
      </c>
      <c r="L8" s="194">
        <v>2029</v>
      </c>
      <c r="M8" s="194">
        <v>2950</v>
      </c>
      <c r="N8" s="194">
        <v>750</v>
      </c>
      <c r="O8" s="194"/>
      <c r="P8" s="194"/>
      <c r="Q8" s="194"/>
      <c r="R8" s="194"/>
      <c r="S8" s="194"/>
      <c r="T8" s="210">
        <f t="shared" si="1"/>
        <v>-440</v>
      </c>
      <c r="U8" s="204">
        <f t="shared" si="2"/>
        <v>891750</v>
      </c>
      <c r="V8" s="211">
        <f t="shared" si="3"/>
        <v>-1010</v>
      </c>
      <c r="W8" s="226">
        <f t="shared" si="4"/>
        <v>3.1864499999999998</v>
      </c>
      <c r="X8" s="227">
        <f t="shared" si="5"/>
        <v>3.1864499999999998</v>
      </c>
      <c r="Y8" s="186">
        <f>+(X8-E8)/E8</f>
        <v>0.27457999999999994</v>
      </c>
    </row>
    <row r="9" spans="3:25" x14ac:dyDescent="0.25">
      <c r="C9" t="s">
        <v>311</v>
      </c>
      <c r="E9" s="194">
        <v>14.92</v>
      </c>
      <c r="F9" s="194">
        <v>89.54</v>
      </c>
      <c r="G9" s="194">
        <v>0</v>
      </c>
      <c r="H9">
        <f t="shared" si="0"/>
        <v>14.92</v>
      </c>
      <c r="I9" s="186">
        <f t="shared" si="6"/>
        <v>0</v>
      </c>
      <c r="J9" s="186">
        <f t="shared" si="7"/>
        <v>1</v>
      </c>
      <c r="K9" s="196">
        <v>0.69059999999999999</v>
      </c>
      <c r="L9" s="194">
        <v>2039</v>
      </c>
      <c r="M9" s="194">
        <v>2500</v>
      </c>
      <c r="N9" s="213">
        <v>3000</v>
      </c>
      <c r="O9" s="194">
        <v>2100</v>
      </c>
      <c r="P9" s="194">
        <v>1800</v>
      </c>
      <c r="Q9" s="194"/>
      <c r="R9" s="194"/>
      <c r="S9" s="194"/>
      <c r="T9" s="210">
        <f t="shared" si="1"/>
        <v>-60</v>
      </c>
      <c r="U9" s="204">
        <f t="shared" si="2"/>
        <v>124000</v>
      </c>
      <c r="V9" s="211">
        <f t="shared" si="3"/>
        <v>1660</v>
      </c>
      <c r="W9" s="226">
        <f t="shared" si="4"/>
        <v>14.424799999999999</v>
      </c>
      <c r="X9" s="227">
        <f t="shared" si="5"/>
        <v>15.46505</v>
      </c>
      <c r="Y9" s="186">
        <f>+(X9-E9)/E9</f>
        <v>3.653150134048256E-2</v>
      </c>
    </row>
    <row r="10" spans="3:25" x14ac:dyDescent="0.25">
      <c r="C10" t="s">
        <v>492</v>
      </c>
      <c r="E10" s="194">
        <v>153.29</v>
      </c>
      <c r="F10" s="194">
        <v>0</v>
      </c>
      <c r="G10" s="194">
        <v>153.29</v>
      </c>
      <c r="H10">
        <f t="shared" si="0"/>
        <v>0</v>
      </c>
      <c r="I10" s="186">
        <f t="shared" si="6"/>
        <v>1</v>
      </c>
      <c r="J10" s="186">
        <f t="shared" si="7"/>
        <v>0</v>
      </c>
      <c r="K10" s="196">
        <v>0.70950000000000002</v>
      </c>
      <c r="L10" s="194">
        <v>2036</v>
      </c>
      <c r="M10" s="194">
        <v>65000</v>
      </c>
      <c r="N10" s="213">
        <v>37500</v>
      </c>
      <c r="O10" s="194">
        <v>22500</v>
      </c>
      <c r="P10" s="194">
        <v>12500</v>
      </c>
      <c r="Q10" s="194"/>
      <c r="R10" s="194"/>
      <c r="S10" s="194"/>
      <c r="T10" s="232">
        <f t="shared" si="1"/>
        <v>-3450</v>
      </c>
      <c r="U10" s="233">
        <f t="shared" si="2"/>
        <v>7029250</v>
      </c>
      <c r="V10" s="234">
        <f t="shared" si="3"/>
        <v>5050</v>
      </c>
      <c r="W10" s="224">
        <f t="shared" si="4"/>
        <v>204.54599999999999</v>
      </c>
      <c r="X10" s="225">
        <f t="shared" si="5"/>
        <v>190.67599999999999</v>
      </c>
      <c r="Y10" s="186">
        <f>+(X10-E10)/E10</f>
        <v>0.24389066475308238</v>
      </c>
    </row>
    <row r="11" spans="3:25" x14ac:dyDescent="0.25">
      <c r="C11" t="s">
        <v>493</v>
      </c>
      <c r="E11" s="194">
        <v>0.88</v>
      </c>
      <c r="F11" s="194">
        <v>0</v>
      </c>
      <c r="G11" s="194">
        <v>0.88</v>
      </c>
      <c r="H11">
        <f t="shared" si="0"/>
        <v>0</v>
      </c>
      <c r="I11" s="186">
        <f t="shared" si="6"/>
        <v>1</v>
      </c>
      <c r="J11" s="186">
        <f t="shared" si="7"/>
        <v>0</v>
      </c>
      <c r="K11" s="196">
        <v>0.69830000000000003</v>
      </c>
      <c r="L11" s="194">
        <v>2042</v>
      </c>
      <c r="M11" s="194">
        <v>150</v>
      </c>
      <c r="N11" s="231">
        <v>180</v>
      </c>
      <c r="O11" s="194">
        <v>105</v>
      </c>
      <c r="P11" s="194">
        <v>90</v>
      </c>
      <c r="Q11" s="194">
        <v>60</v>
      </c>
      <c r="R11" s="194"/>
      <c r="S11" s="194"/>
      <c r="T11" s="232">
        <f t="shared" si="1"/>
        <v>-5.4</v>
      </c>
      <c r="U11" s="233">
        <f t="shared" si="2"/>
        <v>11079</v>
      </c>
      <c r="V11" s="234">
        <f t="shared" si="3"/>
        <v>52.199999999998909</v>
      </c>
      <c r="W11" s="224">
        <f t="shared" si="4"/>
        <v>0.81183299999999559</v>
      </c>
      <c r="X11" s="225">
        <f t="shared" si="5"/>
        <v>0.89614799999972805</v>
      </c>
      <c r="Y11" s="186">
        <f>+(X11-E11)/E11</f>
        <v>1.8349999999690961E-2</v>
      </c>
    </row>
    <row r="12" spans="3:25" x14ac:dyDescent="0.25">
      <c r="C12" t="s">
        <v>494</v>
      </c>
      <c r="E12" s="194">
        <v>543.79</v>
      </c>
      <c r="F12" s="194">
        <v>0</v>
      </c>
      <c r="G12" s="194">
        <f>+E12</f>
        <v>543.79</v>
      </c>
      <c r="H12">
        <f t="shared" si="0"/>
        <v>0</v>
      </c>
      <c r="I12" s="186">
        <f t="shared" si="6"/>
        <v>1</v>
      </c>
      <c r="J12" s="186">
        <f t="shared" si="7"/>
        <v>0</v>
      </c>
      <c r="K12" s="196">
        <v>0.31709999999999999</v>
      </c>
      <c r="L12" s="194">
        <v>2099</v>
      </c>
      <c r="M12" s="194">
        <v>40000</v>
      </c>
      <c r="N12" s="194"/>
      <c r="O12" s="194">
        <v>32500</v>
      </c>
      <c r="Q12" s="194">
        <v>27500</v>
      </c>
      <c r="R12" s="194"/>
      <c r="S12" s="194">
        <v>22500</v>
      </c>
      <c r="T12" s="232">
        <f t="shared" si="1"/>
        <v>-575</v>
      </c>
      <c r="U12" s="233">
        <f t="shared" si="2"/>
        <v>1200750</v>
      </c>
      <c r="V12" s="234">
        <f t="shared" si="3"/>
        <v>-6175</v>
      </c>
      <c r="W12" s="224">
        <f t="shared" si="4"/>
        <v>487.67193750000001</v>
      </c>
      <c r="X12" s="225">
        <f t="shared" si="5"/>
        <v>476.8588125</v>
      </c>
      <c r="Y12" s="186">
        <f>+(X12-E12)/E12</f>
        <v>-0.1230827847146876</v>
      </c>
    </row>
    <row r="13" spans="3:25" x14ac:dyDescent="0.25">
      <c r="C13" t="s">
        <v>29</v>
      </c>
      <c r="E13" s="194">
        <v>272.89999999999998</v>
      </c>
      <c r="F13" s="194">
        <v>0</v>
      </c>
      <c r="G13" s="194">
        <v>272.29000000000002</v>
      </c>
      <c r="H13">
        <f t="shared" si="0"/>
        <v>0.6099999999999568</v>
      </c>
      <c r="I13" s="186">
        <f t="shared" si="6"/>
        <v>0.99776474899230505</v>
      </c>
      <c r="J13" s="186">
        <f t="shared" si="7"/>
        <v>2.2352510076949681E-3</v>
      </c>
      <c r="K13" s="228">
        <v>0.71530000000000005</v>
      </c>
      <c r="L13" s="194">
        <v>2036</v>
      </c>
      <c r="M13" s="205">
        <v>105000</v>
      </c>
      <c r="N13" s="214">
        <v>75000</v>
      </c>
      <c r="O13" s="194">
        <v>40000</v>
      </c>
      <c r="P13" s="194">
        <v>25000</v>
      </c>
      <c r="T13" s="232">
        <f t="shared" si="1"/>
        <v>-5500</v>
      </c>
      <c r="U13" s="233">
        <f t="shared" si="2"/>
        <v>11212500</v>
      </c>
      <c r="V13" s="234">
        <f t="shared" si="3"/>
        <v>14500</v>
      </c>
      <c r="W13" s="224">
        <f t="shared" si="4"/>
        <v>348.94</v>
      </c>
      <c r="X13" s="225">
        <f t="shared" si="5"/>
        <v>341.64</v>
      </c>
      <c r="Y13" s="186">
        <f>+(X13-E13)/E13</f>
        <v>0.25188713814584102</v>
      </c>
    </row>
    <row r="14" spans="3:25" x14ac:dyDescent="0.25">
      <c r="C14" t="s">
        <v>345</v>
      </c>
      <c r="E14" s="194">
        <v>16.52</v>
      </c>
      <c r="F14" s="194">
        <v>1.61</v>
      </c>
      <c r="G14">
        <f>+E14*98.07%</f>
        <v>16.201163999999999</v>
      </c>
      <c r="H14">
        <f t="shared" si="0"/>
        <v>0.31883600000000101</v>
      </c>
      <c r="I14" s="186">
        <f t="shared" si="6"/>
        <v>0.98069999999999991</v>
      </c>
      <c r="J14" s="186">
        <f t="shared" si="7"/>
        <v>1.930000000000006E-2</v>
      </c>
      <c r="K14" s="228">
        <v>0.73629999999999995</v>
      </c>
      <c r="L14" s="194">
        <v>2060</v>
      </c>
      <c r="M14" s="194">
        <v>4000</v>
      </c>
      <c r="N14" s="194">
        <v>3000</v>
      </c>
      <c r="O14" s="194">
        <v>1800</v>
      </c>
      <c r="P14" s="194">
        <v>1000</v>
      </c>
      <c r="Q14" s="194">
        <v>900</v>
      </c>
      <c r="R14" s="194">
        <v>700</v>
      </c>
      <c r="S14" s="194">
        <v>500</v>
      </c>
      <c r="T14" s="232">
        <f t="shared" si="1"/>
        <v>-114.28571428571429</v>
      </c>
      <c r="U14" s="233">
        <f t="shared" si="2"/>
        <v>234271.42857142858</v>
      </c>
      <c r="V14" s="234">
        <f t="shared" si="3"/>
        <v>-1157.1428571428696</v>
      </c>
      <c r="W14" s="224">
        <f t="shared" si="4"/>
        <v>20.752857142857053</v>
      </c>
      <c r="X14" s="225">
        <f t="shared" si="5"/>
        <v>16.47714285712421</v>
      </c>
      <c r="Y14" s="186">
        <f>+(X14-E14)/E14</f>
        <v>-2.5942580433286396E-3</v>
      </c>
    </row>
    <row r="15" spans="3:25" x14ac:dyDescent="0.25">
      <c r="C15" t="s">
        <v>140</v>
      </c>
      <c r="E15" s="194">
        <v>21.91</v>
      </c>
      <c r="F15" s="194">
        <v>0</v>
      </c>
      <c r="G15">
        <f>+E15</f>
        <v>21.91</v>
      </c>
      <c r="H15">
        <f t="shared" si="0"/>
        <v>0</v>
      </c>
      <c r="I15" s="186">
        <f t="shared" si="6"/>
        <v>1</v>
      </c>
      <c r="J15" s="186">
        <f t="shared" si="7"/>
        <v>0</v>
      </c>
      <c r="K15" s="228">
        <v>0.78649999999999998</v>
      </c>
      <c r="L15" s="194">
        <v>2035</v>
      </c>
      <c r="M15" s="205">
        <v>10500</v>
      </c>
      <c r="N15" s="215">
        <v>6000</v>
      </c>
      <c r="O15" s="194">
        <v>2300</v>
      </c>
      <c r="P15" s="194">
        <v>1800</v>
      </c>
      <c r="T15" s="232">
        <f t="shared" si="1"/>
        <v>-596</v>
      </c>
      <c r="U15" s="233">
        <f t="shared" si="2"/>
        <v>1213540</v>
      </c>
      <c r="V15" s="234">
        <f t="shared" si="3"/>
        <v>680</v>
      </c>
      <c r="W15" s="224">
        <f t="shared" si="4"/>
        <v>30.605250000000002</v>
      </c>
      <c r="X15" s="225">
        <f t="shared" si="5"/>
        <v>28.196249999999999</v>
      </c>
      <c r="Y15" s="186">
        <f>+(X15-E15)/E15</f>
        <v>0.28691236878137832</v>
      </c>
    </row>
    <row r="16" spans="3:25" x14ac:dyDescent="0.25">
      <c r="C16" t="s">
        <v>495</v>
      </c>
      <c r="E16" s="194">
        <v>8.85</v>
      </c>
      <c r="F16" s="194">
        <v>0</v>
      </c>
      <c r="G16">
        <f>+E16</f>
        <v>8.85</v>
      </c>
      <c r="H16">
        <f t="shared" si="0"/>
        <v>0</v>
      </c>
      <c r="I16" s="186">
        <f t="shared" si="6"/>
        <v>1</v>
      </c>
      <c r="J16" s="186">
        <f t="shared" si="7"/>
        <v>0</v>
      </c>
      <c r="K16" s="228">
        <v>0.55530000000000002</v>
      </c>
      <c r="L16" s="194">
        <v>2052</v>
      </c>
      <c r="M16" s="205">
        <v>1600</v>
      </c>
      <c r="N16" s="205">
        <v>1500</v>
      </c>
      <c r="O16" s="194">
        <v>1100</v>
      </c>
      <c r="P16" s="194">
        <v>750</v>
      </c>
      <c r="Q16" s="194">
        <v>500</v>
      </c>
      <c r="R16" s="194">
        <v>250</v>
      </c>
      <c r="S16" s="194">
        <v>200</v>
      </c>
      <c r="T16" s="232">
        <f t="shared" si="1"/>
        <v>-52.142857142857146</v>
      </c>
      <c r="U16" s="233">
        <f t="shared" si="2"/>
        <v>106953.57142857143</v>
      </c>
      <c r="V16" s="234">
        <f t="shared" si="3"/>
        <v>-43.571428571434808</v>
      </c>
      <c r="W16" s="224">
        <f t="shared" si="4"/>
        <v>9.0895428571428205</v>
      </c>
      <c r="X16" s="225">
        <f t="shared" si="5"/>
        <v>9.2355428571459655</v>
      </c>
      <c r="Y16" s="186">
        <f>+(X16-E16)/E16</f>
        <v>4.3564164649261675E-2</v>
      </c>
    </row>
    <row r="17" spans="3:25" x14ac:dyDescent="0.25">
      <c r="C17" t="s">
        <v>61</v>
      </c>
      <c r="E17" s="194">
        <v>146.25</v>
      </c>
      <c r="F17" s="194">
        <v>0</v>
      </c>
      <c r="G17">
        <v>146.25</v>
      </c>
      <c r="H17">
        <f t="shared" si="0"/>
        <v>0</v>
      </c>
      <c r="I17" s="186">
        <f t="shared" si="6"/>
        <v>1</v>
      </c>
      <c r="J17" s="186">
        <f t="shared" si="7"/>
        <v>0</v>
      </c>
      <c r="K17" s="228">
        <v>0.58260000000000001</v>
      </c>
      <c r="L17" s="194">
        <v>2039</v>
      </c>
      <c r="M17" s="205">
        <v>50000</v>
      </c>
      <c r="N17" s="205">
        <v>35000</v>
      </c>
      <c r="O17" s="194">
        <v>20000</v>
      </c>
      <c r="P17" s="194">
        <v>12500</v>
      </c>
      <c r="T17" s="232">
        <f t="shared" si="1"/>
        <v>-2550</v>
      </c>
      <c r="U17" s="233">
        <f t="shared" si="2"/>
        <v>5199500</v>
      </c>
      <c r="V17" s="234">
        <f t="shared" si="3"/>
        <v>50</v>
      </c>
      <c r="W17" s="224">
        <f t="shared" si="4"/>
        <v>173.54837499999999</v>
      </c>
      <c r="X17" s="225">
        <f t="shared" si="5"/>
        <v>168.34712500000001</v>
      </c>
      <c r="Y17" s="186">
        <f>+(X17-E17)/E17</f>
        <v>0.15109145299145302</v>
      </c>
    </row>
    <row r="18" spans="3:25" x14ac:dyDescent="0.25">
      <c r="C18" t="s">
        <v>496</v>
      </c>
      <c r="E18" s="194">
        <v>89.99</v>
      </c>
      <c r="F18" s="194">
        <v>0</v>
      </c>
      <c r="G18">
        <f>+E18</f>
        <v>89.99</v>
      </c>
      <c r="H18">
        <f t="shared" si="0"/>
        <v>0</v>
      </c>
      <c r="I18" s="186">
        <f t="shared" si="6"/>
        <v>1</v>
      </c>
      <c r="J18" s="186">
        <f t="shared" si="7"/>
        <v>0</v>
      </c>
      <c r="K18" s="228">
        <v>0.42830000000000001</v>
      </c>
      <c r="L18" s="194">
        <v>2044</v>
      </c>
      <c r="M18" s="205">
        <v>20000</v>
      </c>
      <c r="N18" s="205">
        <v>17500</v>
      </c>
      <c r="O18" s="194">
        <v>12500</v>
      </c>
      <c r="P18" s="194">
        <v>7600</v>
      </c>
      <c r="Q18" s="194">
        <v>6000</v>
      </c>
      <c r="T18" s="232">
        <f t="shared" si="1"/>
        <v>-758</v>
      </c>
      <c r="U18" s="233">
        <f t="shared" si="2"/>
        <v>1551460</v>
      </c>
      <c r="V18" s="234">
        <f t="shared" si="3"/>
        <v>2108</v>
      </c>
      <c r="W18" s="224">
        <f t="shared" si="4"/>
        <v>96.833039999999997</v>
      </c>
      <c r="X18" s="225">
        <f t="shared" si="5"/>
        <v>98.147040000000004</v>
      </c>
      <c r="Y18" s="186">
        <f>+(X18-E18)/E18</f>
        <v>9.0643849316590835E-2</v>
      </c>
    </row>
    <row r="19" spans="3:25" x14ac:dyDescent="0.25">
      <c r="C19" t="s">
        <v>497</v>
      </c>
      <c r="E19" s="194">
        <v>86.96</v>
      </c>
      <c r="F19" s="194">
        <v>357.74</v>
      </c>
      <c r="G19">
        <f>+E19*68.57%</f>
        <v>59.628471999999995</v>
      </c>
      <c r="H19">
        <f t="shared" si="0"/>
        <v>27.331527999999999</v>
      </c>
      <c r="I19" s="186">
        <f t="shared" si="6"/>
        <v>0.68569999999999998</v>
      </c>
      <c r="J19" s="186">
        <f t="shared" si="7"/>
        <v>0.31430000000000002</v>
      </c>
      <c r="K19" s="228">
        <v>0.87790000000000001</v>
      </c>
      <c r="L19" s="194">
        <v>2035</v>
      </c>
      <c r="M19" s="205">
        <v>42000</v>
      </c>
      <c r="N19" s="205">
        <v>22000</v>
      </c>
      <c r="O19" s="194">
        <v>16000</v>
      </c>
      <c r="P19" s="194">
        <v>8000</v>
      </c>
      <c r="T19" s="232">
        <f t="shared" si="1"/>
        <v>-2160</v>
      </c>
      <c r="U19" s="233">
        <f t="shared" si="2"/>
        <v>4401400</v>
      </c>
      <c r="V19" s="234">
        <f t="shared" si="3"/>
        <v>5800</v>
      </c>
      <c r="W19" s="224">
        <f t="shared" si="4"/>
        <v>130.85249999999999</v>
      </c>
      <c r="X19" s="225">
        <f t="shared" si="5"/>
        <v>120.45</v>
      </c>
      <c r="Y19" s="186">
        <f>+(X19-E19)/E19</f>
        <v>0.38511959521619149</v>
      </c>
    </row>
    <row r="20" spans="3:25" x14ac:dyDescent="0.25">
      <c r="C20" t="s">
        <v>498</v>
      </c>
      <c r="E20" s="194">
        <v>5.73</v>
      </c>
      <c r="F20" s="194">
        <v>0</v>
      </c>
      <c r="G20">
        <f>+E20</f>
        <v>5.73</v>
      </c>
      <c r="H20">
        <f t="shared" si="0"/>
        <v>0</v>
      </c>
      <c r="I20" s="186">
        <f t="shared" si="6"/>
        <v>1</v>
      </c>
      <c r="J20" s="186">
        <f t="shared" si="7"/>
        <v>0</v>
      </c>
      <c r="K20" s="228">
        <v>0.61819999999999997</v>
      </c>
      <c r="L20" s="194">
        <v>2050</v>
      </c>
      <c r="M20" s="205">
        <v>2250</v>
      </c>
      <c r="N20" s="205">
        <v>1250</v>
      </c>
      <c r="O20" s="194">
        <v>600</v>
      </c>
      <c r="P20" s="194">
        <v>400</v>
      </c>
      <c r="Q20" s="194">
        <v>200</v>
      </c>
      <c r="R20" s="194">
        <v>150</v>
      </c>
      <c r="S20" s="194">
        <v>100</v>
      </c>
      <c r="T20" s="232">
        <f t="shared" si="1"/>
        <v>-64.642857142857139</v>
      </c>
      <c r="U20" s="233">
        <f t="shared" si="2"/>
        <v>132255.35714285716</v>
      </c>
      <c r="V20" s="234">
        <f t="shared" si="3"/>
        <v>-262.4999999999709</v>
      </c>
      <c r="W20" s="224">
        <f t="shared" si="4"/>
        <v>10.881562500000161</v>
      </c>
      <c r="X20" s="225">
        <f t="shared" si="5"/>
        <v>7.7432142857189472</v>
      </c>
      <c r="Y20" s="186">
        <f>+(X20-E20)/E20</f>
        <v>0.35134629768218961</v>
      </c>
    </row>
    <row r="21" spans="3:25" x14ac:dyDescent="0.25">
      <c r="C21" t="s">
        <v>499</v>
      </c>
      <c r="E21" s="194">
        <v>89.27</v>
      </c>
      <c r="F21" s="194">
        <v>504.38</v>
      </c>
      <c r="G21">
        <f>+E21*5.84%</f>
        <v>5.213368</v>
      </c>
      <c r="H21">
        <f t="shared" si="0"/>
        <v>84.056631999999993</v>
      </c>
      <c r="I21" s="186">
        <f t="shared" si="6"/>
        <v>5.8400000000000001E-2</v>
      </c>
      <c r="J21" s="186">
        <f t="shared" si="7"/>
        <v>0.94159999999999999</v>
      </c>
      <c r="K21" s="228">
        <v>0.24510000000000001</v>
      </c>
      <c r="L21" s="194">
        <v>2059</v>
      </c>
      <c r="M21" s="205">
        <v>10000</v>
      </c>
      <c r="N21" s="205">
        <v>18500</v>
      </c>
      <c r="O21" s="194">
        <v>10000</v>
      </c>
      <c r="P21" s="194">
        <v>7000</v>
      </c>
      <c r="Q21" s="194">
        <v>5000</v>
      </c>
      <c r="R21" s="194">
        <v>3500</v>
      </c>
      <c r="S21" s="194">
        <v>2100</v>
      </c>
      <c r="T21" s="232">
        <f t="shared" ref="T21:T24" si="8">+SLOPE(M21:S21,$M$4:$S$4)</f>
        <v>-419.28571428571439</v>
      </c>
      <c r="U21" s="233">
        <f t="shared" ref="U21:U24" si="9">+INTERCEPT(M21:S21,$M$4:$S$4)</f>
        <v>861260.71428571444</v>
      </c>
      <c r="V21" s="234">
        <f t="shared" ref="V21:V24" si="10">+T21*L21+U21</f>
        <v>-2048.5714285714785</v>
      </c>
      <c r="W21" s="224">
        <f t="shared" ref="W21:W24" si="11">+((L21-$M$4)*V21+((L21-$M$4)*(M21-V21))/2)*365/1000000</f>
        <v>56.594292857142499</v>
      </c>
      <c r="X21" s="225">
        <f t="shared" ref="X21:X24" si="12">+((T21*L21*L21/2)+(U21*L21)-(T21*$M$4*$M$4/2)-(U21*$M$4))*365/1000000</f>
        <v>87.224962500087017</v>
      </c>
      <c r="Y21" s="186">
        <f>+(X21-E21)/E21</f>
        <v>-2.2908451886557404E-2</v>
      </c>
    </row>
    <row r="22" spans="3:25" x14ac:dyDescent="0.25">
      <c r="C22" t="s">
        <v>500</v>
      </c>
      <c r="E22" s="194">
        <v>10.25</v>
      </c>
      <c r="F22" s="194">
        <v>60.26</v>
      </c>
      <c r="G22">
        <f>+E22*2%</f>
        <v>0.20500000000000002</v>
      </c>
      <c r="H22">
        <f t="shared" si="0"/>
        <v>10.045</v>
      </c>
      <c r="I22" s="186">
        <f t="shared" si="6"/>
        <v>0.02</v>
      </c>
      <c r="J22" s="186">
        <f t="shared" si="7"/>
        <v>0.98</v>
      </c>
      <c r="K22" s="228">
        <v>0.98270000000000002</v>
      </c>
      <c r="L22" s="194">
        <v>2025</v>
      </c>
      <c r="M22" s="205">
        <v>8000</v>
      </c>
      <c r="N22" s="205">
        <v>5000</v>
      </c>
      <c r="T22" s="232">
        <f t="shared" si="8"/>
        <v>-600</v>
      </c>
      <c r="U22" s="233">
        <f t="shared" si="9"/>
        <v>1220000</v>
      </c>
      <c r="V22" s="234">
        <f t="shared" si="10"/>
        <v>5000</v>
      </c>
      <c r="W22" s="224">
        <f t="shared" si="11"/>
        <v>11.862500000000001</v>
      </c>
      <c r="X22" s="225">
        <f t="shared" si="12"/>
        <v>11.862500000000001</v>
      </c>
      <c r="Y22" s="186">
        <f>+(X22-E22)/E22</f>
        <v>0.15731707317073176</v>
      </c>
    </row>
    <row r="23" spans="3:25" x14ac:dyDescent="0.25">
      <c r="C23" t="s">
        <v>501</v>
      </c>
      <c r="E23" s="194">
        <v>17.7</v>
      </c>
      <c r="F23" s="194">
        <v>97.48</v>
      </c>
      <c r="G23">
        <f>+E23*8.23%</f>
        <v>1.4567099999999999</v>
      </c>
      <c r="H23">
        <f t="shared" si="0"/>
        <v>16.243289999999998</v>
      </c>
      <c r="I23" s="186">
        <f t="shared" si="6"/>
        <v>8.2299999999999998E-2</v>
      </c>
      <c r="J23" s="186">
        <f t="shared" si="7"/>
        <v>0.91769999999999996</v>
      </c>
      <c r="K23" s="228">
        <v>0.97750000000000004</v>
      </c>
      <c r="L23" s="194">
        <v>2025</v>
      </c>
      <c r="M23" s="194">
        <v>8000</v>
      </c>
      <c r="N23" s="213">
        <v>5000</v>
      </c>
      <c r="T23" s="232">
        <f t="shared" si="8"/>
        <v>-600</v>
      </c>
      <c r="U23" s="233">
        <f t="shared" si="9"/>
        <v>1220000</v>
      </c>
      <c r="V23" s="234">
        <f t="shared" si="10"/>
        <v>5000</v>
      </c>
      <c r="W23" s="224">
        <f t="shared" si="11"/>
        <v>11.862500000000001</v>
      </c>
      <c r="X23" s="225">
        <f t="shared" si="12"/>
        <v>11.862500000000001</v>
      </c>
      <c r="Y23" s="186">
        <f>+(X23-E23)/E23</f>
        <v>-0.32980225988700557</v>
      </c>
    </row>
    <row r="24" spans="3:25" x14ac:dyDescent="0.25">
      <c r="C24" t="s">
        <v>502</v>
      </c>
      <c r="E24" s="194">
        <v>8.8000000000000007</v>
      </c>
      <c r="F24" s="194">
        <v>2.82</v>
      </c>
      <c r="G24">
        <f>+E24*94.66%</f>
        <v>8.3300800000000006</v>
      </c>
      <c r="H24">
        <f t="shared" si="0"/>
        <v>0.46992000000000012</v>
      </c>
      <c r="I24" s="186">
        <f t="shared" si="6"/>
        <v>0.9466</v>
      </c>
      <c r="J24" s="186">
        <f t="shared" si="7"/>
        <v>5.340000000000001E-2</v>
      </c>
      <c r="K24" s="228">
        <v>0.7712</v>
      </c>
      <c r="L24" s="194">
        <v>2039</v>
      </c>
      <c r="M24" s="194">
        <v>3000</v>
      </c>
      <c r="N24" s="213">
        <v>2000</v>
      </c>
      <c r="O24" s="194">
        <v>1100</v>
      </c>
      <c r="P24" s="194">
        <v>800</v>
      </c>
      <c r="T24" s="232">
        <f t="shared" si="8"/>
        <v>-150</v>
      </c>
      <c r="U24" s="233">
        <f t="shared" si="9"/>
        <v>305850</v>
      </c>
      <c r="V24" s="234">
        <f t="shared" si="10"/>
        <v>0</v>
      </c>
      <c r="W24" s="224">
        <f t="shared" si="11"/>
        <v>10.4025</v>
      </c>
      <c r="X24" s="225">
        <f t="shared" si="12"/>
        <v>9.8823749999999997</v>
      </c>
      <c r="Y24" s="186">
        <f>+(X24-E24)/E24</f>
        <v>0.12299715909090897</v>
      </c>
    </row>
    <row r="25" spans="3:25" x14ac:dyDescent="0.25">
      <c r="C25" t="s">
        <v>503</v>
      </c>
      <c r="E25" s="194">
        <v>1.1399999999999999</v>
      </c>
      <c r="F25" s="194">
        <v>0.47</v>
      </c>
      <c r="G25">
        <f>+E25*93.12%</f>
        <v>1.0615679999999998</v>
      </c>
      <c r="H25">
        <f t="shared" si="0"/>
        <v>7.8432000000000057E-2</v>
      </c>
      <c r="I25" s="186">
        <f t="shared" si="6"/>
        <v>0.93119999999999992</v>
      </c>
      <c r="J25" s="186">
        <f t="shared" si="7"/>
        <v>6.8800000000000056E-2</v>
      </c>
      <c r="K25" s="228">
        <v>0.73509999999999998</v>
      </c>
      <c r="L25" s="194">
        <v>2033</v>
      </c>
      <c r="M25" s="205">
        <v>1000</v>
      </c>
      <c r="N25" s="213">
        <v>300</v>
      </c>
      <c r="O25" s="194">
        <v>100</v>
      </c>
      <c r="T25" s="232">
        <f t="shared" ref="T25:T26" si="13">+SLOPE(M25:S25,$M$4:$S$4)</f>
        <v>-90</v>
      </c>
      <c r="U25" s="233">
        <f t="shared" ref="U25:U26" si="14">+INTERCEPT(M25:S25,$M$4:$S$4)</f>
        <v>182716.66666666666</v>
      </c>
      <c r="V25" s="234">
        <f t="shared" ref="V25:V26" si="15">+T25*L25+U25</f>
        <v>-253.33333333334303</v>
      </c>
      <c r="W25" s="224">
        <f t="shared" ref="W25:W26" si="16">+((L25-$M$4)*V25+((L25-$M$4)*(M25-V25))/2)*365/1000000</f>
        <v>1.7714666666666437</v>
      </c>
      <c r="X25" s="225">
        <f t="shared" ref="X25:X26" si="17">+((T25*L25*L25/2)+(U25*L25)-(T25*$M$4*$M$4/2)-(U25*$M$4))*365/1000000</f>
        <v>1.5737583333405851</v>
      </c>
      <c r="Y25" s="186">
        <f>+(X25-E25)/E25</f>
        <v>0.38048976608823271</v>
      </c>
    </row>
    <row r="26" spans="3:25" x14ac:dyDescent="0.25">
      <c r="C26" t="s">
        <v>504</v>
      </c>
      <c r="E26" s="194">
        <v>1.31</v>
      </c>
      <c r="F26" s="194">
        <v>0.37</v>
      </c>
      <c r="G26">
        <f>+E26*95.34%</f>
        <v>1.2489540000000001</v>
      </c>
      <c r="H26">
        <f t="shared" si="0"/>
        <v>6.1045999999999934E-2</v>
      </c>
      <c r="I26" s="186">
        <f t="shared" si="6"/>
        <v>0.95340000000000003</v>
      </c>
      <c r="J26" s="186">
        <f t="shared" si="7"/>
        <v>4.6599999999999947E-2</v>
      </c>
      <c r="K26" s="228">
        <v>0.34710000000000002</v>
      </c>
      <c r="L26" s="194">
        <v>2053</v>
      </c>
      <c r="M26" s="205">
        <v>480</v>
      </c>
      <c r="N26" s="205">
        <v>280</v>
      </c>
      <c r="O26" s="194">
        <v>125</v>
      </c>
      <c r="P26">
        <v>90</v>
      </c>
      <c r="Q26">
        <v>50</v>
      </c>
      <c r="R26">
        <v>30</v>
      </c>
      <c r="S26">
        <v>25</v>
      </c>
      <c r="T26" s="232">
        <f t="shared" si="13"/>
        <v>-13.857142857142858</v>
      </c>
      <c r="U26" s="233">
        <f t="shared" si="14"/>
        <v>28353.571428571428</v>
      </c>
      <c r="V26" s="234">
        <f t="shared" si="15"/>
        <v>-95.142857142858702</v>
      </c>
      <c r="W26" s="224">
        <f t="shared" si="16"/>
        <v>2.3178021428571336</v>
      </c>
      <c r="X26" s="225">
        <f t="shared" si="17"/>
        <v>1.6080075</v>
      </c>
      <c r="Y26" s="186">
        <f>+(X26-E26)/E26</f>
        <v>0.22748664122137402</v>
      </c>
    </row>
    <row r="27" spans="3:25" x14ac:dyDescent="0.25">
      <c r="C27" t="s">
        <v>505</v>
      </c>
      <c r="E27" s="194">
        <v>4.72</v>
      </c>
      <c r="F27" s="194">
        <v>7.45</v>
      </c>
      <c r="G27">
        <f>+E27*73.7%</f>
        <v>3.47864</v>
      </c>
      <c r="H27">
        <f t="shared" si="0"/>
        <v>1.2413599999999998</v>
      </c>
      <c r="I27" s="186">
        <f t="shared" si="6"/>
        <v>0.73699999999999999</v>
      </c>
      <c r="J27" s="186">
        <f t="shared" si="7"/>
        <v>0.26299999999999996</v>
      </c>
      <c r="K27" s="228">
        <v>0.91449999999999998</v>
      </c>
      <c r="L27" s="194">
        <v>2030</v>
      </c>
      <c r="M27" s="205">
        <v>3750</v>
      </c>
      <c r="N27" s="205">
        <v>1750</v>
      </c>
      <c r="O27" s="194">
        <v>750</v>
      </c>
      <c r="T27" s="232">
        <f t="shared" ref="T27:T28" si="18">+SLOPE(M27:S27,$M$4:$S$4)</f>
        <v>-300</v>
      </c>
      <c r="U27" s="233">
        <f t="shared" ref="U27:U28" si="19">+INTERCEPT(M27:S27,$M$4:$S$4)</f>
        <v>609583.33333333337</v>
      </c>
      <c r="V27" s="234">
        <f t="shared" ref="V27:V28" si="20">+T27*L27+U27</f>
        <v>583.33333333337214</v>
      </c>
      <c r="W27" s="224">
        <f t="shared" ref="W27:W28" si="21">+((L27-$M$4)*V27+((L27-$M$4)*(M27-V27))/2)*365/1000000</f>
        <v>7.9083333333334034</v>
      </c>
      <c r="X27" s="225">
        <f t="shared" ref="X27:X28" si="22">+((T27*L27*L27/2)+(U27*L27)-(T27*$M$4*$M$4/2)-(U27*$M$4))*365/1000000</f>
        <v>7.6041666666376591</v>
      </c>
      <c r="Y27" s="186">
        <f>+(X27-E27)/E27</f>
        <v>0.61105225988086009</v>
      </c>
    </row>
    <row r="28" spans="3:25" x14ac:dyDescent="0.25">
      <c r="C28" t="s">
        <v>506</v>
      </c>
      <c r="E28" s="194">
        <v>11.27</v>
      </c>
      <c r="F28" s="194">
        <v>0</v>
      </c>
      <c r="G28">
        <v>11.27</v>
      </c>
      <c r="H28">
        <f t="shared" si="0"/>
        <v>0</v>
      </c>
      <c r="I28" s="186">
        <f t="shared" si="6"/>
        <v>1</v>
      </c>
      <c r="J28" s="186">
        <f t="shared" si="7"/>
        <v>0</v>
      </c>
      <c r="K28" s="228">
        <v>0.4148</v>
      </c>
      <c r="L28" s="194">
        <v>2067</v>
      </c>
      <c r="M28" s="205">
        <v>2500</v>
      </c>
      <c r="N28" s="214">
        <v>1750</v>
      </c>
      <c r="O28" s="194">
        <v>1250</v>
      </c>
      <c r="P28">
        <v>800</v>
      </c>
      <c r="Q28">
        <v>600</v>
      </c>
      <c r="R28">
        <v>400</v>
      </c>
      <c r="S28">
        <v>300</v>
      </c>
      <c r="T28" s="232">
        <f t="shared" si="18"/>
        <v>-71.071428571428569</v>
      </c>
      <c r="U28" s="233">
        <f t="shared" si="19"/>
        <v>145716.07142857142</v>
      </c>
      <c r="V28" s="234">
        <f t="shared" si="20"/>
        <v>-1188.5714285714203</v>
      </c>
      <c r="W28" s="224">
        <f t="shared" si="21"/>
        <v>11.248778571428643</v>
      </c>
      <c r="X28" s="225">
        <f t="shared" si="22"/>
        <v>8.2619705357080697</v>
      </c>
      <c r="Y28" s="186">
        <f>+(X28-E28)/E28</f>
        <v>-0.2669058974527001</v>
      </c>
    </row>
    <row r="29" spans="3:25" x14ac:dyDescent="0.25">
      <c r="C29" t="s">
        <v>318</v>
      </c>
      <c r="E29" s="194">
        <v>3.84</v>
      </c>
      <c r="F29" s="194">
        <v>23.03</v>
      </c>
      <c r="H29">
        <f t="shared" si="0"/>
        <v>3.84</v>
      </c>
      <c r="I29" s="186">
        <f t="shared" si="6"/>
        <v>0</v>
      </c>
      <c r="J29" s="186">
        <f t="shared" si="7"/>
        <v>1</v>
      </c>
      <c r="K29" s="228">
        <v>0.84079999999999999</v>
      </c>
      <c r="L29" s="194">
        <v>2028</v>
      </c>
      <c r="M29" s="205">
        <v>5300</v>
      </c>
      <c r="N29" s="205">
        <v>1250</v>
      </c>
      <c r="T29" s="232">
        <f t="shared" ref="T29:T32" si="23">+SLOPE(M29:S29,$M$4:$S$4)</f>
        <v>-810</v>
      </c>
      <c r="U29" s="233">
        <f t="shared" ref="U29:U32" si="24">+INTERCEPT(M29:S29,$M$4:$S$4)</f>
        <v>1641500</v>
      </c>
      <c r="V29" s="234">
        <f t="shared" ref="V29:V32" si="25">+T29*L29+U29</f>
        <v>-1180</v>
      </c>
      <c r="W29" s="224">
        <f t="shared" ref="W29:W32" si="26">+((L29-$M$4)*V29+((L29-$M$4)*(M29-V29))/2)*365/1000000</f>
        <v>6.0152000000000001</v>
      </c>
      <c r="X29" s="225">
        <f t="shared" ref="X29:X32" si="27">+((T29*L29*L29/2)+(U29*L29)-(T29*$M$4*$M$4/2)-(U29*$M$4))*365/1000000</f>
        <v>6.0152000000000001</v>
      </c>
      <c r="Y29" s="186">
        <f>+(X29-E29)/E29</f>
        <v>0.5664583333333334</v>
      </c>
    </row>
    <row r="30" spans="3:25" x14ac:dyDescent="0.25">
      <c r="C30" t="s">
        <v>508</v>
      </c>
      <c r="E30" s="194">
        <v>14.92</v>
      </c>
      <c r="F30">
        <v>0.24</v>
      </c>
      <c r="G30">
        <f>+E30*99.74%</f>
        <v>14.881207999999999</v>
      </c>
      <c r="H30">
        <f t="shared" si="0"/>
        <v>3.8792000000000826E-2</v>
      </c>
      <c r="I30" s="186">
        <f t="shared" si="6"/>
        <v>0.99739999999999995</v>
      </c>
      <c r="J30" s="186">
        <f t="shared" si="7"/>
        <v>2.6000000000000554E-3</v>
      </c>
      <c r="K30" s="228">
        <v>0.75690000000000002</v>
      </c>
      <c r="L30" s="194">
        <v>2043</v>
      </c>
      <c r="M30" s="205">
        <v>10000</v>
      </c>
      <c r="N30" s="205">
        <v>4000</v>
      </c>
      <c r="O30" s="194">
        <v>1000</v>
      </c>
      <c r="P30">
        <v>500</v>
      </c>
      <c r="Q30">
        <v>400</v>
      </c>
      <c r="T30" s="232">
        <f t="shared" si="23"/>
        <v>-454</v>
      </c>
      <c r="U30" s="233">
        <f t="shared" si="24"/>
        <v>924800</v>
      </c>
      <c r="V30" s="234">
        <f t="shared" si="25"/>
        <v>-2722</v>
      </c>
      <c r="W30" s="224">
        <f t="shared" si="26"/>
        <v>30.549405</v>
      </c>
      <c r="X30" s="225">
        <f t="shared" si="27"/>
        <v>20.979105000000001</v>
      </c>
      <c r="Y30" s="186">
        <f>+(X30-E30)/E30</f>
        <v>0.40610623324396788</v>
      </c>
    </row>
    <row r="31" spans="3:25" x14ac:dyDescent="0.25">
      <c r="C31" t="s">
        <v>80</v>
      </c>
      <c r="E31" s="194">
        <v>43.42</v>
      </c>
      <c r="F31" s="194">
        <v>16.96</v>
      </c>
      <c r="G31">
        <f>+E31*93.49%</f>
        <v>40.593358000000002</v>
      </c>
      <c r="H31">
        <f t="shared" si="0"/>
        <v>2.8266419999999997</v>
      </c>
      <c r="I31" s="186">
        <f t="shared" si="6"/>
        <v>0.93490000000000006</v>
      </c>
      <c r="J31" s="186">
        <f t="shared" si="7"/>
        <v>6.5099999999999991E-2</v>
      </c>
      <c r="K31" s="228">
        <v>0.76190000000000002</v>
      </c>
      <c r="L31" s="194">
        <v>2042</v>
      </c>
      <c r="M31" s="205">
        <v>25000</v>
      </c>
      <c r="N31" s="205">
        <v>12500</v>
      </c>
      <c r="O31" s="194">
        <v>4500</v>
      </c>
      <c r="P31">
        <v>2500</v>
      </c>
      <c r="Q31">
        <v>1000</v>
      </c>
      <c r="T31" s="232">
        <f t="shared" si="23"/>
        <v>-1160</v>
      </c>
      <c r="U31" s="233">
        <f t="shared" si="24"/>
        <v>2363900</v>
      </c>
      <c r="V31" s="234">
        <f t="shared" si="25"/>
        <v>-4820</v>
      </c>
      <c r="W31" s="224">
        <f t="shared" si="26"/>
        <v>81.0227</v>
      </c>
      <c r="X31" s="225">
        <f t="shared" si="27"/>
        <v>63.758200000000002</v>
      </c>
      <c r="Y31" s="186">
        <f>+(X31-E31)/E31</f>
        <v>0.46840626439428834</v>
      </c>
    </row>
    <row r="32" spans="3:25" x14ac:dyDescent="0.25">
      <c r="C32" t="s">
        <v>449</v>
      </c>
      <c r="E32" s="194">
        <v>7.3</v>
      </c>
      <c r="F32" s="194">
        <v>4.54</v>
      </c>
      <c r="G32">
        <f>+E32*89.64%</f>
        <v>6.5437199999999995</v>
      </c>
      <c r="H32">
        <f t="shared" si="0"/>
        <v>0.75628000000000029</v>
      </c>
      <c r="I32" s="186">
        <f t="shared" si="6"/>
        <v>0.89639999999999997</v>
      </c>
      <c r="J32" s="186">
        <f t="shared" si="7"/>
        <v>0.10360000000000004</v>
      </c>
      <c r="K32" s="228">
        <v>0.77580000000000005</v>
      </c>
      <c r="L32" s="194">
        <v>2044</v>
      </c>
      <c r="M32" s="205">
        <v>2000</v>
      </c>
      <c r="N32" s="205">
        <v>1250</v>
      </c>
      <c r="O32" s="194">
        <v>900</v>
      </c>
      <c r="P32">
        <v>600</v>
      </c>
      <c r="Q32">
        <v>400</v>
      </c>
      <c r="T32" s="232">
        <f t="shared" si="23"/>
        <v>-77</v>
      </c>
      <c r="U32" s="233">
        <f t="shared" si="24"/>
        <v>157340</v>
      </c>
      <c r="V32" s="234">
        <f t="shared" si="25"/>
        <v>-48</v>
      </c>
      <c r="W32" s="224">
        <f t="shared" si="26"/>
        <v>8.5497599999999991</v>
      </c>
      <c r="X32" s="225">
        <f t="shared" si="27"/>
        <v>7.6737599999999997</v>
      </c>
      <c r="Y32" s="186">
        <f>+(X32-E32)/E32</f>
        <v>5.1199999999999982E-2</v>
      </c>
    </row>
    <row r="33" spans="3:25" x14ac:dyDescent="0.25">
      <c r="C33" t="s">
        <v>509</v>
      </c>
      <c r="E33" s="194">
        <v>0.57999999999999996</v>
      </c>
      <c r="F33" s="194">
        <v>0</v>
      </c>
      <c r="G33">
        <f>+E33</f>
        <v>0.57999999999999996</v>
      </c>
      <c r="H33">
        <f t="shared" si="0"/>
        <v>0</v>
      </c>
      <c r="I33" s="186">
        <f t="shared" si="6"/>
        <v>1</v>
      </c>
      <c r="J33" s="186">
        <f t="shared" si="7"/>
        <v>0</v>
      </c>
      <c r="K33" s="228">
        <v>0.91830000000000001</v>
      </c>
      <c r="L33" s="194">
        <v>2031</v>
      </c>
      <c r="M33" s="205">
        <v>500</v>
      </c>
      <c r="N33" s="205">
        <v>200</v>
      </c>
      <c r="O33" s="194">
        <v>80</v>
      </c>
      <c r="T33" s="232">
        <f t="shared" ref="T33:T37" si="28">+SLOPE(M33:S33,$M$4:$S$4)</f>
        <v>-42</v>
      </c>
      <c r="U33" s="233">
        <f t="shared" ref="U33:U37" si="29">+INTERCEPT(M33:S33,$M$4:$S$4)</f>
        <v>85310</v>
      </c>
      <c r="V33" s="234">
        <f t="shared" ref="V33:V37" si="30">+T33*L33+U33</f>
        <v>8</v>
      </c>
      <c r="W33" s="224">
        <f t="shared" ref="W33:W37" si="31">+((L33-$M$4)*V33+((L33-$M$4)*(M33-V33))/2)*365/1000000</f>
        <v>1.0198100000000001</v>
      </c>
      <c r="X33" s="225">
        <f t="shared" ref="X33:X37" si="32">+((T33*L33*L33/2)+(U33*L33)-(T33*$M$4*$M$4/2)-(U33*$M$4))*365/1000000</f>
        <v>0.95958500000000002</v>
      </c>
      <c r="Y33" s="186">
        <f>+(X33-E33)/E33</f>
        <v>0.65445689655172434</v>
      </c>
    </row>
    <row r="34" spans="3:25" x14ac:dyDescent="0.25">
      <c r="C34" t="s">
        <v>510</v>
      </c>
      <c r="E34" s="194">
        <v>130.22</v>
      </c>
      <c r="F34" s="194">
        <v>284</v>
      </c>
      <c r="G34">
        <f>+E34*63.65%</f>
        <v>82.88503</v>
      </c>
      <c r="H34">
        <f t="shared" si="0"/>
        <v>47.334969999999998</v>
      </c>
      <c r="I34" s="186">
        <f t="shared" si="6"/>
        <v>0.63649999999999995</v>
      </c>
      <c r="J34" s="186">
        <f t="shared" si="7"/>
        <v>0.36349999999999999</v>
      </c>
      <c r="K34" s="228">
        <v>0.63759999999999994</v>
      </c>
      <c r="L34" s="194">
        <v>2018</v>
      </c>
      <c r="M34" s="205">
        <v>55000</v>
      </c>
      <c r="N34" s="205">
        <v>31000</v>
      </c>
      <c r="O34" s="194">
        <v>15000</v>
      </c>
      <c r="P34">
        <v>8000</v>
      </c>
      <c r="T34" s="232">
        <f t="shared" si="28"/>
        <v>-3140</v>
      </c>
      <c r="U34" s="233">
        <f t="shared" si="29"/>
        <v>6393600</v>
      </c>
      <c r="V34" s="234">
        <f t="shared" si="30"/>
        <v>57080</v>
      </c>
      <c r="W34" s="224">
        <f t="shared" si="31"/>
        <v>-40.909199999999998</v>
      </c>
      <c r="X34" s="225">
        <f t="shared" si="32"/>
        <v>-39.376199999999997</v>
      </c>
      <c r="Y34" s="186">
        <f>+(X34-E34)/E34</f>
        <v>-1.3023821225618186</v>
      </c>
    </row>
    <row r="35" spans="3:25" x14ac:dyDescent="0.25">
      <c r="C35" t="s">
        <v>344</v>
      </c>
      <c r="E35" s="194">
        <v>24.09</v>
      </c>
      <c r="F35" s="194">
        <v>0</v>
      </c>
      <c r="G35">
        <f>+E35</f>
        <v>24.09</v>
      </c>
      <c r="H35">
        <f t="shared" si="0"/>
        <v>0</v>
      </c>
      <c r="I35" s="186">
        <f t="shared" si="6"/>
        <v>1</v>
      </c>
      <c r="J35" s="186">
        <f t="shared" si="7"/>
        <v>0</v>
      </c>
      <c r="K35" s="228">
        <v>0.73740000000000006</v>
      </c>
      <c r="L35" s="194">
        <v>2064</v>
      </c>
      <c r="M35" s="205">
        <v>4000</v>
      </c>
      <c r="N35" s="205">
        <v>3500</v>
      </c>
      <c r="O35" s="194">
        <v>2500</v>
      </c>
      <c r="P35">
        <v>2000</v>
      </c>
      <c r="Q35">
        <v>1500</v>
      </c>
      <c r="R35">
        <v>1250</v>
      </c>
      <c r="S35">
        <v>1000</v>
      </c>
      <c r="T35" s="232">
        <f t="shared" si="28"/>
        <v>-103.57142857142857</v>
      </c>
      <c r="U35" s="233">
        <f t="shared" si="29"/>
        <v>213017.85714285713</v>
      </c>
      <c r="V35" s="234">
        <f t="shared" si="30"/>
        <v>-753.57142857144936</v>
      </c>
      <c r="W35" s="224">
        <f t="shared" si="31"/>
        <v>26.068821428571262</v>
      </c>
      <c r="X35" s="225">
        <f t="shared" si="32"/>
        <v>24.491499999999998</v>
      </c>
      <c r="Y35" s="186">
        <f>+(X35-E35)/E35</f>
        <v>1.6666666666666611E-2</v>
      </c>
    </row>
    <row r="36" spans="3:25" x14ac:dyDescent="0.25">
      <c r="C36" t="s">
        <v>511</v>
      </c>
      <c r="E36" s="194">
        <v>5.59</v>
      </c>
      <c r="F36" s="194">
        <v>0</v>
      </c>
      <c r="G36">
        <f>+E36</f>
        <v>5.59</v>
      </c>
      <c r="H36">
        <f t="shared" si="0"/>
        <v>0</v>
      </c>
      <c r="I36" s="186">
        <f t="shared" si="6"/>
        <v>1</v>
      </c>
      <c r="J36" s="186">
        <f t="shared" si="7"/>
        <v>0</v>
      </c>
      <c r="K36" s="228">
        <v>0.69210000000000005</v>
      </c>
      <c r="L36" s="194">
        <v>2047</v>
      </c>
      <c r="M36" s="205">
        <v>1400</v>
      </c>
      <c r="N36" s="205">
        <v>1250</v>
      </c>
      <c r="O36" s="194">
        <v>750</v>
      </c>
      <c r="P36">
        <v>450</v>
      </c>
      <c r="Q36">
        <v>250</v>
      </c>
      <c r="T36" s="232">
        <f t="shared" si="28"/>
        <v>-62</v>
      </c>
      <c r="U36" s="233">
        <f t="shared" si="29"/>
        <v>126680</v>
      </c>
      <c r="V36" s="234">
        <f t="shared" si="30"/>
        <v>-234</v>
      </c>
      <c r="W36" s="224">
        <f t="shared" si="31"/>
        <v>5.7454650000000003</v>
      </c>
      <c r="X36" s="225">
        <f t="shared" si="32"/>
        <v>5.9425650000000001</v>
      </c>
      <c r="Y36" s="186">
        <f>+(X36-E36)/E36</f>
        <v>6.307066189624333E-2</v>
      </c>
    </row>
    <row r="37" spans="3:25" x14ac:dyDescent="0.25">
      <c r="C37" t="s">
        <v>345</v>
      </c>
      <c r="E37" s="194">
        <v>16.52</v>
      </c>
      <c r="F37" s="194">
        <v>1.91</v>
      </c>
      <c r="G37">
        <f>+E37*98.07%</f>
        <v>16.201163999999999</v>
      </c>
      <c r="H37">
        <f t="shared" si="0"/>
        <v>0.31883600000000101</v>
      </c>
      <c r="I37" s="186">
        <f t="shared" si="6"/>
        <v>0.98069999999999991</v>
      </c>
      <c r="J37" s="186">
        <f t="shared" si="7"/>
        <v>1.930000000000006E-2</v>
      </c>
      <c r="K37" s="228">
        <v>0.73629999999999995</v>
      </c>
      <c r="L37" s="194">
        <v>2060</v>
      </c>
      <c r="M37" s="205">
        <v>4000</v>
      </c>
      <c r="N37" s="205">
        <v>3000</v>
      </c>
      <c r="O37" s="194">
        <v>1800</v>
      </c>
      <c r="P37">
        <v>1250</v>
      </c>
      <c r="Q37">
        <v>1000</v>
      </c>
      <c r="R37">
        <v>750</v>
      </c>
      <c r="T37" s="232">
        <f t="shared" si="28"/>
        <v>-130.28571428571428</v>
      </c>
      <c r="U37" s="233">
        <f t="shared" si="29"/>
        <v>266772.38095238095</v>
      </c>
      <c r="V37" s="234">
        <f t="shared" si="30"/>
        <v>-1616.1904761904734</v>
      </c>
      <c r="W37" s="224">
        <f t="shared" si="31"/>
        <v>17.401809523809543</v>
      </c>
      <c r="X37" s="225">
        <f t="shared" si="32"/>
        <v>14.447047619026899</v>
      </c>
      <c r="Y37" s="186">
        <f>+(X37-E37)/E37</f>
        <v>-0.12548137899352912</v>
      </c>
    </row>
    <row r="38" spans="3:25" x14ac:dyDescent="0.25">
      <c r="C38" t="s">
        <v>512</v>
      </c>
      <c r="E38" s="194">
        <v>90.73</v>
      </c>
      <c r="F38" s="194">
        <v>10.09</v>
      </c>
      <c r="G38">
        <f>+E38*98.15%</f>
        <v>89.051495000000003</v>
      </c>
      <c r="H38">
        <f t="shared" si="0"/>
        <v>1.6785050000000012</v>
      </c>
      <c r="I38" s="186">
        <f t="shared" si="6"/>
        <v>0.98150000000000004</v>
      </c>
      <c r="J38" s="186">
        <f t="shared" si="7"/>
        <v>1.8500000000000013E-2</v>
      </c>
      <c r="K38" s="228">
        <v>0.50829999999999997</v>
      </c>
      <c r="L38" s="194">
        <v>2061</v>
      </c>
      <c r="M38" s="205">
        <v>19000</v>
      </c>
      <c r="N38" s="205">
        <v>16000</v>
      </c>
      <c r="O38" s="194">
        <v>10000</v>
      </c>
      <c r="P38">
        <v>7000</v>
      </c>
      <c r="Q38">
        <v>4500</v>
      </c>
      <c r="R38">
        <v>3000</v>
      </c>
      <c r="S38">
        <v>2000</v>
      </c>
    </row>
    <row r="39" spans="3:25" x14ac:dyDescent="0.25">
      <c r="H39">
        <f t="shared" si="0"/>
        <v>0</v>
      </c>
      <c r="I39" s="186"/>
      <c r="J39" s="186"/>
    </row>
    <row r="40" spans="3:25" x14ac:dyDescent="0.25">
      <c r="C40" t="s">
        <v>519</v>
      </c>
      <c r="E40" s="194" t="s">
        <v>527</v>
      </c>
      <c r="F40" s="194">
        <v>23.75</v>
      </c>
      <c r="G40" t="e">
        <f>+E40*0.74%</f>
        <v>#VALUE!</v>
      </c>
      <c r="H40" t="e">
        <f t="shared" si="0"/>
        <v>#VALUE!</v>
      </c>
      <c r="I40" s="186" t="e">
        <f t="shared" si="6"/>
        <v>#VALUE!</v>
      </c>
      <c r="J40" s="186" t="e">
        <f t="shared" si="7"/>
        <v>#VALUE!</v>
      </c>
      <c r="K40" s="228">
        <v>0.30909999999999999</v>
      </c>
      <c r="L40" s="194">
        <v>2049</v>
      </c>
    </row>
    <row r="41" spans="3:25" x14ac:dyDescent="0.25">
      <c r="C41" t="s">
        <v>520</v>
      </c>
      <c r="E41" s="194">
        <v>6.24</v>
      </c>
      <c r="F41" s="194">
        <v>11.14</v>
      </c>
      <c r="G41">
        <f>+E41*70.26%</f>
        <v>4.3842240000000006</v>
      </c>
      <c r="H41">
        <f t="shared" si="0"/>
        <v>1.8557759999999996</v>
      </c>
      <c r="I41" s="186">
        <f t="shared" si="6"/>
        <v>0.70260000000000011</v>
      </c>
      <c r="J41" s="186">
        <f t="shared" si="7"/>
        <v>0.29739999999999994</v>
      </c>
      <c r="K41" s="228">
        <v>0.77259999999999995</v>
      </c>
      <c r="L41" s="194">
        <v>2041</v>
      </c>
      <c r="M41" s="205">
        <v>3700</v>
      </c>
    </row>
    <row r="42" spans="3:25" x14ac:dyDescent="0.25">
      <c r="C42" t="s">
        <v>521</v>
      </c>
      <c r="E42" s="194">
        <v>18.809999999999999</v>
      </c>
      <c r="F42" s="194">
        <v>112.29</v>
      </c>
      <c r="G42">
        <f>+E42*0.49%</f>
        <v>9.2168999999999987E-2</v>
      </c>
      <c r="H42">
        <f t="shared" si="0"/>
        <v>18.717831</v>
      </c>
      <c r="I42" s="186">
        <f t="shared" si="6"/>
        <v>4.8999999999999998E-3</v>
      </c>
      <c r="J42" s="186">
        <f t="shared" si="7"/>
        <v>0.9951000000000001</v>
      </c>
      <c r="K42" s="228">
        <v>0.29599999999999999</v>
      </c>
      <c r="L42" s="194">
        <v>2042</v>
      </c>
      <c r="M42" s="205">
        <v>4500</v>
      </c>
    </row>
    <row r="43" spans="3:25" x14ac:dyDescent="0.25">
      <c r="C43" t="s">
        <v>522</v>
      </c>
      <c r="E43" s="194">
        <v>9.35</v>
      </c>
      <c r="F43" s="194">
        <v>4.1900000000000004</v>
      </c>
      <c r="G43">
        <f>+E43*92.53%</f>
        <v>8.6515550000000001</v>
      </c>
      <c r="H43">
        <f t="shared" si="0"/>
        <v>0.69844499999999954</v>
      </c>
      <c r="I43" s="186">
        <f t="shared" si="6"/>
        <v>0.92530000000000001</v>
      </c>
      <c r="J43" s="186">
        <f t="shared" si="7"/>
        <v>7.4699999999999947E-2</v>
      </c>
      <c r="K43" s="228">
        <v>0.51980000000000004</v>
      </c>
      <c r="L43" s="194">
        <v>2068</v>
      </c>
      <c r="M43" s="194">
        <v>1800</v>
      </c>
    </row>
    <row r="45" spans="3:25" x14ac:dyDescent="0.25">
      <c r="M45">
        <f>+SUM(M6:M43)</f>
        <v>529280</v>
      </c>
      <c r="N45" t="s">
        <v>528</v>
      </c>
    </row>
    <row r="46" spans="3:25" x14ac:dyDescent="0.25">
      <c r="M46">
        <f>+M45*365</f>
        <v>193187200</v>
      </c>
      <c r="N46" t="s">
        <v>528</v>
      </c>
    </row>
    <row r="47" spans="3:25" x14ac:dyDescent="0.25">
      <c r="C47" t="s">
        <v>513</v>
      </c>
      <c r="E47" s="212">
        <f>+SUM(E5:E38)+E42</f>
        <v>1984.8899999999996</v>
      </c>
      <c r="F47" t="s">
        <v>488</v>
      </c>
      <c r="M47" s="229">
        <f>+M46/1000000</f>
        <v>193.18719999999999</v>
      </c>
      <c r="N47" t="s">
        <v>529</v>
      </c>
    </row>
    <row r="48" spans="3:25" x14ac:dyDescent="0.25">
      <c r="C48" t="s">
        <v>514</v>
      </c>
      <c r="E48">
        <f>+SUM(G5:G38)+G42</f>
        <v>1725.2950059999996</v>
      </c>
      <c r="F48" t="s">
        <v>488</v>
      </c>
      <c r="G48" s="186">
        <f>+E48/E47</f>
        <v>0.86921441792744181</v>
      </c>
      <c r="H48" s="186"/>
      <c r="I48" s="186"/>
      <c r="J48" s="186"/>
      <c r="K48" s="212"/>
      <c r="M48" s="219" t="s">
        <v>530</v>
      </c>
      <c r="N48" s="219" t="s">
        <v>531</v>
      </c>
    </row>
    <row r="49" spans="3:14" x14ac:dyDescent="0.25">
      <c r="C49" t="s">
        <v>517</v>
      </c>
      <c r="E49" s="212">
        <f>+E47-E48</f>
        <v>259.59499400000004</v>
      </c>
      <c r="F49" t="s">
        <v>488</v>
      </c>
      <c r="G49" s="186">
        <f>+E49/E47</f>
        <v>0.13078558207255822</v>
      </c>
      <c r="H49" s="186"/>
      <c r="I49" s="186"/>
      <c r="J49" s="186"/>
      <c r="M49" s="252">
        <f>+M47*M54</f>
        <v>25.114335999999998</v>
      </c>
      <c r="N49" s="253">
        <f>+M47*(100%-M54)</f>
        <v>168.07286399999998</v>
      </c>
    </row>
    <row r="50" spans="3:14" x14ac:dyDescent="0.25">
      <c r="C50" t="s">
        <v>515</v>
      </c>
      <c r="E50" s="212">
        <f>+SUM(F5:F38)</f>
        <v>1635.0453439999999</v>
      </c>
      <c r="F50" t="s">
        <v>516</v>
      </c>
    </row>
    <row r="51" spans="3:14" x14ac:dyDescent="0.25">
      <c r="E51" s="212">
        <f>+E50*(1000000000)</f>
        <v>1635045344000</v>
      </c>
      <c r="F51" t="s">
        <v>526</v>
      </c>
    </row>
    <row r="52" spans="3:14" x14ac:dyDescent="0.25">
      <c r="E52" s="212">
        <f>+(E51/G1)/1000000</f>
        <v>272.62588454016498</v>
      </c>
      <c r="L52" t="s">
        <v>518</v>
      </c>
      <c r="M52" t="s">
        <v>532</v>
      </c>
    </row>
    <row r="53" spans="3:14" x14ac:dyDescent="0.25">
      <c r="L53">
        <v>71</v>
      </c>
      <c r="M53" s="251">
        <v>0.87</v>
      </c>
    </row>
    <row r="54" spans="3:14" x14ac:dyDescent="0.25">
      <c r="E54">
        <f>+E50*1000</f>
        <v>1635045.3439999998</v>
      </c>
      <c r="F54" t="s">
        <v>523</v>
      </c>
      <c r="L54">
        <v>29</v>
      </c>
      <c r="M54" s="251">
        <v>0.13</v>
      </c>
    </row>
    <row r="55" spans="3:14" x14ac:dyDescent="0.25">
      <c r="E55">
        <f>+E54/11</f>
        <v>148640.4858181818</v>
      </c>
      <c r="F55" t="s">
        <v>523</v>
      </c>
    </row>
    <row r="56" spans="3:14" x14ac:dyDescent="0.25">
      <c r="E56">
        <f>+E55/365</f>
        <v>407.234207721046</v>
      </c>
      <c r="F56" t="s">
        <v>523</v>
      </c>
    </row>
    <row r="58" spans="3:14" x14ac:dyDescent="0.25">
      <c r="E58">
        <v>1000</v>
      </c>
      <c r="F58" t="s">
        <v>523</v>
      </c>
    </row>
    <row r="59" spans="3:14" x14ac:dyDescent="0.25">
      <c r="E59">
        <f>+E58*365</f>
        <v>365000</v>
      </c>
    </row>
    <row r="60" spans="3:14" x14ac:dyDescent="0.25">
      <c r="E60" s="229">
        <f>+E54/E59</f>
        <v>4.4795762849315066</v>
      </c>
      <c r="F60" t="s">
        <v>524</v>
      </c>
    </row>
    <row r="61" spans="3:14" x14ac:dyDescent="0.25">
      <c r="E61" s="223"/>
    </row>
  </sheetData>
  <mergeCells count="1">
    <mergeCell ref="W3:X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Gasfield</vt:lpstr>
      <vt:lpstr>Oilfields</vt:lpstr>
      <vt:lpstr>General Oil_Gas_fields</vt:lpstr>
      <vt:lpstr>BD</vt:lpstr>
      <vt:lpstr>Compracion (2)</vt:lpstr>
      <vt:lpstr>Compracion</vt:lpstr>
      <vt:lpstr>GlobalData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2022-11-06T03:01:14Z</dcterms:modified>
</cp:coreProperties>
</file>