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1C788377-6528-4DF2-9736-F976E79FF519}" xr6:coauthVersionLast="47" xr6:coauthVersionMax="47" xr10:uidLastSave="{00000000-0000-0000-0000-000000000000}"/>
  <bookViews>
    <workbookView xWindow="-120" yWindow="-120" windowWidth="29040" windowHeight="15840" firstSheet="3"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Potencial O&amp;G" sheetId="23" r:id="rId10"/>
    <sheet name="5. 2019 O&amp;G" sheetId="22" r:id="rId11"/>
    <sheet name="5, Produccion" sheetId="24" r:id="rId12"/>
  </sheets>
  <externalReferences>
    <externalReference r:id="rId13"/>
    <externalReference r:id="rId14"/>
  </externalReferences>
  <definedNames>
    <definedName name="_xlnm._FilterDatabase" localSheetId="10" hidden="1">'5. 2019 O&amp;G'!$C$12:$W$12</definedName>
    <definedName name="_xlnm._FilterDatabase" localSheetId="9" hidden="1">'5. Potencial O&amp;G'!$B$35:$H$35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85" i="24" l="1"/>
  <c r="I55" i="24"/>
  <c r="V57" i="24"/>
  <c r="J65" i="24" s="1"/>
  <c r="V58" i="24"/>
  <c r="V59" i="24"/>
  <c r="V60" i="24"/>
  <c r="J68" i="24" s="1"/>
  <c r="V56" i="24"/>
  <c r="J64" i="24" s="1"/>
  <c r="V55" i="24"/>
  <c r="Q66" i="24" s="1"/>
  <c r="J63" i="24"/>
  <c r="S55" i="24" a="1"/>
  <c r="S55" i="24" s="1"/>
  <c r="P55" i="24"/>
  <c r="P58" i="24"/>
  <c r="P60" i="24"/>
  <c r="P59" i="24"/>
  <c r="P57" i="24"/>
  <c r="P56" i="24"/>
  <c r="P84" i="24"/>
  <c r="J67" i="24"/>
  <c r="J66" i="24"/>
  <c r="J69" i="24"/>
  <c r="J70" i="24"/>
  <c r="R231" i="24"/>
  <c r="R232" i="24"/>
  <c r="R233" i="24"/>
  <c r="R234" i="24"/>
  <c r="R230" i="24"/>
  <c r="N234" i="24"/>
  <c r="N233" i="24"/>
  <c r="N232" i="24"/>
  <c r="N231" i="24"/>
  <c r="N230" i="24"/>
  <c r="N102" i="24"/>
  <c r="N103" i="24"/>
  <c r="N104" i="24"/>
  <c r="R104" i="24" s="1"/>
  <c r="N105" i="24"/>
  <c r="R105" i="24" s="1"/>
  <c r="N101" i="24"/>
  <c r="R101" i="24" s="1"/>
  <c r="T102" i="24"/>
  <c r="T103" i="24"/>
  <c r="T104" i="24"/>
  <c r="T105" i="24"/>
  <c r="T101" i="24"/>
  <c r="O102" i="24"/>
  <c r="O103" i="24"/>
  <c r="O104" i="24"/>
  <c r="O105" i="24"/>
  <c r="O101" i="24"/>
  <c r="R103" i="24"/>
  <c r="R102" i="24"/>
  <c r="O95" i="24"/>
  <c r="P105" i="24" s="1"/>
  <c r="P234" i="24" s="1"/>
  <c r="O93" i="24"/>
  <c r="P104" i="24" s="1"/>
  <c r="P233" i="24" s="1"/>
  <c r="O91" i="24"/>
  <c r="P103" i="24" s="1"/>
  <c r="O89" i="24"/>
  <c r="P102" i="24" s="1"/>
  <c r="P232" i="24" s="1"/>
  <c r="O87" i="24"/>
  <c r="P101" i="24" s="1"/>
  <c r="P231" i="24" s="1"/>
  <c r="O85" i="24"/>
  <c r="P230" i="24" s="1"/>
  <c r="D86" i="1" a="1"/>
  <c r="D86" i="1" s="1"/>
  <c r="P91" i="24"/>
  <c r="P90" i="24" s="1"/>
  <c r="P93" i="24" l="1"/>
  <c r="P92" i="24" s="1"/>
  <c r="I59" i="24"/>
  <c r="P87" i="24"/>
  <c r="P86" i="24" s="1"/>
  <c r="P95" i="24"/>
  <c r="P94" i="24" s="1"/>
  <c r="P89" i="24"/>
  <c r="P88" i="24" s="1"/>
  <c r="D42" i="24" l="1"/>
  <c r="D41" i="24"/>
  <c r="D43" i="24" l="1"/>
  <c r="I34" i="24"/>
  <c r="O200" i="24" a="1"/>
  <c r="O200" i="24" s="1"/>
  <c r="P177" i="24"/>
  <c r="P179" i="24"/>
  <c r="O183" i="24"/>
  <c r="O181" i="24"/>
  <c r="O179" i="24"/>
  <c r="O177" i="24"/>
  <c r="O175" i="24"/>
  <c r="O173" i="24"/>
  <c r="J34" i="24"/>
  <c r="O156" i="24" s="1"/>
  <c r="N153" i="24" l="1" a="1"/>
  <c r="N153" i="24" s="1"/>
  <c r="N162" i="24" s="1" a="1"/>
  <c r="N162" i="24" s="1"/>
  <c r="N172" i="24" s="1"/>
  <c r="N84" i="4" a="1"/>
  <c r="N84" i="4" s="1"/>
  <c r="K34" i="24" l="1"/>
  <c r="S197" i="24"/>
  <c r="S196" i="24"/>
  <c r="S195" i="24"/>
  <c r="O218" i="24" a="1"/>
  <c r="O218" i="24" s="1"/>
  <c r="O212" i="24" a="1"/>
  <c r="O212" i="24" s="1"/>
  <c r="O206" i="24" a="1"/>
  <c r="O206" i="24" s="1"/>
  <c r="O194" i="24" a="1"/>
  <c r="O194" i="24" s="1"/>
  <c r="O146" i="24"/>
  <c r="O145" i="24"/>
  <c r="O167" i="24" s="1"/>
  <c r="O144" i="24"/>
  <c r="O143" i="24"/>
  <c r="O166" i="24" s="1"/>
  <c r="O142" i="24"/>
  <c r="O141" i="24"/>
  <c r="O140" i="24"/>
  <c r="O164" i="24" s="1"/>
  <c r="O139" i="24"/>
  <c r="O138" i="24"/>
  <c r="O163" i="24" s="1"/>
  <c r="O137" i="24"/>
  <c r="N126" i="24" a="1"/>
  <c r="N126" i="24" s="1"/>
  <c r="N137" i="24" s="1"/>
  <c r="N74" i="4" a="1"/>
  <c r="N74" i="4" s="1"/>
  <c r="P69" i="24"/>
  <c r="P70" i="24"/>
  <c r="P79" i="24"/>
  <c r="P78" i="24"/>
  <c r="O112" i="24" a="1"/>
  <c r="O55" i="24" a="1"/>
  <c r="O55" i="24" s="1"/>
  <c r="O126" i="24" s="1" a="1"/>
  <c r="O126" i="24" s="1"/>
  <c r="D80" i="1" a="1"/>
  <c r="D80" i="1" s="1"/>
  <c r="N55" i="24" a="1"/>
  <c r="N55" i="24" s="1"/>
  <c r="AQ11" i="23"/>
  <c r="AQ10" i="23"/>
  <c r="AQ9" i="23"/>
  <c r="AQ8" i="23"/>
  <c r="AQ7" i="23"/>
  <c r="AQ6" i="23"/>
  <c r="AR6" i="23"/>
  <c r="J25" i="23"/>
  <c r="J24" i="23"/>
  <c r="J23" i="23"/>
  <c r="J22" i="23"/>
  <c r="J21" i="23"/>
  <c r="J20" i="23"/>
  <c r="J19" i="23"/>
  <c r="J18" i="23"/>
  <c r="J17" i="23"/>
  <c r="J16" i="23"/>
  <c r="J15" i="23"/>
  <c r="J14" i="23"/>
  <c r="J13" i="23"/>
  <c r="J12" i="23"/>
  <c r="J11" i="23"/>
  <c r="J10" i="23"/>
  <c r="J9" i="23"/>
  <c r="J8" i="23"/>
  <c r="J7" i="23"/>
  <c r="J6" i="23"/>
  <c r="K9" i="23"/>
  <c r="K6" i="23"/>
  <c r="O162" i="24" l="1"/>
  <c r="O230" i="24"/>
  <c r="O112" i="24"/>
  <c r="S103" i="24"/>
  <c r="S104" i="24"/>
  <c r="S105" i="24"/>
  <c r="S102" i="24"/>
  <c r="S101" i="24"/>
  <c r="N77" i="24"/>
  <c r="N145" i="24"/>
  <c r="N140" i="24"/>
  <c r="N138" i="24"/>
  <c r="N143" i="24"/>
  <c r="N142" i="24"/>
  <c r="N79" i="24"/>
  <c r="N112" i="24" a="1"/>
  <c r="N112" i="24" s="1"/>
  <c r="N66" i="24" a="1"/>
  <c r="N66" i="24" s="1"/>
  <c r="N78" i="24"/>
  <c r="O43" i="24" l="1" a="1"/>
  <c r="N43" i="24" a="1"/>
  <c r="N43" i="24" s="1"/>
  <c r="Y36" i="24"/>
  <c r="P71" i="24" s="1"/>
  <c r="Y33" i="24"/>
  <c r="P68" i="24" s="1"/>
  <c r="Y32" i="24"/>
  <c r="P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Q48" i="24" s="1"/>
  <c r="D13" i="24"/>
  <c r="C13" i="24"/>
  <c r="F12" i="24"/>
  <c r="E12" i="24"/>
  <c r="Q47" i="24" s="1"/>
  <c r="D12" i="24"/>
  <c r="C12" i="24"/>
  <c r="F11" i="24"/>
  <c r="E11" i="24"/>
  <c r="Q46" i="24" s="1"/>
  <c r="D11" i="24"/>
  <c r="C11" i="24"/>
  <c r="D10" i="24"/>
  <c r="C10" i="24"/>
  <c r="D9" i="24"/>
  <c r="C9" i="24"/>
  <c r="F8" i="24"/>
  <c r="E8" i="24"/>
  <c r="D8" i="24"/>
  <c r="C8" i="24"/>
  <c r="F7" i="24"/>
  <c r="E7" i="24"/>
  <c r="D7" i="24"/>
  <c r="C7" i="24"/>
  <c r="F6" i="24"/>
  <c r="E6" i="24"/>
  <c r="D6" i="24"/>
  <c r="F5" i="24"/>
  <c r="F4" i="24"/>
  <c r="E4" i="24"/>
  <c r="P2" i="23"/>
  <c r="M1" i="23"/>
  <c r="M2" i="23" s="1"/>
  <c r="W16" i="23"/>
  <c r="AE56" i="23"/>
  <c r="AI39" i="23"/>
  <c r="S7" i="23" s="1"/>
  <c r="AJ39" i="23"/>
  <c r="T7" i="23" s="1"/>
  <c r="AK39" i="23"/>
  <c r="U7" i="23" s="1"/>
  <c r="AL39" i="23"/>
  <c r="V7" i="23" s="1"/>
  <c r="AM39" i="23"/>
  <c r="W7" i="23" s="1"/>
  <c r="AG40" i="23"/>
  <c r="AH40" i="23"/>
  <c r="AI40" i="23"/>
  <c r="AJ40" i="23"/>
  <c r="AK40" i="23"/>
  <c r="AL40" i="23"/>
  <c r="AM40" i="23"/>
  <c r="W19" i="23" s="1"/>
  <c r="AH42" i="23"/>
  <c r="AI42" i="23"/>
  <c r="AJ42" i="23"/>
  <c r="AK42" i="23"/>
  <c r="AL42" i="23"/>
  <c r="AM42" i="23"/>
  <c r="AJ43" i="23"/>
  <c r="AK43" i="23"/>
  <c r="AL43" i="23"/>
  <c r="AM43" i="23"/>
  <c r="AI45" i="23"/>
  <c r="AJ45" i="23"/>
  <c r="AK45" i="23"/>
  <c r="AL45" i="23"/>
  <c r="AM45" i="23"/>
  <c r="AK46" i="23"/>
  <c r="AL46" i="23"/>
  <c r="AM46" i="23"/>
  <c r="AD47" i="23"/>
  <c r="N6" i="23" s="1"/>
  <c r="AE47" i="23"/>
  <c r="O6" i="23" s="1"/>
  <c r="AF47" i="23"/>
  <c r="P6" i="23" s="1"/>
  <c r="AG47" i="23"/>
  <c r="Q6" i="23" s="1"/>
  <c r="AH47" i="23"/>
  <c r="R6" i="23" s="1"/>
  <c r="AI47" i="23"/>
  <c r="S6" i="23" s="1"/>
  <c r="AJ47" i="23"/>
  <c r="T6" i="23" s="1"/>
  <c r="AK47" i="23"/>
  <c r="U6" i="23" s="1"/>
  <c r="AL47" i="23"/>
  <c r="V6" i="23" s="1"/>
  <c r="AM47" i="23"/>
  <c r="W6" i="23" s="1"/>
  <c r="AG48" i="23"/>
  <c r="AH48" i="23"/>
  <c r="AI48" i="23"/>
  <c r="AJ48" i="23"/>
  <c r="AK48" i="23"/>
  <c r="AL48" i="23"/>
  <c r="AM48" i="23"/>
  <c r="AM49" i="23"/>
  <c r="AC51" i="23"/>
  <c r="AD51" i="23"/>
  <c r="AE51" i="23"/>
  <c r="AF51" i="23"/>
  <c r="AG51" i="23"/>
  <c r="AH51" i="23"/>
  <c r="AI51" i="23"/>
  <c r="AJ51" i="23"/>
  <c r="AK51" i="23"/>
  <c r="AL51" i="23"/>
  <c r="AM51" i="23"/>
  <c r="AC52" i="23"/>
  <c r="AD52" i="23"/>
  <c r="AE52" i="23"/>
  <c r="AF52" i="23"/>
  <c r="AG52" i="23"/>
  <c r="AH52" i="23"/>
  <c r="AI52" i="23"/>
  <c r="AJ52" i="23"/>
  <c r="AK52" i="23"/>
  <c r="AL52" i="23"/>
  <c r="AM52" i="23"/>
  <c r="AF53" i="23"/>
  <c r="AG53" i="23"/>
  <c r="AH53" i="23"/>
  <c r="AI53" i="23"/>
  <c r="AJ53" i="23"/>
  <c r="AK53" i="23"/>
  <c r="AL53" i="23"/>
  <c r="AM53" i="23"/>
  <c r="AI55" i="23"/>
  <c r="AJ55" i="23"/>
  <c r="AK55" i="23"/>
  <c r="AL55" i="23"/>
  <c r="AM55" i="23"/>
  <c r="AF56" i="23"/>
  <c r="AG56" i="23"/>
  <c r="AH56" i="23"/>
  <c r="AI56" i="23"/>
  <c r="AJ56" i="23"/>
  <c r="AK56" i="23"/>
  <c r="AL56" i="23"/>
  <c r="AM56" i="23"/>
  <c r="AE58" i="23"/>
  <c r="O8" i="23" s="1"/>
  <c r="AF58" i="23"/>
  <c r="P8" i="23" s="1"/>
  <c r="AG58" i="23"/>
  <c r="Q8" i="23" s="1"/>
  <c r="AH58" i="23"/>
  <c r="R8" i="23" s="1"/>
  <c r="AI58" i="23"/>
  <c r="S8" i="23" s="1"/>
  <c r="AJ58" i="23"/>
  <c r="T8" i="23" s="1"/>
  <c r="AK58" i="23"/>
  <c r="U8" i="23" s="1"/>
  <c r="AL58" i="23"/>
  <c r="V8" i="23" s="1"/>
  <c r="AM58" i="23"/>
  <c r="W8" i="23" s="1"/>
  <c r="AJ59" i="23"/>
  <c r="AK59" i="23"/>
  <c r="AL59" i="23"/>
  <c r="AM59" i="23"/>
  <c r="AJ60" i="23"/>
  <c r="T22" i="23" s="1"/>
  <c r="AK60" i="23"/>
  <c r="U22" i="23" s="1"/>
  <c r="AL60" i="23"/>
  <c r="V22" i="23" s="1"/>
  <c r="AM60" i="23"/>
  <c r="W22" i="23" s="1"/>
  <c r="AK61" i="23"/>
  <c r="U18" i="23" s="1"/>
  <c r="AL61" i="23"/>
  <c r="V18" i="23" s="1"/>
  <c r="AM61" i="23"/>
  <c r="W18" i="23" s="1"/>
  <c r="AJ62" i="23"/>
  <c r="AK62" i="23"/>
  <c r="AL62" i="23"/>
  <c r="AM62" i="23"/>
  <c r="AF63" i="23"/>
  <c r="AG63" i="23"/>
  <c r="AH63" i="23"/>
  <c r="AI63" i="23"/>
  <c r="AJ63" i="23"/>
  <c r="AK63" i="23"/>
  <c r="AL63" i="23"/>
  <c r="AM63" i="23"/>
  <c r="AH64" i="23"/>
  <c r="R13" i="23" s="1"/>
  <c r="AI64" i="23"/>
  <c r="S13" i="23" s="1"/>
  <c r="AJ64" i="23"/>
  <c r="T13" i="23" s="1"/>
  <c r="AK64" i="23"/>
  <c r="U13" i="23" s="1"/>
  <c r="AL64" i="23"/>
  <c r="V13" i="23" s="1"/>
  <c r="AM64" i="23"/>
  <c r="W13" i="23" s="1"/>
  <c r="AL66" i="23"/>
  <c r="V20" i="23" s="1"/>
  <c r="AM66" i="23"/>
  <c r="W20" i="23" s="1"/>
  <c r="AE37" i="23"/>
  <c r="AF37" i="23"/>
  <c r="AG37" i="23"/>
  <c r="AH37" i="23"/>
  <c r="AI37" i="23"/>
  <c r="AJ37" i="23"/>
  <c r="AK37" i="23"/>
  <c r="AL37" i="23"/>
  <c r="AM37" i="23"/>
  <c r="AJ38" i="23"/>
  <c r="AK38" i="23"/>
  <c r="AL38" i="23"/>
  <c r="AM38" i="23"/>
  <c r="AM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36" i="23"/>
  <c r="O43" i="24" l="1"/>
  <c r="O84" i="24" s="1"/>
  <c r="O92" i="24"/>
  <c r="O86" i="24"/>
  <c r="O90" i="24"/>
  <c r="O94" i="24"/>
  <c r="O88" i="24"/>
  <c r="I33" i="24"/>
  <c r="I35" i="24"/>
  <c r="I32" i="24"/>
  <c r="I31" i="24"/>
  <c r="I36" i="24"/>
  <c r="J31" i="24"/>
  <c r="J35" i="24"/>
  <c r="J32" i="24"/>
  <c r="O154" i="24" s="1"/>
  <c r="J36" i="24"/>
  <c r="O158" i="24" s="1"/>
  <c r="J33" i="24"/>
  <c r="O155" i="24" s="1"/>
  <c r="K31" i="24"/>
  <c r="K36" i="24"/>
  <c r="K32" i="24"/>
  <c r="K35" i="24"/>
  <c r="K33" i="24"/>
  <c r="E9" i="24"/>
  <c r="Q43" i="24"/>
  <c r="Q33" i="24"/>
  <c r="Q34" i="24"/>
  <c r="L34" i="24"/>
  <c r="L35" i="24"/>
  <c r="L33" i="24"/>
  <c r="L36" i="24"/>
  <c r="L32" i="24"/>
  <c r="L31" i="24"/>
  <c r="P77" i="24"/>
  <c r="P66" i="24"/>
  <c r="Q31" i="24"/>
  <c r="Q35" i="24"/>
  <c r="F9" i="24"/>
  <c r="Q32" i="24"/>
  <c r="Q36" i="24"/>
  <c r="W11" i="23"/>
  <c r="W17" i="23"/>
  <c r="T10" i="23"/>
  <c r="P10" i="23"/>
  <c r="T11" i="23"/>
  <c r="V17" i="23"/>
  <c r="W10" i="23"/>
  <c r="S10" i="23"/>
  <c r="O10" i="23"/>
  <c r="W15" i="23"/>
  <c r="V10" i="23"/>
  <c r="R10" i="23"/>
  <c r="N10" i="23"/>
  <c r="V15" i="23"/>
  <c r="T17" i="23"/>
  <c r="U11" i="23"/>
  <c r="U10" i="23"/>
  <c r="Q10" i="23"/>
  <c r="M10" i="23"/>
  <c r="U15" i="23"/>
  <c r="V11" i="23"/>
  <c r="U17" i="23"/>
  <c r="I38" i="24" l="1"/>
  <c r="I39" i="24" s="1"/>
  <c r="I42" i="24" s="1"/>
  <c r="I41" i="24"/>
  <c r="P174" i="24"/>
  <c r="P175" i="24" s="1"/>
  <c r="P182" i="24"/>
  <c r="P183" i="24" s="1"/>
  <c r="O157" i="24"/>
  <c r="P180" i="24"/>
  <c r="P181" i="24" s="1"/>
  <c r="E10" i="24"/>
  <c r="Q45" i="24" s="1"/>
  <c r="Q44" i="24"/>
  <c r="P172" i="24"/>
  <c r="P173" i="24" s="1"/>
  <c r="O153" i="24"/>
  <c r="F10" i="24"/>
  <c r="W38" i="23" l="1"/>
  <c r="W37" i="23"/>
  <c r="W36" i="23"/>
  <c r="AB36" i="23" l="1"/>
  <c r="L16" i="23" s="1"/>
  <c r="Z16" i="23" s="1"/>
  <c r="AF36" i="23"/>
  <c r="P16" i="23" s="1"/>
  <c r="AD16" i="23" s="1"/>
  <c r="AJ36" i="23"/>
  <c r="T16" i="23" s="1"/>
  <c r="AH16" i="23" s="1"/>
  <c r="AA36" i="23"/>
  <c r="K16" i="23" s="1"/>
  <c r="AC36" i="23"/>
  <c r="M16" i="23" s="1"/>
  <c r="AA16" i="23" s="1"/>
  <c r="AG36" i="23"/>
  <c r="Q16" i="23" s="1"/>
  <c r="AE16" i="23" s="1"/>
  <c r="AK36" i="23"/>
  <c r="U16" i="23" s="1"/>
  <c r="AI16" i="23" s="1"/>
  <c r="AI36" i="23"/>
  <c r="S16" i="23" s="1"/>
  <c r="AG16" i="23" s="1"/>
  <c r="AD36" i="23"/>
  <c r="N16" i="23" s="1"/>
  <c r="AB16" i="23" s="1"/>
  <c r="AL36" i="23"/>
  <c r="V16" i="23" s="1"/>
  <c r="AJ16" i="23" s="1"/>
  <c r="AE36" i="23"/>
  <c r="O16" i="23" s="1"/>
  <c r="AC16" i="23" s="1"/>
  <c r="AH36" i="23"/>
  <c r="R16" i="23" s="1"/>
  <c r="AF16" i="23" s="1"/>
  <c r="AC37" i="23"/>
  <c r="AD37" i="23"/>
  <c r="AA37" i="23"/>
  <c r="AB37" i="23"/>
  <c r="L17" i="23" s="1"/>
  <c r="Z17" i="23" s="1"/>
  <c r="AB38" i="23"/>
  <c r="AF38" i="23"/>
  <c r="P17" i="23" s="1"/>
  <c r="AD17" i="23" s="1"/>
  <c r="AC38" i="23"/>
  <c r="AG38" i="23"/>
  <c r="Q17" i="23" s="1"/>
  <c r="AE17" i="23" s="1"/>
  <c r="AA38" i="23"/>
  <c r="AI38" i="23"/>
  <c r="S17" i="23" s="1"/>
  <c r="AG17" i="23" s="1"/>
  <c r="AD38" i="23"/>
  <c r="AE38" i="23"/>
  <c r="O17" i="23" s="1"/>
  <c r="AC17" i="23" s="1"/>
  <c r="AH38" i="23"/>
  <c r="R17" i="23" s="1"/>
  <c r="AF17" i="23" s="1"/>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X16" i="23" l="1"/>
  <c r="Y16" i="23"/>
  <c r="AL16" i="23" s="1"/>
  <c r="K17" i="23"/>
  <c r="Y17" i="23" s="1"/>
  <c r="N17" i="23"/>
  <c r="AB17" i="23" s="1"/>
  <c r="AA62" i="23"/>
  <c r="AE62" i="23"/>
  <c r="S11" i="23"/>
  <c r="AG11" i="23" s="1"/>
  <c r="AB62" i="23"/>
  <c r="AF62" i="23"/>
  <c r="P11" i="23" s="1"/>
  <c r="AD11" i="23" s="1"/>
  <c r="AC62" i="23"/>
  <c r="AG62" i="23"/>
  <c r="Q11" i="23" s="1"/>
  <c r="AE11" i="23" s="1"/>
  <c r="AH62" i="23"/>
  <c r="R11" i="23" s="1"/>
  <c r="AF11" i="23" s="1"/>
  <c r="AD62" i="23"/>
  <c r="M17" i="23"/>
  <c r="AC65" i="23"/>
  <c r="M24" i="23" s="1"/>
  <c r="AA24" i="23" s="1"/>
  <c r="AG65" i="23"/>
  <c r="Q24" i="23" s="1"/>
  <c r="AE24" i="23" s="1"/>
  <c r="AK65" i="23"/>
  <c r="U24" i="23" s="1"/>
  <c r="AI24" i="23" s="1"/>
  <c r="AD65" i="23"/>
  <c r="N24" i="23" s="1"/>
  <c r="AB24" i="23" s="1"/>
  <c r="AH65" i="23"/>
  <c r="R24" i="23" s="1"/>
  <c r="AF24" i="23" s="1"/>
  <c r="AL65" i="23"/>
  <c r="V24" i="23" s="1"/>
  <c r="AJ24" i="23" s="1"/>
  <c r="AB65" i="23"/>
  <c r="L24" i="23" s="1"/>
  <c r="Z24" i="23" s="1"/>
  <c r="AJ65" i="23"/>
  <c r="T24" i="23" s="1"/>
  <c r="AH24" i="23" s="1"/>
  <c r="AE65" i="23"/>
  <c r="O24" i="23" s="1"/>
  <c r="AC24" i="23" s="1"/>
  <c r="AM65" i="23"/>
  <c r="W24" i="23" s="1"/>
  <c r="AK24" i="23" s="1"/>
  <c r="AF65" i="23"/>
  <c r="P24" i="23" s="1"/>
  <c r="AD24" i="23" s="1"/>
  <c r="AA65" i="23"/>
  <c r="K24" i="23" s="1"/>
  <c r="Y24" i="23" s="1"/>
  <c r="AI65" i="23"/>
  <c r="S24" i="23" s="1"/>
  <c r="AG24" i="23" s="1"/>
  <c r="AC61" i="23"/>
  <c r="M18" i="23" s="1"/>
  <c r="AA18" i="23" s="1"/>
  <c r="AT9" i="23" s="1"/>
  <c r="AG61" i="23"/>
  <c r="Q18" i="23" s="1"/>
  <c r="AE18" i="23" s="1"/>
  <c r="AX9" i="23" s="1"/>
  <c r="AD61" i="23"/>
  <c r="N18" i="23" s="1"/>
  <c r="AB18" i="23" s="1"/>
  <c r="AU9" i="23" s="1"/>
  <c r="AH61" i="23"/>
  <c r="R18" i="23" s="1"/>
  <c r="AF18" i="23" s="1"/>
  <c r="AY9" i="23" s="1"/>
  <c r="AF61" i="23"/>
  <c r="P18" i="23" s="1"/>
  <c r="AD18" i="23" s="1"/>
  <c r="AW9" i="23" s="1"/>
  <c r="AA61" i="23"/>
  <c r="K18" i="23" s="1"/>
  <c r="Y18" i="23" s="1"/>
  <c r="AI61" i="23"/>
  <c r="S18" i="23" s="1"/>
  <c r="AG18" i="23" s="1"/>
  <c r="AZ9" i="23" s="1"/>
  <c r="AB61" i="23"/>
  <c r="L18" i="23" s="1"/>
  <c r="Z18" i="23" s="1"/>
  <c r="AS9" i="23" s="1"/>
  <c r="AJ61" i="23"/>
  <c r="T18" i="23" s="1"/>
  <c r="AH18" i="23" s="1"/>
  <c r="AE61" i="23"/>
  <c r="O18" i="23" s="1"/>
  <c r="AC18" i="23" s="1"/>
  <c r="AV9" i="23" s="1"/>
  <c r="AC57" i="23"/>
  <c r="AG57" i="23"/>
  <c r="Q12" i="23" s="1"/>
  <c r="AE12" i="23" s="1"/>
  <c r="AK57" i="23"/>
  <c r="U12" i="23" s="1"/>
  <c r="AI12" i="23" s="1"/>
  <c r="AD57" i="23"/>
  <c r="AH57" i="23"/>
  <c r="R12" i="23" s="1"/>
  <c r="AF12" i="23" s="1"/>
  <c r="AL57" i="23"/>
  <c r="V12" i="23" s="1"/>
  <c r="AJ12" i="23" s="1"/>
  <c r="AB57" i="23"/>
  <c r="AJ57" i="23"/>
  <c r="T12" i="23" s="1"/>
  <c r="AH12" i="23" s="1"/>
  <c r="AE57" i="23"/>
  <c r="O12" i="23" s="1"/>
  <c r="AC12" i="23" s="1"/>
  <c r="AM57" i="23"/>
  <c r="W12" i="23" s="1"/>
  <c r="AK12" i="23" s="1"/>
  <c r="AF57" i="23"/>
  <c r="P12" i="23" s="1"/>
  <c r="AD12" i="23" s="1"/>
  <c r="AA57" i="23"/>
  <c r="AI57" i="23"/>
  <c r="S12" i="23" s="1"/>
  <c r="AG12" i="23" s="1"/>
  <c r="AA53" i="23"/>
  <c r="AE53" i="23"/>
  <c r="AC53" i="23"/>
  <c r="AB53" i="23"/>
  <c r="AD53" i="23"/>
  <c r="AA49" i="23"/>
  <c r="AE49" i="23"/>
  <c r="AI49" i="23"/>
  <c r="AC49" i="23"/>
  <c r="AK49" i="23"/>
  <c r="AB49" i="23"/>
  <c r="AF49" i="23"/>
  <c r="AJ49" i="23"/>
  <c r="AG49" i="23"/>
  <c r="AD49" i="23"/>
  <c r="AH49" i="23"/>
  <c r="AA45" i="23"/>
  <c r="AE45" i="23"/>
  <c r="AC45" i="23"/>
  <c r="AB45" i="23"/>
  <c r="AF45" i="23"/>
  <c r="AG45" i="23"/>
  <c r="AD45" i="23"/>
  <c r="AH45" i="23"/>
  <c r="AA41" i="23"/>
  <c r="AE41" i="23"/>
  <c r="AI41" i="23"/>
  <c r="S19" i="23" s="1"/>
  <c r="AG19" i="23" s="1"/>
  <c r="AZ10" i="23" s="1"/>
  <c r="AG41" i="23"/>
  <c r="Q19" i="23" s="1"/>
  <c r="AE19" i="23" s="1"/>
  <c r="AB41" i="23"/>
  <c r="AF41" i="23"/>
  <c r="AJ41" i="23"/>
  <c r="T19" i="23" s="1"/>
  <c r="AH19" i="23" s="1"/>
  <c r="BA10" i="23" s="1"/>
  <c r="AC41" i="23"/>
  <c r="AK41" i="23"/>
  <c r="U19" i="23" s="1"/>
  <c r="AI19" i="23" s="1"/>
  <c r="AD41" i="23"/>
  <c r="N19" i="23" s="1"/>
  <c r="AB19" i="23" s="1"/>
  <c r="AH41" i="23"/>
  <c r="R19" i="23" s="1"/>
  <c r="AF19" i="23" s="1"/>
  <c r="AL41" i="23"/>
  <c r="V19" i="23" s="1"/>
  <c r="AJ19" i="23" s="1"/>
  <c r="AD68" i="23"/>
  <c r="N21" i="23" s="1"/>
  <c r="AB21" i="23" s="1"/>
  <c r="AH68" i="23"/>
  <c r="R21" i="23" s="1"/>
  <c r="AF21" i="23" s="1"/>
  <c r="AL68" i="23"/>
  <c r="V21" i="23" s="1"/>
  <c r="AJ21" i="23" s="1"/>
  <c r="AA68" i="23"/>
  <c r="K21" i="23" s="1"/>
  <c r="Y21" i="23" s="1"/>
  <c r="AE68" i="23"/>
  <c r="O21" i="23" s="1"/>
  <c r="AC21" i="23" s="1"/>
  <c r="AI68" i="23"/>
  <c r="S21" i="23" s="1"/>
  <c r="AG21" i="23" s="1"/>
  <c r="AM68" i="23"/>
  <c r="W21" i="23" s="1"/>
  <c r="AK21" i="23" s="1"/>
  <c r="AC68" i="23"/>
  <c r="M21" i="23" s="1"/>
  <c r="AA21" i="23" s="1"/>
  <c r="AK68" i="23"/>
  <c r="U21" i="23" s="1"/>
  <c r="AI21" i="23" s="1"/>
  <c r="AF68" i="23"/>
  <c r="P21" i="23" s="1"/>
  <c r="AD21" i="23" s="1"/>
  <c r="AG68" i="23"/>
  <c r="Q21" i="23" s="1"/>
  <c r="AE21" i="23" s="1"/>
  <c r="AB68" i="23"/>
  <c r="L21" i="23" s="1"/>
  <c r="Z21" i="23" s="1"/>
  <c r="AJ68" i="23"/>
  <c r="T21" i="23" s="1"/>
  <c r="AH21" i="23" s="1"/>
  <c r="AD64" i="23"/>
  <c r="N13" i="23" s="1"/>
  <c r="AB13" i="23" s="1"/>
  <c r="AA64" i="23"/>
  <c r="K13" i="23" s="1"/>
  <c r="Y13" i="23" s="1"/>
  <c r="AE64" i="23"/>
  <c r="O13" i="23" s="1"/>
  <c r="AC13" i="23" s="1"/>
  <c r="AG64" i="23"/>
  <c r="Q13" i="23" s="1"/>
  <c r="AE13" i="23" s="1"/>
  <c r="AB64" i="23"/>
  <c r="L13" i="23" s="1"/>
  <c r="Z13" i="23" s="1"/>
  <c r="AC64" i="23"/>
  <c r="M13" i="23" s="1"/>
  <c r="AA13" i="23" s="1"/>
  <c r="AF64" i="23"/>
  <c r="P13" i="23" s="1"/>
  <c r="AD13" i="23" s="1"/>
  <c r="AD60" i="23"/>
  <c r="AH60" i="23"/>
  <c r="AA60" i="23"/>
  <c r="AE60" i="23"/>
  <c r="AG60" i="23"/>
  <c r="AB60" i="23"/>
  <c r="AC60" i="23"/>
  <c r="AF60" i="23"/>
  <c r="AC56" i="23"/>
  <c r="M12" i="23" s="1"/>
  <c r="AA12" i="23" s="1"/>
  <c r="AB56" i="23"/>
  <c r="L12" i="23" s="1"/>
  <c r="Z12" i="23" s="1"/>
  <c r="AD56" i="23"/>
  <c r="AA56" i="23"/>
  <c r="AB52" i="23"/>
  <c r="AA52" i="23"/>
  <c r="AB48" i="23"/>
  <c r="AF48" i="23"/>
  <c r="AC48" i="23"/>
  <c r="AD48" i="23"/>
  <c r="AA48" i="23"/>
  <c r="AE48" i="23"/>
  <c r="AB44" i="23"/>
  <c r="AF44" i="23"/>
  <c r="AJ44" i="23"/>
  <c r="T14" i="23" s="1"/>
  <c r="AH14" i="23" s="1"/>
  <c r="BA8" i="23" s="1"/>
  <c r="AH44" i="23"/>
  <c r="AC44" i="23"/>
  <c r="AG44" i="23"/>
  <c r="AK44" i="23"/>
  <c r="U14" i="23" s="1"/>
  <c r="AI14" i="23" s="1"/>
  <c r="BB8" i="23" s="1"/>
  <c r="AD44" i="23"/>
  <c r="AL44" i="23"/>
  <c r="V14" i="23" s="1"/>
  <c r="AJ14" i="23" s="1"/>
  <c r="BC8" i="23" s="1"/>
  <c r="AI44" i="23"/>
  <c r="AM44" i="23"/>
  <c r="W14" i="23" s="1"/>
  <c r="AK14" i="23" s="1"/>
  <c r="BD8" i="23" s="1"/>
  <c r="AA44" i="23"/>
  <c r="AE44" i="23"/>
  <c r="AB40" i="23"/>
  <c r="AF40" i="23"/>
  <c r="AD40" i="23"/>
  <c r="AC40" i="23"/>
  <c r="AA40" i="23"/>
  <c r="AE40" i="23"/>
  <c r="AA67" i="23"/>
  <c r="K25" i="23" s="1"/>
  <c r="Y25" i="23" s="1"/>
  <c r="AE67" i="23"/>
  <c r="O25" i="23" s="1"/>
  <c r="AC25" i="23" s="1"/>
  <c r="AI67" i="23"/>
  <c r="S25" i="23" s="1"/>
  <c r="AG25" i="23" s="1"/>
  <c r="AM67" i="23"/>
  <c r="W25" i="23" s="1"/>
  <c r="AK25" i="23" s="1"/>
  <c r="AB67" i="23"/>
  <c r="L25" i="23" s="1"/>
  <c r="Z25" i="23" s="1"/>
  <c r="AF67" i="23"/>
  <c r="P25" i="23" s="1"/>
  <c r="AD25" i="23" s="1"/>
  <c r="AJ67" i="23"/>
  <c r="T25" i="23" s="1"/>
  <c r="AH25" i="23" s="1"/>
  <c r="AH67" i="23"/>
  <c r="R25" i="23" s="1"/>
  <c r="AF25" i="23" s="1"/>
  <c r="AC67" i="23"/>
  <c r="M25" i="23" s="1"/>
  <c r="AA25" i="23" s="1"/>
  <c r="AK67" i="23"/>
  <c r="U25" i="23" s="1"/>
  <c r="AI25" i="23" s="1"/>
  <c r="AD67" i="23"/>
  <c r="N25" i="23" s="1"/>
  <c r="AB25" i="23" s="1"/>
  <c r="AL67" i="23"/>
  <c r="V25" i="23" s="1"/>
  <c r="AJ25" i="23" s="1"/>
  <c r="AG67" i="23"/>
  <c r="Q25" i="23" s="1"/>
  <c r="AE25" i="23" s="1"/>
  <c r="AA63" i="23"/>
  <c r="AE63" i="23"/>
  <c r="AB63" i="23"/>
  <c r="AD63" i="23"/>
  <c r="AC63" i="23"/>
  <c r="AA59" i="23"/>
  <c r="AE59" i="23"/>
  <c r="AB59" i="23"/>
  <c r="AF59" i="23"/>
  <c r="AH59" i="23"/>
  <c r="AC59" i="23"/>
  <c r="AD59" i="23"/>
  <c r="AG59" i="23"/>
  <c r="AC55" i="23"/>
  <c r="AG55" i="23"/>
  <c r="AD55" i="23"/>
  <c r="AH55" i="23"/>
  <c r="AF55" i="23"/>
  <c r="AA55" i="23"/>
  <c r="AB55" i="23"/>
  <c r="AE55" i="23"/>
  <c r="AA51" i="23"/>
  <c r="AB51" i="23"/>
  <c r="AC47" i="23"/>
  <c r="M6" i="23" s="1"/>
  <c r="AA6" i="23" s="1"/>
  <c r="AA47" i="23"/>
  <c r="Y6" i="23" s="1"/>
  <c r="AB47" i="23"/>
  <c r="L6" i="23" s="1"/>
  <c r="Z6" i="23" s="1"/>
  <c r="AC43" i="23"/>
  <c r="AG43" i="23"/>
  <c r="AE43" i="23"/>
  <c r="AD43" i="23"/>
  <c r="AH43" i="23"/>
  <c r="R14" i="23" s="1"/>
  <c r="AF14" i="23" s="1"/>
  <c r="AA43" i="23"/>
  <c r="AI43" i="23"/>
  <c r="AB43" i="23"/>
  <c r="AF43" i="23"/>
  <c r="AC39" i="23"/>
  <c r="M7" i="23" s="1"/>
  <c r="AA7" i="23" s="1"/>
  <c r="AG39" i="23"/>
  <c r="Q7" i="23" s="1"/>
  <c r="AE7" i="23" s="1"/>
  <c r="AX6" i="23" s="1"/>
  <c r="AE39" i="23"/>
  <c r="O7" i="23" s="1"/>
  <c r="AC7" i="23" s="1"/>
  <c r="AV6" i="23" s="1"/>
  <c r="AD39" i="23"/>
  <c r="N7" i="23" s="1"/>
  <c r="AB7" i="23" s="1"/>
  <c r="AU6" i="23" s="1"/>
  <c r="AH39" i="23"/>
  <c r="R7" i="23" s="1"/>
  <c r="AF7" i="23" s="1"/>
  <c r="AY6" i="23" s="1"/>
  <c r="AA39" i="23"/>
  <c r="K7" i="23" s="1"/>
  <c r="Y7" i="23" s="1"/>
  <c r="AB39" i="23"/>
  <c r="L7" i="23" s="1"/>
  <c r="Z7" i="23" s="1"/>
  <c r="AF39" i="23"/>
  <c r="P7" i="23" s="1"/>
  <c r="AD7" i="23" s="1"/>
  <c r="AW6" i="23" s="1"/>
  <c r="AB66" i="23"/>
  <c r="L20" i="23" s="1"/>
  <c r="Z20" i="23" s="1"/>
  <c r="AF66" i="23"/>
  <c r="P20" i="23" s="1"/>
  <c r="AD20" i="23" s="1"/>
  <c r="AJ66" i="23"/>
  <c r="T20" i="23" s="1"/>
  <c r="AH20" i="23" s="1"/>
  <c r="AC66" i="23"/>
  <c r="M20" i="23" s="1"/>
  <c r="AA20" i="23" s="1"/>
  <c r="AG66" i="23"/>
  <c r="Q20" i="23" s="1"/>
  <c r="AE20" i="23" s="1"/>
  <c r="AK66" i="23"/>
  <c r="U20" i="23" s="1"/>
  <c r="AI20" i="23" s="1"/>
  <c r="AE66" i="23"/>
  <c r="O20" i="23" s="1"/>
  <c r="AC20" i="23" s="1"/>
  <c r="AH66" i="23"/>
  <c r="R20" i="23" s="1"/>
  <c r="AF20" i="23" s="1"/>
  <c r="AA66" i="23"/>
  <c r="K20" i="23" s="1"/>
  <c r="Y20" i="23" s="1"/>
  <c r="AI66" i="23"/>
  <c r="S20" i="23" s="1"/>
  <c r="AG20" i="23" s="1"/>
  <c r="AD66" i="23"/>
  <c r="N20" i="23" s="1"/>
  <c r="AB20" i="23" s="1"/>
  <c r="AB58" i="23"/>
  <c r="L8" i="23" s="1"/>
  <c r="Z8" i="23" s="1"/>
  <c r="AC58" i="23"/>
  <c r="M8" i="23" s="1"/>
  <c r="AA8" i="23" s="1"/>
  <c r="AA58" i="23"/>
  <c r="K8" i="23" s="1"/>
  <c r="Y8" i="23" s="1"/>
  <c r="N8" i="23"/>
  <c r="AD54" i="23"/>
  <c r="AH54" i="23"/>
  <c r="V23" i="23"/>
  <c r="AF54" i="23"/>
  <c r="P23" i="23" s="1"/>
  <c r="AD23" i="23" s="1"/>
  <c r="AW11" i="23" s="1"/>
  <c r="AA54" i="23"/>
  <c r="AE54" i="23"/>
  <c r="AI54" i="23"/>
  <c r="S23" i="23" s="1"/>
  <c r="AG23" i="23" s="1"/>
  <c r="AZ11" i="23" s="1"/>
  <c r="W23" i="23"/>
  <c r="AB54" i="23"/>
  <c r="AJ54" i="23"/>
  <c r="T23" i="23" s="1"/>
  <c r="AH23" i="23" s="1"/>
  <c r="BA11" i="23" s="1"/>
  <c r="AK54" i="23"/>
  <c r="U23" i="23" s="1"/>
  <c r="AC54" i="23"/>
  <c r="AG54" i="23"/>
  <c r="Q23" i="23" s="1"/>
  <c r="AE23" i="23" s="1"/>
  <c r="AX11" i="23" s="1"/>
  <c r="AD50" i="23"/>
  <c r="AH50" i="23"/>
  <c r="AL50" i="23"/>
  <c r="AF50" i="23"/>
  <c r="AA50" i="23"/>
  <c r="AE50" i="23"/>
  <c r="AI50" i="23"/>
  <c r="AM50" i="23"/>
  <c r="W9" i="23" s="1"/>
  <c r="AK9" i="23" s="1"/>
  <c r="BD7" i="23" s="1"/>
  <c r="AB50" i="23"/>
  <c r="AJ50" i="23"/>
  <c r="AK50" i="23"/>
  <c r="AC50" i="23"/>
  <c r="AG50" i="23"/>
  <c r="AD46" i="23"/>
  <c r="AH46" i="23"/>
  <c r="AF46" i="23"/>
  <c r="AJ46" i="23"/>
  <c r="T15" i="23" s="1"/>
  <c r="AH15" i="23" s="1"/>
  <c r="AA46" i="23"/>
  <c r="AE46" i="23"/>
  <c r="AI46" i="23"/>
  <c r="S15" i="23" s="1"/>
  <c r="AG15" i="23" s="1"/>
  <c r="AB46" i="23"/>
  <c r="AC46" i="23"/>
  <c r="AG46" i="23"/>
  <c r="AD42" i="23"/>
  <c r="AB42" i="23"/>
  <c r="AA42" i="23"/>
  <c r="AE42" i="23"/>
  <c r="AF42" i="23"/>
  <c r="AC42" i="23"/>
  <c r="AG42" i="23"/>
  <c r="J43" i="22"/>
  <c r="AS6" i="23" l="1"/>
  <c r="R22" i="23"/>
  <c r="AF22" i="23" s="1"/>
  <c r="P19" i="23"/>
  <c r="AD19" i="23" s="1"/>
  <c r="BD11" i="23"/>
  <c r="BC11" i="23"/>
  <c r="AL7" i="23"/>
  <c r="S14" i="23"/>
  <c r="AG14" i="23" s="1"/>
  <c r="AZ8" i="23" s="1"/>
  <c r="AL6" i="23"/>
  <c r="BB10" i="23"/>
  <c r="AL8" i="23"/>
  <c r="AL20" i="23"/>
  <c r="AT6" i="23"/>
  <c r="AL25" i="23"/>
  <c r="K12" i="23"/>
  <c r="Y12" i="23" s="1"/>
  <c r="AL21" i="23"/>
  <c r="BC10" i="23"/>
  <c r="S9" i="23"/>
  <c r="AG9" i="23" s="1"/>
  <c r="AZ7" i="23" s="1"/>
  <c r="AL24" i="23"/>
  <c r="X17" i="23"/>
  <c r="AA17" i="23"/>
  <c r="AL17" i="23" s="1"/>
  <c r="AL13" i="23"/>
  <c r="AY10" i="23"/>
  <c r="AL18" i="23"/>
  <c r="AR9" i="23"/>
  <c r="BE9" i="23" s="1"/>
  <c r="W34" i="24" s="1"/>
  <c r="BB11" i="23"/>
  <c r="R23" i="23"/>
  <c r="AF23" i="23" s="1"/>
  <c r="AY11" i="23" s="1"/>
  <c r="K14" i="23"/>
  <c r="Y14" i="23" s="1"/>
  <c r="Q22" i="23"/>
  <c r="AE22" i="23" s="1"/>
  <c r="AX10" i="23" s="1"/>
  <c r="N15" i="23"/>
  <c r="AB15" i="23" s="1"/>
  <c r="O9" i="23"/>
  <c r="AC9" i="23" s="1"/>
  <c r="P22" i="23"/>
  <c r="AD22" i="23" s="1"/>
  <c r="L19" i="23"/>
  <c r="Z19" i="23" s="1"/>
  <c r="O19" i="23"/>
  <c r="AC19" i="23" s="1"/>
  <c r="Q15" i="23"/>
  <c r="AE15" i="23" s="1"/>
  <c r="O15" i="23"/>
  <c r="AC15" i="23" s="1"/>
  <c r="V9" i="23"/>
  <c r="AJ9" i="23" s="1"/>
  <c r="M23" i="23"/>
  <c r="AA23" i="23" s="1"/>
  <c r="AT11" i="23" s="1"/>
  <c r="X20" i="23"/>
  <c r="Q14" i="23"/>
  <c r="AE14" i="23" s="1"/>
  <c r="AX8" i="23" s="1"/>
  <c r="M9" i="23"/>
  <c r="AA9" i="23" s="1"/>
  <c r="AT7" i="23" s="1"/>
  <c r="M15" i="23"/>
  <c r="AA15" i="23" s="1"/>
  <c r="X24" i="23"/>
  <c r="O11" i="23"/>
  <c r="AC11" i="23" s="1"/>
  <c r="K10" i="23"/>
  <c r="L23" i="23"/>
  <c r="Z23" i="23" s="1"/>
  <c r="AS11" i="23" s="1"/>
  <c r="L10" i="23"/>
  <c r="Z10" i="23" s="1"/>
  <c r="X25" i="23"/>
  <c r="N22" i="23"/>
  <c r="AB22" i="23" s="1"/>
  <c r="AU10" i="23" s="1"/>
  <c r="X18" i="23"/>
  <c r="N11" i="23"/>
  <c r="AB11" i="23" s="1"/>
  <c r="K11" i="23"/>
  <c r="Y11" i="23" s="1"/>
  <c r="AL11" i="23" s="1"/>
  <c r="L14" i="23"/>
  <c r="Z14" i="23" s="1"/>
  <c r="N14" i="23"/>
  <c r="AB14" i="23" s="1"/>
  <c r="AU8" i="23" s="1"/>
  <c r="Y9" i="23"/>
  <c r="L9" i="23"/>
  <c r="Z9" i="23" s="1"/>
  <c r="AS7" i="23" s="1"/>
  <c r="N12" i="23"/>
  <c r="M22" i="23"/>
  <c r="AA22" i="23" s="1"/>
  <c r="O22" i="23"/>
  <c r="AC22" i="23" s="1"/>
  <c r="X21" i="23"/>
  <c r="M19" i="23"/>
  <c r="AA19" i="23" s="1"/>
  <c r="K19" i="23"/>
  <c r="Y19" i="23" s="1"/>
  <c r="P15" i="23"/>
  <c r="AD15" i="23" s="1"/>
  <c r="K15" i="23"/>
  <c r="Y15" i="23" s="1"/>
  <c r="AL15" i="23" s="1"/>
  <c r="Q9" i="23"/>
  <c r="AE9" i="23" s="1"/>
  <c r="AX7" i="23" s="1"/>
  <c r="U9" i="23"/>
  <c r="AI9" i="23" s="1"/>
  <c r="BB7" i="23" s="1"/>
  <c r="O23" i="23"/>
  <c r="AC23" i="23" s="1"/>
  <c r="AV11" i="23" s="1"/>
  <c r="L11" i="23"/>
  <c r="Z11" i="23" s="1"/>
  <c r="M11" i="23"/>
  <c r="AA11" i="23" s="1"/>
  <c r="P14" i="23"/>
  <c r="AD14" i="23" s="1"/>
  <c r="AW8" i="23" s="1"/>
  <c r="M14" i="23"/>
  <c r="AA14" i="23" s="1"/>
  <c r="AT8" i="23" s="1"/>
  <c r="P9" i="23"/>
  <c r="AD9" i="23" s="1"/>
  <c r="AW7" i="23" s="1"/>
  <c r="S22" i="23"/>
  <c r="X8" i="23"/>
  <c r="X7" i="23"/>
  <c r="O14" i="23"/>
  <c r="AC14" i="23" s="1"/>
  <c r="AV8" i="23" s="1"/>
  <c r="X6" i="23"/>
  <c r="N9" i="23"/>
  <c r="AB9" i="23" s="1"/>
  <c r="L22" i="23"/>
  <c r="Z22" i="23" s="1"/>
  <c r="K22" i="23"/>
  <c r="Y22" i="23" s="1"/>
  <c r="X13" i="23"/>
  <c r="R15" i="23"/>
  <c r="AF15" i="23" s="1"/>
  <c r="AY8" i="23" s="1"/>
  <c r="L15" i="23"/>
  <c r="Z15" i="23" s="1"/>
  <c r="AS8" i="23" s="1"/>
  <c r="R9" i="23"/>
  <c r="AF9" i="23" s="1"/>
  <c r="AY7" i="23" s="1"/>
  <c r="T9" i="23"/>
  <c r="AH9" i="23" s="1"/>
  <c r="BA7" i="23" s="1"/>
  <c r="N23" i="23"/>
  <c r="AB23" i="23" s="1"/>
  <c r="AU11" i="23" s="1"/>
  <c r="K23" i="23"/>
  <c r="Y23" i="23" s="1"/>
  <c r="AR11" i="23" s="1"/>
  <c r="J39" i="22"/>
  <c r="J40" i="22"/>
  <c r="J41" i="22"/>
  <c r="J42" i="22"/>
  <c r="G68" i="23"/>
  <c r="D68" i="23" s="1"/>
  <c r="G67" i="23"/>
  <c r="D67" i="23" s="1"/>
  <c r="G66" i="23"/>
  <c r="D66" i="23" s="1"/>
  <c r="G65" i="23"/>
  <c r="D65" i="23" s="1"/>
  <c r="D64" i="23"/>
  <c r="E64" i="23" s="1"/>
  <c r="I64" i="23" s="1"/>
  <c r="G63" i="23"/>
  <c r="D63" i="23" s="1"/>
  <c r="G62" i="23"/>
  <c r="D62" i="23" s="1"/>
  <c r="G61" i="23"/>
  <c r="D61" i="23" s="1"/>
  <c r="G60" i="23"/>
  <c r="D60" i="23" s="1"/>
  <c r="G59" i="23"/>
  <c r="D59" i="23" s="1"/>
  <c r="D58" i="23"/>
  <c r="D57" i="23"/>
  <c r="G56" i="23"/>
  <c r="D56" i="23" s="1"/>
  <c r="G55" i="23"/>
  <c r="D55" i="23" s="1"/>
  <c r="G54" i="23"/>
  <c r="D54" i="23" s="1"/>
  <c r="G53" i="23"/>
  <c r="D53" i="23" s="1"/>
  <c r="G52" i="23"/>
  <c r="D52" i="23" s="1"/>
  <c r="G51" i="23"/>
  <c r="D51" i="23" s="1"/>
  <c r="G50" i="23"/>
  <c r="D50" i="23" s="1"/>
  <c r="G49" i="23"/>
  <c r="D49" i="23" s="1"/>
  <c r="G48" i="23"/>
  <c r="D48" i="23" s="1"/>
  <c r="D47" i="23"/>
  <c r="G46" i="23"/>
  <c r="D46" i="23" s="1"/>
  <c r="D45" i="23"/>
  <c r="G44" i="23"/>
  <c r="D44" i="23" s="1"/>
  <c r="E44" i="23" s="1"/>
  <c r="I44" i="23" s="1"/>
  <c r="D43" i="23"/>
  <c r="E43" i="23" s="1"/>
  <c r="I43" i="23" s="1"/>
  <c r="D42" i="23"/>
  <c r="E42" i="23" s="1"/>
  <c r="I42" i="23" s="1"/>
  <c r="G41" i="23"/>
  <c r="D41" i="23" s="1"/>
  <c r="E41" i="23" s="1"/>
  <c r="I41" i="23" s="1"/>
  <c r="G40" i="23"/>
  <c r="D40" i="23" s="1"/>
  <c r="D39" i="23"/>
  <c r="E39" i="23" s="1"/>
  <c r="G38" i="23"/>
  <c r="D38" i="23" s="1"/>
  <c r="G37" i="23"/>
  <c r="D37" i="23" s="1"/>
  <c r="G36" i="23"/>
  <c r="D36" i="23" s="1"/>
  <c r="AL14" i="23" l="1"/>
  <c r="BE11" i="23"/>
  <c r="AV7" i="23"/>
  <c r="BE6" i="23"/>
  <c r="W31" i="24" s="1"/>
  <c r="AW10" i="23"/>
  <c r="AR10" i="23"/>
  <c r="AL19" i="23"/>
  <c r="AV10" i="23"/>
  <c r="AL23" i="23"/>
  <c r="AL22" i="23"/>
  <c r="AT10" i="23"/>
  <c r="X12" i="23"/>
  <c r="AB12" i="23"/>
  <c r="AU7" i="23" s="1"/>
  <c r="X10" i="23"/>
  <c r="Y10" i="23"/>
  <c r="AL10" i="23" s="1"/>
  <c r="AL9" i="23"/>
  <c r="BC7" i="23"/>
  <c r="AS10" i="23"/>
  <c r="AR8" i="23"/>
  <c r="BE8" i="23" s="1"/>
  <c r="W33" i="24" s="1"/>
  <c r="X14" i="23"/>
  <c r="X19" i="23"/>
  <c r="X22" i="23"/>
  <c r="X15" i="23"/>
  <c r="X23" i="23"/>
  <c r="X9" i="23"/>
  <c r="X11" i="23"/>
  <c r="E54" i="23"/>
  <c r="I54" i="23" s="1"/>
  <c r="E49" i="23"/>
  <c r="I49" i="23" s="1"/>
  <c r="I39" i="23"/>
  <c r="F39" i="23"/>
  <c r="E53" i="23"/>
  <c r="I53" i="23" s="1"/>
  <c r="V71" i="23"/>
  <c r="E36" i="23"/>
  <c r="I36" i="23" s="1"/>
  <c r="E47" i="23"/>
  <c r="I47" i="23" s="1"/>
  <c r="E58" i="23"/>
  <c r="I58" i="23" s="1"/>
  <c r="E60" i="23"/>
  <c r="I60" i="23" s="1"/>
  <c r="E50" i="23"/>
  <c r="D74" i="23" s="1"/>
  <c r="E57" i="23"/>
  <c r="I57" i="23" s="1"/>
  <c r="E65" i="23"/>
  <c r="I65" i="23" s="1"/>
  <c r="F64" i="23"/>
  <c r="J44" i="22"/>
  <c r="K41" i="22" s="1"/>
  <c r="K43" i="22"/>
  <c r="E38" i="23"/>
  <c r="I38" i="23" s="1"/>
  <c r="D71" i="23"/>
  <c r="E62" i="23"/>
  <c r="I62" i="23" s="1"/>
  <c r="E40" i="23"/>
  <c r="I40" i="23" s="1"/>
  <c r="E52" i="23"/>
  <c r="I52" i="23" s="1"/>
  <c r="E63" i="23"/>
  <c r="I63" i="23" s="1"/>
  <c r="E67" i="23"/>
  <c r="I67" i="23" s="1"/>
  <c r="E48" i="23"/>
  <c r="F48" i="23" s="1"/>
  <c r="E56" i="23"/>
  <c r="I56" i="23" s="1"/>
  <c r="S71" i="23"/>
  <c r="E46" i="23"/>
  <c r="I46" i="23" s="1"/>
  <c r="E59" i="23"/>
  <c r="I59" i="23" s="1"/>
  <c r="E68" i="23"/>
  <c r="I68" i="23" s="1"/>
  <c r="F42" i="23"/>
  <c r="F43" i="23"/>
  <c r="F44" i="23"/>
  <c r="E45" i="23"/>
  <c r="I45" i="23" s="1"/>
  <c r="E51" i="23"/>
  <c r="I51" i="23" s="1"/>
  <c r="E55" i="23"/>
  <c r="I55" i="23" s="1"/>
  <c r="E61" i="23"/>
  <c r="I61" i="23" s="1"/>
  <c r="E66" i="23"/>
  <c r="I66" i="23" s="1"/>
  <c r="L71" i="23"/>
  <c r="P71" i="23"/>
  <c r="T71" i="23"/>
  <c r="E37" i="23"/>
  <c r="I37" i="23" s="1"/>
  <c r="F41" i="23"/>
  <c r="M71" i="23"/>
  <c r="Q71" i="23"/>
  <c r="U71" i="23"/>
  <c r="N71" i="23"/>
  <c r="R71" i="23"/>
  <c r="J71" i="23"/>
  <c r="O71" i="23"/>
  <c r="AL12" i="23" l="1"/>
  <c r="BE15" i="23"/>
  <c r="BE16" i="23" s="1"/>
  <c r="W36" i="24"/>
  <c r="AK27" i="23"/>
  <c r="BE10" i="23"/>
  <c r="W35" i="24" s="1"/>
  <c r="AR7" i="23"/>
  <c r="F36" i="23"/>
  <c r="D73" i="23"/>
  <c r="I50" i="23"/>
  <c r="F55" i="23"/>
  <c r="F62" i="23"/>
  <c r="F49" i="23"/>
  <c r="F65" i="23"/>
  <c r="F57" i="23"/>
  <c r="F58" i="23"/>
  <c r="F50" i="23"/>
  <c r="P72" i="23"/>
  <c r="J72" i="23"/>
  <c r="J73" i="23" s="1"/>
  <c r="F56" i="23"/>
  <c r="F68" i="23"/>
  <c r="F46" i="23"/>
  <c r="F51" i="23"/>
  <c r="F53" i="23"/>
  <c r="F61" i="23"/>
  <c r="F63" i="23"/>
  <c r="F60" i="23"/>
  <c r="F47" i="23"/>
  <c r="F54" i="23"/>
  <c r="K39" i="22"/>
  <c r="K42" i="22"/>
  <c r="K40" i="22"/>
  <c r="L72" i="23"/>
  <c r="L73" i="23" s="1"/>
  <c r="R72" i="23"/>
  <c r="F67" i="23"/>
  <c r="F40" i="23"/>
  <c r="F37" i="23"/>
  <c r="Q72" i="23"/>
  <c r="N72" i="23"/>
  <c r="S72" i="23"/>
  <c r="F59" i="23"/>
  <c r="F66" i="23"/>
  <c r="D72" i="23"/>
  <c r="I48" i="23"/>
  <c r="F52" i="23"/>
  <c r="F38" i="23"/>
  <c r="U72" i="23"/>
  <c r="M72" i="23"/>
  <c r="T72" i="23"/>
  <c r="O72" i="23"/>
  <c r="F45" i="23"/>
  <c r="V72" i="23"/>
  <c r="BE7" i="23" l="1"/>
  <c r="W32" i="24" s="1"/>
  <c r="AR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N59" i="22"/>
  <c r="O59" i="22" s="1"/>
  <c r="L59" i="22"/>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K13" i="22"/>
  <c r="J13" i="22"/>
  <c r="M32" i="22"/>
  <c r="L32" i="22"/>
  <c r="K32" i="22"/>
  <c r="J32" i="22"/>
  <c r="M31" i="22"/>
  <c r="L31" i="22"/>
  <c r="K31" i="22"/>
  <c r="J31" i="22"/>
  <c r="M30" i="22"/>
  <c r="L30" i="22"/>
  <c r="K30" i="22"/>
  <c r="J30" i="22"/>
  <c r="M19" i="22"/>
  <c r="L19" i="22"/>
  <c r="K19" i="22"/>
  <c r="H19" i="22"/>
  <c r="J19" i="22" s="1"/>
  <c r="M18" i="22"/>
  <c r="L18" i="22"/>
  <c r="K18" i="22"/>
  <c r="J18" i="22"/>
  <c r="M17" i="22"/>
  <c r="L17" i="22"/>
  <c r="K17" i="22"/>
  <c r="J17" i="22"/>
  <c r="M16" i="22"/>
  <c r="L16" i="22"/>
  <c r="K16" i="22"/>
  <c r="J16" i="22"/>
  <c r="M27" i="22"/>
  <c r="L27" i="22"/>
  <c r="K27" i="22"/>
  <c r="J27" i="22"/>
  <c r="M26" i="22"/>
  <c r="G42" i="22" s="1"/>
  <c r="L26" i="22"/>
  <c r="K26" i="22"/>
  <c r="J26" i="22"/>
  <c r="P76" i="20"/>
  <c r="P61" i="20"/>
  <c r="P55" i="20"/>
  <c r="P75" i="20"/>
  <c r="P77" i="20"/>
  <c r="P74" i="20"/>
  <c r="P73" i="20"/>
  <c r="P72" i="20"/>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W30" i="22"/>
  <c r="U23" i="24" s="1"/>
  <c r="T23" i="24"/>
  <c r="T24" i="24"/>
  <c r="W31" i="22"/>
  <c r="U24" i="24" s="1"/>
  <c r="T25" i="24"/>
  <c r="W32" i="22"/>
  <c r="U25" i="24" s="1"/>
  <c r="W13" i="22"/>
  <c r="U6" i="24" s="1"/>
  <c r="T6" i="24"/>
  <c r="T7" i="24"/>
  <c r="W14" i="22"/>
  <c r="U7" i="24" s="1"/>
  <c r="T13" i="24"/>
  <c r="W20" i="22"/>
  <c r="U13" i="24" s="1"/>
  <c r="W21" i="22"/>
  <c r="U14" i="24" s="1"/>
  <c r="T14" i="24"/>
  <c r="W22" i="22"/>
  <c r="U15" i="24" s="1"/>
  <c r="T15" i="24"/>
  <c r="T16" i="24"/>
  <c r="W23" i="22"/>
  <c r="U16" i="24" s="1"/>
  <c r="W24" i="22"/>
  <c r="U17"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P31" i="24" l="1"/>
  <c r="S31" i="24" s="1"/>
  <c r="P34" i="24"/>
  <c r="S34" i="24" s="1"/>
  <c r="P32" i="24"/>
  <c r="S32" i="24" s="1"/>
  <c r="T32" i="24" s="1"/>
  <c r="P35" i="24"/>
  <c r="S35" i="24" s="1"/>
  <c r="T35" i="24" s="1"/>
  <c r="P33" i="24"/>
  <c r="S33" i="24" s="1"/>
  <c r="T33" i="24" s="1"/>
  <c r="P36" i="24"/>
  <c r="S36" i="24" s="1"/>
  <c r="T36" i="24" s="1"/>
  <c r="G44" i="22"/>
  <c r="H39" i="22"/>
  <c r="O152" i="20"/>
  <c r="R34" i="20"/>
  <c r="R79" i="19"/>
  <c r="R72" i="19"/>
  <c r="O11" i="20"/>
  <c r="P11" i="20" s="1"/>
  <c r="T31" i="24" l="1"/>
  <c r="D45" i="24"/>
  <c r="D46" i="24" s="1"/>
  <c r="AB31" i="24"/>
  <c r="T34" i="24"/>
  <c r="AB34" i="24"/>
  <c r="V33" i="24"/>
  <c r="P141" i="24" s="1"/>
  <c r="P140" i="24" s="1"/>
  <c r="AB32" i="24"/>
  <c r="AB36" i="24"/>
  <c r="V31" i="24"/>
  <c r="P137" i="24" s="1"/>
  <c r="AB33" i="24"/>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63" i="20"/>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3" i="20" s="1"/>
  <c r="F8" i="20"/>
  <c r="F9" i="20" s="1"/>
  <c r="F10" i="20" s="1"/>
  <c r="E8" i="20"/>
  <c r="D8" i="20"/>
  <c r="C8" i="20"/>
  <c r="O24"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V34" i="24" l="1"/>
  <c r="P142" i="24" s="1"/>
  <c r="U31" i="24"/>
  <c r="P112" i="24" s="1"/>
  <c r="Q68" i="24"/>
  <c r="Q67" i="24"/>
  <c r="U34" i="24"/>
  <c r="Q71" i="24"/>
  <c r="Q70" i="24"/>
  <c r="Q69" i="24"/>
  <c r="U35" i="24"/>
  <c r="P144" i="24" s="1"/>
  <c r="P143" i="24" s="1"/>
  <c r="V35" i="24"/>
  <c r="U32" i="24"/>
  <c r="V32" i="24"/>
  <c r="P139" i="24" s="1"/>
  <c r="P138" i="24" s="1"/>
  <c r="U33" i="24"/>
  <c r="U36" i="24"/>
  <c r="V36" i="24"/>
  <c r="P146" i="24" s="1"/>
  <c r="P145" i="24" s="1"/>
  <c r="Q66" i="16"/>
  <c r="N51" i="20"/>
  <c r="S33" i="20"/>
  <c r="P59" i="20"/>
  <c r="P56" i="20"/>
  <c r="P57" i="20"/>
  <c r="P60" i="20"/>
  <c r="P58" i="20"/>
  <c r="X130" i="20"/>
  <c r="N100" i="20"/>
  <c r="N99" i="20"/>
  <c r="N98" i="20"/>
  <c r="Q133" i="20"/>
  <c r="X131" i="20"/>
  <c r="E9" i="20"/>
  <c r="E10" i="20" s="1"/>
  <c r="O64" i="20"/>
  <c r="O65" i="20" s="1"/>
  <c r="P89" i="20" s="1"/>
  <c r="N146" i="20"/>
  <c r="S34" i="20"/>
  <c r="N151" i="20"/>
  <c r="G131" i="19"/>
  <c r="E132" i="19"/>
  <c r="G132" i="19" s="1"/>
  <c r="P115" i="24" l="1"/>
  <c r="P117" i="24"/>
  <c r="P113" i="24"/>
  <c r="P114" i="24"/>
  <c r="P116" i="24"/>
  <c r="X132" i="20"/>
  <c r="Q63" i="20"/>
  <c r="Q79" i="20"/>
  <c r="P63"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Q22" i="19" s="1"/>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2" i="19" s="1"/>
  <c r="D9" i="19"/>
  <c r="C9" i="19"/>
  <c r="O23" i="19" s="1"/>
  <c r="F8" i="19"/>
  <c r="F9" i="19" s="1"/>
  <c r="F10" i="19" s="1"/>
  <c r="E8" i="19"/>
  <c r="D8" i="19"/>
  <c r="C8" i="19"/>
  <c r="O24"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I127"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J123" i="5" s="1"/>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J115" i="5"/>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E42" i="5"/>
  <c r="E43" i="5" s="1"/>
  <c r="E44" i="5" s="1"/>
  <c r="I51" i="5"/>
  <c r="I64" i="5"/>
  <c r="K21" i="5" a="1"/>
  <c r="K21" i="5" s="1"/>
  <c r="K8" i="5" a="1"/>
  <c r="K8" i="5" s="1"/>
  <c r="J21" i="5" a="1"/>
  <c r="J21" i="5" s="1"/>
  <c r="I53" i="5" s="1"/>
  <c r="K53" i="5" s="1"/>
  <c r="J8" i="5" a="1"/>
  <c r="C8" i="3" a="1"/>
  <c r="C8" i="3" s="1"/>
  <c r="J24" i="3" s="1"/>
  <c r="O64" i="4" a="1"/>
  <c r="O64" i="4" s="1"/>
  <c r="O54" i="4" a="1"/>
  <c r="O54" i="4" s="1"/>
  <c r="N64" i="4" a="1"/>
  <c r="N64" i="4" s="1"/>
  <c r="N54" i="4" a="1"/>
  <c r="N54" i="4" s="1"/>
  <c r="O44" i="4" a="1"/>
  <c r="O44" i="4" s="1"/>
  <c r="O34" i="4" a="1"/>
  <c r="O34" i="4" s="1"/>
  <c r="N34" i="4" a="1"/>
  <c r="N34" i="4" s="1"/>
  <c r="O24" i="4" a="1"/>
  <c r="O24" i="4" s="1"/>
  <c r="N44" i="4" a="1"/>
  <c r="N44" i="4" s="1"/>
  <c r="N24" i="4" a="1"/>
  <c r="N24" i="4" s="1"/>
  <c r="E24" i="4" a="1"/>
  <c r="E24" i="4" s="1"/>
  <c r="D24" i="4" a="1"/>
  <c r="D24" i="4" s="1"/>
  <c r="J8" i="5" l="1"/>
  <c r="I40" i="5" s="1"/>
  <c r="J40" i="5" s="1"/>
  <c r="I50" i="5"/>
  <c r="L51" i="5"/>
  <c r="L64" i="5" s="1"/>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charset val="1"/>
          </rPr>
          <t>JULIAN:</t>
        </r>
        <r>
          <rPr>
            <sz val="9"/>
            <color indexed="81"/>
            <rFont val="Tahoma"/>
            <charset val="1"/>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charset val="1"/>
          </rPr>
          <t>JULIAN:</t>
        </r>
        <r>
          <rPr>
            <sz val="9"/>
            <color indexed="81"/>
            <rFont val="Tahoma"/>
            <charset val="1"/>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charset val="1"/>
          </rPr>
          <t>JULIAN:</t>
        </r>
        <r>
          <rPr>
            <sz val="9"/>
            <color indexed="81"/>
            <rFont val="Tahoma"/>
            <charset val="1"/>
          </rPr>
          <t xml:space="preserve">
En reficar 2020, reprotan 97% en volumen</t>
        </r>
      </text>
    </comment>
    <comment ref="N90" authorId="0" shapeId="0" xr:uid="{092FA991-418B-4B2E-99C2-5BEEE7CC7EAF}">
      <text>
        <r>
          <rPr>
            <b/>
            <sz val="9"/>
            <color indexed="81"/>
            <rFont val="Tahoma"/>
            <charset val="1"/>
          </rPr>
          <t>JULIAN:</t>
        </r>
        <r>
          <rPr>
            <sz val="9"/>
            <color indexed="81"/>
            <rFont val="Tahoma"/>
            <charset val="1"/>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charset val="1"/>
          </rPr>
          <t>JULIAN:</t>
        </r>
        <r>
          <rPr>
            <sz val="9"/>
            <color indexed="81"/>
            <rFont val="Tahoma"/>
            <charset val="1"/>
          </rPr>
          <t xml:space="preserve">
Se tomo el vapor consumido en refinerias, se convirtio a PJ. 
Se asumio que las dos refinerias consumen por igual.</t>
        </r>
      </text>
    </comment>
    <comment ref="N137" authorId="0" shapeId="0" xr:uid="{3C6A49E5-47DF-4BEF-B990-B3B135D0467D}">
      <text>
        <r>
          <rPr>
            <b/>
            <sz val="9"/>
            <color indexed="81"/>
            <rFont val="Tahoma"/>
            <charset val="1"/>
          </rPr>
          <t>JULIAN:</t>
        </r>
        <r>
          <rPr>
            <sz val="9"/>
            <color indexed="81"/>
            <rFont val="Tahoma"/>
            <charset val="1"/>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charset val="1"/>
          </rPr>
          <t>JULIAN:</t>
        </r>
        <r>
          <rPr>
            <sz val="9"/>
            <color indexed="81"/>
            <rFont val="Tahoma"/>
            <charset val="1"/>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charset val="1"/>
          </rPr>
          <t>JULIAN:</t>
        </r>
        <r>
          <rPr>
            <sz val="9"/>
            <color indexed="81"/>
            <rFont val="Tahoma"/>
            <charset val="1"/>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charset val="1"/>
          </rPr>
          <t>JULIAN:</t>
        </r>
        <r>
          <rPr>
            <sz val="9"/>
            <color indexed="81"/>
            <rFont val="Tahoma"/>
            <charset val="1"/>
          </rPr>
          <t xml:space="preserve">
En reficar 2020, reprotan 97% en volumen</t>
        </r>
      </text>
    </comment>
    <comment ref="N90" authorId="0" shapeId="0" xr:uid="{A3DF5B77-1456-43B8-8DE2-17AEF4190FC9}">
      <text>
        <r>
          <rPr>
            <b/>
            <sz val="9"/>
            <color indexed="81"/>
            <rFont val="Tahoma"/>
            <charset val="1"/>
          </rPr>
          <t>JULIAN:</t>
        </r>
        <r>
          <rPr>
            <sz val="9"/>
            <color indexed="81"/>
            <rFont val="Tahoma"/>
            <charset val="1"/>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charset val="1"/>
          </rPr>
          <t>JULIAN:</t>
        </r>
        <r>
          <rPr>
            <sz val="9"/>
            <color indexed="81"/>
            <rFont val="Tahoma"/>
            <charset val="1"/>
          </rPr>
          <t xml:space="preserve">
Se tomo el vapor consumido en refinerias, se convirtio a PJ. 
Se asumio que las dos refinerias consumen por igual.</t>
        </r>
      </text>
    </comment>
    <comment ref="N137" authorId="0" shapeId="0" xr:uid="{9B34B72F-C5B2-4E69-BB9E-D36C6AADE9C4}">
      <text>
        <r>
          <rPr>
            <b/>
            <sz val="9"/>
            <color indexed="81"/>
            <rFont val="Tahoma"/>
            <charset val="1"/>
          </rPr>
          <t>JULIAN:</t>
        </r>
        <r>
          <rPr>
            <sz val="9"/>
            <color indexed="81"/>
            <rFont val="Tahoma"/>
            <charset val="1"/>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<sst xmlns="http://schemas.openxmlformats.org/spreadsheetml/2006/main" count="2953" uniqueCount="1018">
  <si>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</si>
  <si>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</si>
  <si>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</si>
  <si>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</si>
  <si>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</si>
  <si>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</si>
  <si>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</si>
  <si>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</si>
  <si>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</si>
  <si>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</si>
  <si>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</si>
  <si>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</si>
  <si>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</si>
  <si>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</si>
  <si>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</si>
  <si>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</si>
  <si>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</si>
  <si>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</si>
  <si>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</si>
  <si>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</si>
  <si>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</si>
  <si>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</si>
  <si>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</si>
  <si>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</si>
  <si>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</si>
  <si>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</si>
  <si>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</si>
  <si>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</si>
  <si>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</si>
  <si>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</si>
  <si>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</si>
  <si>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</si>
  <si>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</si>
  <si>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</si>
  <si>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</si>
  <si>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</si>
  <si>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</si>
  <si>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</si>
  <si>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</si>
  <si>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</si>
  <si>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</si>
  <si>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</si>
  <si>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</si>
  <si>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</si>
  <si>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</si>
  <si>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</si>
  <si>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</si>
  <si>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</si>
  <si>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</si>
  <si>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</si>
  <si>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</si>
  <si>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</si>
  <si>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</si>
  <si>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</si>
  <si>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</si>
  <si>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</si>
  <si>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</si>
  <si>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</si>
  <si>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</si>
  <si>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</si>
  <si>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</si>
  <si>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</si>
  <si>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</si>
  <si>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</si>
  <si>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</si>
  <si>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</si>
  <si>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</si>
  <si>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</si>
  <si>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</si>
  <si>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</si>
  <si>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</si>
  <si>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</si>
  <si>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</si>
  <si>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</si>
  <si>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</si>
  <si>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</si>
  <si>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</si>
  <si>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</si>
  <si>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</si>
  <si>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</si>
  <si>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</si>
  <si>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</si>
  <si>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</si>
  <si>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</si>
  <si>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</si>
  <si>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</si>
  <si>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</si>
  <si>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</si>
  <si>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</si>
  <si>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</si>
  <si>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</si>
  <si>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</si>
  <si>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</si>
  <si>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</si>
  <si>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</si>
  <si>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</si>
  <si>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</si>
  <si>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</si>
  <si>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</si>
  <si>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</si>
  <si>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</si>
  <si>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</si>
  <si>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</si>
  <si>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</si>
  <si>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</si>
  <si>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</si>
  <si>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</si>
  <si>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</si>
  <si>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</si>
  <si>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</si>
  <si>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</si>
  <si>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</si>
  <si>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</si>
  <si>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</si>
  <si>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</si>
  <si>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</si>
  <si>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</si>
  <si>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</si>
  <si>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</si>
  <si>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</si>
  <si>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</si>
  <si>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</si>
  <si>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</si>
  <si>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</si>
  <si>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</si>
  <si>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</si>
  <si>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</si>
  <si>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</si>
  <si>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</si>
  <si>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</si>
  <si>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</si>
  <si>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</si>
  <si>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</si>
  <si>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</si>
  <si>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</si>
  <si>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</si>
  <si>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</si>
  <si>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</si>
  <si>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</si>
  <si>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</si>
  <si>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</si>
  <si>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</si>
  <si>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</si>
  <si>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</si>
  <si>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</si>
  <si>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</si>
  <si>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</si>
  <si>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</si>
  <si>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</si>
  <si>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</si>
  <si>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</si>
  <si>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</si>
  <si>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</si>
  <si>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</si>
  <si>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</si>
  <si>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</si>
  <si>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</si>
  <si>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</si>
  <si>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</si>
  <si>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</si>
  <si>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</si>
  <si>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</si>
  <si>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</si>
  <si>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</si>
  <si>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</si>
  <si>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</si>
  <si>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</si>
  <si>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</si>
  <si>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</si>
  <si>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</si>
  <si>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</si>
  <si>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</si>
  <si>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</si>
  <si>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</si>
  <si>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</si>
  <si>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</si>
  <si>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</si>
  <si>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</si>
  <si>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</si>
  <si>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</si>
  <si>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</si>
  <si>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</si>
  <si>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</si>
  <si>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</si>
  <si>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</si>
  <si>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</si>
  <si>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</si>
  <si>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</si>
  <si>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</si>
  <si>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</si>
  <si>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</si>
  <si>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</si>
  <si>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</si>
  <si>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</si>
  <si>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</si>
  <si>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</si>
  <si>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</si>
  <si>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</si>
  <si>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</si>
  <si>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</si>
  <si>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</si>
  <si>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</si>
  <si>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</si>
  <si>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</si>
  <si>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</si>
  <si>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</si>
  <si>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</si>
  <si>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</si>
  <si>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</si>
  <si>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</si>
  <si>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</si>
  <si>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</si>
  <si>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</si>
  <si>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</si>
  <si>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</si>
  <si>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</si>
  <si>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</si>
  <si>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</si>
  <si>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</si>
  <si>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</si>
  <si>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</si>
  <si>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</si>
  <si>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</si>
  <si>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</si>
  <si>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</si>
  <si>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</si>
  <si>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</si>
  <si>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</si>
  <si>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</si>
  <si>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</si>
  <si>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</si>
  <si>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</si>
  <si>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</si>
  <si>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</si>
  <si>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</si>
  <si>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</si>
  <si>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</si>
  <si>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</si>
  <si>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</si>
  <si>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Proyeciones para escenario de referencia, AEO - US EIA, 2019, en USD/PJ</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</si>
  <si>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</si>
  <si>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</si>
  <si>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</si>
  <si>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</si>
  <si>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</si>
  <si>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</si>
  <si>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</si>
  <si>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</si>
  <si>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</si>
  <si>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</si>
  <si>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</si>
  <si>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</si>
  <si>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</si>
  <si>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</si>
  <si>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</si>
  <si>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</si>
  <si>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</si>
  <si>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</si>
  <si>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</si>
  <si>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</si>
  <si>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</si>
  <si>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</si>
  <si>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</si>
  <si>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</si>
  <si>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</si>
  <si>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</si>
  <si>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</si>
  <si>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</si>
  <si>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</si>
  <si>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</si>
  <si>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</si>
  <si>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</si>
  <si>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</si>
  <si>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</si>
  <si>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</si>
  <si>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</si>
  <si>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</si>
  <si>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</si>
  <si>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</si>
  <si>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</si>
  <si>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</si>
  <si>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</si>
  <si>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</si>
  <si>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</si>
  <si>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</si>
  <si>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</si>
  <si>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</si>
  <si>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</si>
  <si>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</si>
  <si>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</si>
  <si>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</si>
  <si>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</si>
  <si>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</si>
  <si>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</si>
  <si>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</si>
  <si>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</si>
  <si>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</si>
  <si>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</si>
  <si>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</si>
  <si>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</si>
  <si>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</si>
  <si>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</si>
  <si>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</si>
  <si>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</si>
  <si>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</si>
  <si>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</si>
  <si>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</si>
  <si>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</si>
  <si>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</si>
  <si>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</si>
  <si>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</si>
  <si>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</si>
  <si>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</si>
  <si>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</si>
  <si>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</si>
  <si>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</si>
  <si>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</si>
  <si>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</si>
  <si>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</si>
  <si>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</si>
  <si>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</si>
  <si>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</si>
  <si>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</si>
  <si>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</si>
  <si>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</si>
  <si>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</si>
  <si>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</si>
  <si>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</si>
  <si>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</si>
  <si>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</si>
  <si>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</si>
  <si>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</si>
  <si>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</si>
  <si>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</si>
  <si>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</si>
  <si>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</si>
  <si>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</si>
  <si>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</si>
  <si>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</si>
  <si>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</si>
  <si>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</si>
  <si>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</si>
  <si>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</si>
  <si>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</si>
  <si>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</si>
  <si>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</si>
  <si>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</si>
  <si>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</si>
  <si>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</si>
  <si>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</si>
  <si>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</si>
  <si>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</si>
  <si>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</si>
  <si>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</si>
  <si>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</si>
  <si>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</si>
  <si>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</si>
  <si>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</si>
  <si>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</si>
  <si>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</si>
  <si>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</si>
  <si>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</si>
  <si>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</si>
  <si>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</si>
  <si>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</si>
  <si>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</si>
  <si>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</si>
  <si>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</si>
  <si>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</si>
  <si>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</si>
  <si>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</si>
  <si>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</si>
  <si>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</si>
  <si>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</si>
  <si>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</si>
  <si>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</si>
  <si>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</si>
  <si>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</si>
  <si>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</si>
  <si>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</si>
  <si>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</si>
  <si>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</si>
  <si>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</si>
  <si>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</si>
  <si>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</si>
  <si>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</si>
  <si>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</si>
  <si>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</si>
  <si>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</si>
  <si>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</si>
  <si>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</si>
  <si>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</si>
  <si>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</si>
  <si>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</si>
  <si>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</si>
  <si>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</si>
  <si>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</si>
  <si>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</si>
  <si>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</si>
  <si>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</si>
  <si>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</si>
  <si>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</si>
  <si>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</si>
  <si>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</si>
  <si>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</si>
  <si>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</si>
  <si>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</si>
  <si>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</si>
  <si>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</si>
  <si>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</si>
  <si>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</si>
  <si>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</si>
  <si>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</si>
  <si>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</si>
  <si>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</si>
  <si>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</si>
  <si>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</si>
  <si>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</si>
  <si>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</si>
  <si>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</si>
  <si>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</si>
  <si>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</si>
  <si>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</si>
  <si>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</si>
  <si>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</si>
  <si>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</si>
  <si>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</si>
  <si>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</si>
  <si>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</si>
  <si>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</si>
  <si>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</si>
  <si>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</si>
  <si>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</si>
  <si>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</si>
  <si>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</si>
  <si>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</si>
  <si>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</si>
  <si>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</si>
  <si>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</si>
  <si>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</si>
  <si>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</si>
  <si>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</si>
  <si>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</si>
  <si>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</si>
  <si>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</si>
  <si>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</si>
  <si>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</si>
  <si>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</si>
  <si>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</si>
  <si>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</si>
  <si>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</si>
  <si>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</si>
  <si>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</si>
  <si>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</si>
  <si>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</si>
  <si>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</si>
  <si>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</si>
  <si>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</si>
  <si>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</si>
  <si>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</si>
  <si>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</si>
  <si>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</si>
  <si>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</si>
  <si>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</si>
  <si>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</si>
  <si>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</si>
  <si>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</si>
  <si>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</si>
  <si>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</si>
  <si>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</si>
  <si>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</si>
  <si>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</si>
  <si>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</si>
  <si>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</si>
  <si>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</si>
  <si>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</si>
  <si>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</si>
  <si>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</si>
  <si>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</si>
  <si>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</si>
  <si>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</si>
  <si>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</si>
  <si>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</si>
  <si>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</si>
  <si>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</si>
  <si>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</si>
  <si>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</si>
  <si>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</si>
  <si>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</si>
  <si>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</si>
  <si>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</si>
  <si>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</si>
  <si>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</si>
  <si>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</si>
  <si>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</si>
  <si>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</si>
  <si>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</si>
  <si>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</si>
  <si>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</si>
  <si>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</si>
  <si>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</si>
  <si>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</si>
  <si>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</si>
  <si>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</si>
  <si>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</si>
  <si>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</si>
  <si>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</si>
  <si>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</si>
  <si>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</si>
  <si>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</si>
  <si>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</si>
  <si>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</si>
  <si>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</si>
  <si>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</si>
  <si>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</si>
  <si>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</si>
  <si>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</si>
  <si>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</si>
  <si>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</si>
  <si>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</si>
  <si>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</si>
  <si>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</si>
  <si>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</si>
  <si>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</si>
  <si>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</si>
  <si>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</si>
  <si>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</si>
  <si>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</si>
  <si>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</si>
  <si>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</si>
  <si>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</si>
  <si>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</si>
  <si>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</si>
  <si>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</si>
  <si>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</si>
  <si>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</si>
  <si>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</si>
  <si>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</si>
  <si>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</si>
  <si>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</si>
  <si>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</si>
  <si>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</si>
  <si>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</si>
  <si>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</si>
  <si>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</si>
  <si>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</si>
  <si>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</si>
  <si>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</si>
  <si>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</si>
  <si>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</si>
  <si>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</si>
  <si>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</si>
  <si>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</si>
  <si>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</si>
  <si>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</si>
  <si>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</si>
  <si>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</si>
  <si>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</si>
  <si>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</si>
  <si>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</si>
  <si>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</si>
  <si>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</si>
  <si>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</si>
  <si>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</si>
  <si>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</si>
  <si>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</si>
  <si>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</si>
  <si>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</si>
  <si>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</si>
  <si>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</si>
  <si>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</si>
  <si>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</si>
  <si>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</si>
  <si>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</si>
  <si>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</si>
  <si>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</si>
  <si>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</si>
  <si>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</si>
  <si>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</si>
  <si>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</si>
  <si>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</si>
  <si>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</si>
  <si>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</si>
  <si>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</si>
  <si>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</si>
  <si>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</si>
  <si>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</si>
  <si>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</si>
  <si>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</si>
  <si>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</si>
  <si>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</si>
  <si>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</si>
  <si>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</si>
  <si>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</si>
  <si>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</si>
  <si>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</si>
  <si>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</si>
  <si>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</si>
  <si>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</si>
  <si>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</si>
  <si>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</si>
  <si>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</si>
  <si>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</si>
  <si>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</si>
  <si>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</si>
  <si>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</si>
  <si>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</si>
  <si>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</si>
  <si>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</si>
  <si>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</si>
  <si>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</si>
  <si>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</si>
  <si>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</si>
  <si>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</si>
  <si>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</si>
  <si>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</si>
  <si>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</si>
  <si>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</si>
  <si>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</si>
  <si>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</si>
  <si>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</si>
  <si>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</si>
  <si>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</si>
  <si>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</si>
  <si>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</si>
  <si>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</si>
  <si>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</si>
  <si>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</si>
  <si>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</si>
  <si>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</si>
  <si>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</si>
  <si>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</si>
  <si>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</si>
  <si>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</si>
  <si>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</si>
  <si>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</si>
  <si>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</si>
  <si>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</si>
  <si>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</si>
  <si>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</si>
  <si>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</si>
  <si>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</si>
  <si>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</si>
  <si>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</si>
  <si>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</si>
  <si>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</si>
  <si>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</si>
  <si>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</si>
  <si>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</si>
  <si>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</si>
  <si>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</si>
  <si>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</si>
  <si>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</si>
  <si>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</si>
  <si>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</si>
  <si>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</si>
  <si>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</si>
  <si>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</si>
  <si>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</si>
  <si>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</si>
  <si>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</si>
  <si>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</si>
  <si>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</si>
  <si>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</si>
  <si>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</si>
  <si>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</si>
  <si>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</si>
  <si>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</si>
  <si>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</si>
  <si>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</si>
  <si>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</si>
  <si>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</si>
  <si>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</si>
  <si>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</si>
  <si>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</si>
  <si>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</si>
  <si>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</si>
  <si>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</si>
  <si>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</si>
  <si>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</si>
  <si>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</si>
  <si>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</si>
  <si>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</si>
  <si>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</si>
  <si>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</si>
  <si>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</si>
  <si>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</si>
  <si>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</si>
  <si>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</si>
  <si>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</si>
  <si>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</si>
  <si>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</si>
  <si>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</si>
  <si>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</si>
  <si>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</si>
  <si>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</si>
  <si>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</si>
  <si>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</si>
  <si>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</si>
  <si>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</si>
  <si>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</si>
  <si>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</si>
  <si>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</si>
  <si>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</si>
  <si>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</si>
  <si>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</si>
  <si>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</si>
  <si>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</si>
  <si>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</si>
  <si>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</si>
  <si>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</si>
  <si>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</si>
  <si>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</si>
  <si>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</si>
  <si>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</si>
  <si>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</si>
  <si>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</si>
  <si>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</si>
  <si>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</si>
  <si>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</si>
  <si>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</si>
  <si>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</si>
  <si>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</si>
  <si>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</si>
  <si>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</si>
  <si>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</si>
  <si>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</si>
  <si>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</si>
  <si>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</si>
  <si>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</si>
  <si>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</si>
  <si>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</si>
  <si>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</si>
  <si>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</si>
  <si>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</si>
  <si>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</si>
  <si>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</si>
  <si>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</si>
  <si>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</si>
  <si>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</si>
  <si>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</si>
  <si>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</si>
  <si>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</si>
  <si>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</si>
  <si>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</si>
  <si>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</si>
  <si>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</si>
  <si>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</si>
  <si>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</si>
  <si>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</si>
  <si>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</si>
  <si>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</si>
  <si>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</si>
  <si>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</si>
  <si>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</si>
  <si>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</si>
  <si>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</si>
  <si>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</si>
  <si>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</si>
  <si>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</si>
  <si>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</si>
  <si>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</si>
  <si>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</si>
  <si>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</si>
  <si>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</si>
  <si>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</si>
  <si>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</si>
  <si>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</si>
  <si>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</si>
  <si>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</si>
  <si>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</si>
  <si>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</si>
  <si>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</si>
  <si>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</si>
  <si>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</si>
  <si>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</si>
  <si>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</si>
  <si>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</si>
  <si>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</si>
  <si>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</si>
  <si>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</si>
  <si>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</si>
  <si>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</si>
  <si>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</si>
  <si>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</si>
  <si>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</si>
  <si>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</si>
  <si>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</si>
  <si>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</si>
  <si>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</si>
  <si>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</si>
  <si>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</si>
  <si>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</si>
  <si>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</si>
  <si>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</si>
  <si>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</si>
  <si>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</si>
  <si>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</si>
  <si>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</si>
  <si>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</si>
  <si>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</si>
  <si>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</si>
  <si>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</si>
  <si>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</si>
  <si>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</si>
  <si>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</si>
  <si>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</si>
  <si>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</si>
  <si>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</si>
  <si>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</si>
  <si>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</si>
  <si>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</si>
  <si>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</si>
  <si>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</si>
  <si>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</si>
  <si>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</si>
  <si>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</si>
  <si>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</si>
  <si>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</si>
  <si>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</si>
  <si>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</si>
  <si>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</si>
  <si>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</si>
  <si>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</si>
  <si>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</si>
  <si>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</si>
  <si>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</si>
  <si>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</si>
  <si>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</si>
  <si>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</si>
  <si>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</si>
  <si>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</si>
  <si>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</si>
  <si>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</si>
  <si>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</si>
  <si>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</si>
  <si>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</si>
  <si>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</si>
  <si>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</si>
  <si>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</si>
  <si>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</si>
  <si>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</si>
  <si>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</si>
  <si>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</si>
  <si>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</si>
  <si>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</si>
  <si>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</si>
  <si>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</si>
  <si>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</si>
  <si>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</si>
  <si>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</si>
  <si>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</si>
  <si>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</si>
  <si>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</si>
  <si>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</si>
  <si>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</si>
  <si>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</si>
  <si>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</si>
  <si>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</si>
  <si>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</si>
  <si>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</si>
  <si>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</si>
  <si>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</si>
  <si>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</si>
  <si>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</si>
  <si>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</si>
  <si>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</si>
  <si>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</si>
  <si>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</si>
  <si>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</si>
  <si>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</si>
  <si>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</si>
  <si>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</si>
  <si>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</si>
  <si>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</si>
  <si>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</si>
  <si>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</si>
  <si>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</si>
  <si>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</si>
  <si>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</si>
  <si>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</si>
  <si>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</si>
  <si>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</si>
  <si>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</si>
  <si>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</si>
  <si>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</si>
  <si>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</si>
  <si>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</si>
  <si>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</si>
  <si>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</si>
  <si>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</si>
  <si>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</si>
  <si>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</si>
  <si>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</si>
  <si>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</si>
  <si>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</si>
  <si>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</si>
  <si>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</si>
  <si>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</si>
  <si>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</si>
  <si>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</si>
  <si>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</si>
  <si>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</si>
  <si>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</si>
  <si>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</si>
  <si>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</si>
  <si>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</si>
  <si>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</si>
  <si>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</si>
  <si>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</si>
  <si>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</si>
  <si>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</si>
  <si>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</si>
  <si>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</si>
  <si>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</si>
  <si>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</si>
  <si>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</si>
  <si>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</si>
  <si>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</si>
  <si>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</si>
  <si>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</si>
  <si>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</si>
  <si>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</si>
  <si>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</si>
  <si>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</si>
  <si>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</si>
  <si>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</si>
  <si>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</si>
  <si>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</si>
  <si>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</si>
  <si>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</si>
  <si>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</si>
  <si>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</si>
  <si>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</si>
  <si>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</si>
  <si>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</si>
  <si>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</si>
  <si>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</si>
  <si>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</si>
  <si>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</si>
  <si>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</si>
  <si>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</si>
  <si>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</si>
  <si>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</si>
  <si>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</si>
  <si>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</si>
  <si>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</si>
  <si>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</si>
  <si>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</si>
  <si>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</si>
  <si>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</si>
  <si>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</si>
  <si>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</si>
  <si>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</si>
  <si>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</si>
  <si>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</si>
  <si>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</si>
  <si>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</si>
  <si>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</si>
  <si>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</si>
  <si>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</si>
  <si>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</si>
  <si>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</si>
  <si>
    <t>Planta del campo 1</t>
  </si>
  <si>
    <t>Planta del campo 2</t>
  </si>
  <si>
    <t>Planta del campo 3</t>
  </si>
  <si>
    <t>Planta del campo 4</t>
  </si>
  <si>
    <t>Planta del campo 5</t>
  </si>
  <si>
    <t>Planta del campo 6</t>
  </si>
  <si>
    <t>Gas planta</t>
  </si>
  <si>
    <t>GAS-CAM4</t>
  </si>
  <si>
    <t>PLT-CAM2</t>
  </si>
  <si>
    <t>PLT-CAM3</t>
  </si>
  <si>
    <t>PLT-CAM4</t>
  </si>
  <si>
    <t>PLT-CAM5</t>
  </si>
  <si>
    <t>PLT-CAM6</t>
  </si>
  <si>
    <t>Gas usado</t>
  </si>
  <si>
    <t>Consumo de ECP en produccion</t>
  </si>
  <si>
    <t>Generada</t>
  </si>
  <si>
    <t>Comprada</t>
  </si>
  <si>
    <t>PRO T</t>
  </si>
  <si>
    <t>Yañez et al. (2019)</t>
  </si>
  <si>
    <t>Upstream</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</si>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</sst>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 numFmtId="183" formatCode="0.0000000%"/>
    <numFmt numFmtId="184" formatCode="0.00000%"/>
  </numFmts>
  <fonts count="59"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9"/>
      <color indexed="81"/>
      <name val="Tahoma"/>
      <charset val="1"/>
    </font>
    <font>
      <b/>
      <sz val="9"/>
      <color indexed="81"/>
      <name val="Tahoma"/>
      <charset val="1"/>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s>
  <fills count="18">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10">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cellStyleXfs>
  <cellXfs count="617">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7"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8"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9" fillId="0" borderId="0" xfId="0" applyFont="1" applyAlignment="1">
      <alignment horizontal="center" vertical="center" wrapText="1"/>
    </xf>
    <xf numFmtId="0" fontId="41" fillId="5" borderId="10" xfId="4" applyFont="1" applyFill="1" applyBorder="1" applyAlignment="1">
      <alignment horizontal="center" vertical="center"/>
    </xf>
    <xf numFmtId="0" fontId="41" fillId="5" borderId="2" xfId="4" applyFont="1" applyFill="1" applyBorder="1" applyAlignment="1">
      <alignment horizontal="center" vertical="center"/>
    </xf>
    <xf numFmtId="0" fontId="41" fillId="5" borderId="11" xfId="3" applyFont="1" applyFill="1" applyBorder="1" applyAlignment="1">
      <alignment horizontal="center" vertical="center" wrapText="1"/>
    </xf>
    <xf numFmtId="0" fontId="39" fillId="3" borderId="0" xfId="1" applyFont="1" applyFill="1" applyBorder="1" applyAlignment="1">
      <alignment horizontal="center" vertical="center" wrapText="1"/>
    </xf>
    <xf numFmtId="0" fontId="39" fillId="3" borderId="0" xfId="0" applyFont="1" applyFill="1" applyAlignment="1">
      <alignment horizontal="center" vertical="center"/>
    </xf>
    <xf numFmtId="0" fontId="42" fillId="3" borderId="0" xfId="4" applyFont="1" applyFill="1" applyAlignment="1">
      <alignment horizontal="center" vertical="center"/>
    </xf>
    <xf numFmtId="0" fontId="42" fillId="3" borderId="0" xfId="3" applyFont="1" applyFill="1" applyAlignment="1">
      <alignment horizontal="center" vertical="center" wrapText="1"/>
    </xf>
    <xf numFmtId="2" fontId="42" fillId="3" borderId="0" xfId="4" applyNumberFormat="1" applyFont="1" applyFill="1" applyAlignment="1">
      <alignment horizontal="center" vertical="center"/>
    </xf>
    <xf numFmtId="1" fontId="42" fillId="3" borderId="0" xfId="7" applyNumberFormat="1" applyFont="1" applyFill="1" applyBorder="1" applyAlignment="1">
      <alignment horizontal="center" vertical="center"/>
    </xf>
    <xf numFmtId="0" fontId="38" fillId="3" borderId="0" xfId="0" applyFont="1" applyFill="1" applyAlignment="1">
      <alignment horizontal="center" vertical="center"/>
    </xf>
    <xf numFmtId="0" fontId="2" fillId="0" borderId="0" xfId="2"/>
    <xf numFmtId="0" fontId="45"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3" fillId="3" borderId="0" xfId="0" applyFont="1" applyFill="1" applyAlignment="1">
      <alignment horizontal="center" vertical="center"/>
    </xf>
    <xf numFmtId="0" fontId="44" fillId="0" borderId="0" xfId="2" applyFont="1"/>
    <xf numFmtId="0" fontId="44" fillId="3" borderId="0" xfId="2" applyFont="1" applyFill="1"/>
    <xf numFmtId="165" fontId="44" fillId="3" borderId="0" xfId="2" applyNumberFormat="1" applyFont="1" applyFill="1" applyAlignment="1">
      <alignment horizontal="center" vertical="center"/>
    </xf>
    <xf numFmtId="0" fontId="44" fillId="3" borderId="0" xfId="4" applyFont="1" applyFill="1"/>
    <xf numFmtId="0" fontId="44"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7" fillId="0" borderId="0" xfId="5" applyFont="1" applyBorder="1" applyAlignment="1">
      <alignment horizontal="center"/>
    </xf>
    <xf numFmtId="9" fontId="47" fillId="0" borderId="0" xfId="0" applyNumberFormat="1" applyFont="1"/>
    <xf numFmtId="10" fontId="49" fillId="0" borderId="0" xfId="0" applyNumberFormat="1" applyFont="1"/>
    <xf numFmtId="2" fontId="46" fillId="0" borderId="0" xfId="0" applyNumberFormat="1" applyFont="1"/>
    <xf numFmtId="0" fontId="46" fillId="0" borderId="0" xfId="0" applyFont="1"/>
    <xf numFmtId="10" fontId="47" fillId="0" borderId="0" xfId="0" applyNumberFormat="1" applyFont="1"/>
    <xf numFmtId="0" fontId="45" fillId="5" borderId="10" xfId="4" applyFont="1" applyFill="1" applyBorder="1" applyAlignment="1">
      <alignment horizontal="center" vertical="center"/>
    </xf>
    <xf numFmtId="0" fontId="45"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8" fillId="0" borderId="0" xfId="0" applyFont="1" applyAlignment="1">
      <alignment horizontal="center" vertical="center"/>
    </xf>
    <xf numFmtId="0" fontId="40" fillId="3" borderId="0" xfId="3" applyFont="1" applyFill="1" applyAlignment="1">
      <alignment horizontal="center" vertical="center"/>
    </xf>
    <xf numFmtId="1" fontId="0" fillId="3" borderId="0" xfId="0" applyNumberFormat="1" applyFill="1" applyAlignment="1">
      <alignment horizontal="center" vertical="center"/>
    </xf>
    <xf numFmtId="9" fontId="42"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50" fillId="3" borderId="0" xfId="1" applyFont="1" applyFill="1" applyBorder="1" applyAlignment="1">
      <alignment horizontal="center" vertical="center" wrapText="1"/>
    </xf>
    <xf numFmtId="0" fontId="50" fillId="3" borderId="0" xfId="0" applyFont="1" applyFill="1" applyAlignment="1">
      <alignment horizontal="center" vertical="center"/>
    </xf>
    <xf numFmtId="9" fontId="0" fillId="3" borderId="0" xfId="0" applyNumberFormat="1" applyFill="1" applyAlignment="1">
      <alignment horizontal="center"/>
    </xf>
    <xf numFmtId="0" fontId="43" fillId="0" borderId="0" xfId="0" applyFont="1"/>
    <xf numFmtId="0" fontId="51" fillId="3" borderId="0" xfId="3" applyFont="1" applyFill="1" applyAlignment="1">
      <alignment horizontal="left"/>
    </xf>
    <xf numFmtId="0" fontId="45"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4" fillId="7" borderId="0" xfId="4" applyNumberFormat="1" applyFont="1" applyFill="1" applyAlignment="1">
      <alignment horizontal="center" vertical="center"/>
    </xf>
    <xf numFmtId="0" fontId="50" fillId="3" borderId="10" xfId="1" applyFont="1" applyFill="1" applyBorder="1" applyAlignment="1">
      <alignment horizontal="center" vertical="center" wrapText="1"/>
    </xf>
    <xf numFmtId="0" fontId="50"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51" fillId="0" borderId="0" xfId="2" applyNumberFormat="1" applyFont="1"/>
    <xf numFmtId="165" fontId="45" fillId="4" borderId="10" xfId="2" applyNumberFormat="1" applyFont="1" applyFill="1" applyBorder="1" applyAlignment="1">
      <alignment horizontal="left"/>
    </xf>
    <xf numFmtId="165" fontId="45" fillId="4" borderId="2" xfId="2" applyNumberFormat="1" applyFont="1" applyFill="1" applyBorder="1" applyAlignment="1">
      <alignment horizontal="left"/>
    </xf>
    <xf numFmtId="165" fontId="45" fillId="4" borderId="11" xfId="2" applyNumberFormat="1" applyFont="1" applyFill="1" applyBorder="1" applyAlignment="1">
      <alignment horizontal="left"/>
    </xf>
    <xf numFmtId="165" fontId="51" fillId="3" borderId="0" xfId="2" applyNumberFormat="1" applyFont="1" applyFill="1"/>
    <xf numFmtId="165" fontId="44" fillId="3" borderId="0" xfId="2" applyNumberFormat="1" applyFont="1" applyFill="1"/>
    <xf numFmtId="165" fontId="1" fillId="3" borderId="0" xfId="1" applyNumberFormat="1" applyFill="1" applyBorder="1" applyAlignment="1">
      <alignment horizontal="left" wrapText="1"/>
    </xf>
    <xf numFmtId="165" fontId="39"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5"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2" fillId="0" borderId="0" xfId="0" applyFont="1"/>
    <xf numFmtId="0" fontId="53"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4" fillId="3" borderId="0" xfId="0" applyFont="1" applyFill="1" applyAlignment="1">
      <alignment horizontal="center"/>
    </xf>
    <xf numFmtId="0" fontId="52" fillId="3" borderId="0" xfId="0" applyFont="1" applyFill="1" applyAlignment="1">
      <alignment horizontal="center" vertical="center" wrapText="1"/>
    </xf>
    <xf numFmtId="0" fontId="10" fillId="3" borderId="0" xfId="0" applyFont="1" applyFill="1" applyAlignment="1">
      <alignment horizontal="center" vertical="center" wrapText="1"/>
    </xf>
    <xf numFmtId="0" fontId="52"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0" fontId="10" fillId="0" borderId="2" xfId="0" applyFont="1" applyBorder="1"/>
    <xf numFmtId="0" fontId="10" fillId="0" borderId="11" xfId="0" applyFont="1" applyBorder="1"/>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0" fillId="0" borderId="12" xfId="0" applyNumberFormat="1" applyBorder="1" applyAlignment="1">
      <alignment horizontal="center"/>
    </xf>
    <xf numFmtId="1" fontId="0" fillId="0" borderId="1" xfId="0" applyNumberFormat="1" applyBorder="1" applyAlignment="1">
      <alignment horizontal="center"/>
    </xf>
    <xf numFmtId="1" fontId="0" fillId="0" borderId="13" xfId="0" applyNumberFormat="1" applyBorder="1" applyAlignment="1">
      <alignment horizontal="center"/>
    </xf>
    <xf numFmtId="1" fontId="0" fillId="0" borderId="22" xfId="0" applyNumberFormat="1" applyBorder="1" applyAlignment="1">
      <alignment horizontal="center"/>
    </xf>
    <xf numFmtId="1" fontId="0" fillId="0" borderId="23" xfId="0" applyNumberFormat="1" applyBorder="1" applyAlignment="1">
      <alignment horizontal="center"/>
    </xf>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1" fontId="0" fillId="0" borderId="14" xfId="0" applyNumberFormat="1" applyBorder="1" applyAlignment="1">
      <alignment horizontal="center"/>
    </xf>
    <xf numFmtId="1" fontId="0" fillId="0" borderId="24" xfId="0" applyNumberFormat="1" applyBorder="1" applyAlignment="1">
      <alignment horizontal="center"/>
    </xf>
    <xf numFmtId="1" fontId="0" fillId="0" borderId="15" xfId="0" applyNumberFormat="1" applyBorder="1" applyAlignment="1">
      <alignment horizont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7"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8" fillId="3" borderId="1" xfId="0" applyFont="1" applyFill="1" applyBorder="1" applyAlignment="1">
      <alignment horizontal="center" vertical="center" wrapText="1"/>
    </xf>
    <xf numFmtId="1" fontId="58" fillId="0" borderId="0" xfId="0" applyNumberFormat="1" applyFont="1" applyAlignment="1">
      <alignment horizontal="center"/>
    </xf>
    <xf numFmtId="0" fontId="58"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0" fontId="31" fillId="0" borderId="0" xfId="0" applyFont="1" applyAlignment="1">
      <alignment horizontal="left" vertical="center"/>
    </xf>
    <xf numFmtId="181" fontId="0" fillId="0" borderId="0" xfId="0" applyNumberFormat="1"/>
    <xf numFmtId="180" fontId="2" fillId="7" borderId="0" xfId="4" applyNumberFormat="1" applyFill="1"/>
    <xf numFmtId="0" fontId="52" fillId="3" borderId="0" xfId="0" applyFont="1" applyFill="1" applyAlignment="1">
      <alignment horizontal="center" vertical="center"/>
    </xf>
    <xf numFmtId="0" fontId="57"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8" fillId="3" borderId="25" xfId="0" applyFont="1" applyFill="1" applyBorder="1" applyAlignment="1">
      <alignment horizontal="center" vertical="center" wrapText="1"/>
    </xf>
    <xf numFmtId="0" fontId="58" fillId="0" borderId="26" xfId="0" applyFont="1" applyBorder="1" applyAlignment="1">
      <alignment horizontal="center"/>
    </xf>
    <xf numFmtId="0" fontId="0" fillId="0" borderId="26" xfId="0" applyBorder="1" applyAlignment="1">
      <alignment horizontal="center"/>
    </xf>
    <xf numFmtId="0" fontId="58"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8" fillId="0" borderId="0" xfId="0" applyFont="1" applyAlignment="1">
      <alignment horizontal="center"/>
    </xf>
    <xf numFmtId="0" fontId="3" fillId="3" borderId="0" xfId="3" applyFont="1" applyFill="1" applyAlignment="1">
      <alignment horizontal="center"/>
    </xf>
    <xf numFmtId="182" fontId="0" fillId="0" borderId="0" xfId="5" applyNumberFormat="1" applyFont="1"/>
    <xf numFmtId="183" fontId="0" fillId="0" borderId="0" xfId="5" applyNumberFormat="1" applyFont="1"/>
    <xf numFmtId="2" fontId="58" fillId="0" borderId="0" xfId="0" applyNumberFormat="1" applyFont="1" applyAlignment="1">
      <alignment horizontal="center"/>
    </xf>
    <xf numFmtId="182" fontId="0" fillId="0" borderId="0" xfId="0" applyNumberFormat="1"/>
    <xf numFmtId="0" fontId="4" fillId="4" borderId="9" xfId="4" applyFont="1" applyFill="1" applyBorder="1" applyAlignment="1">
      <alignment horizontal="left"/>
    </xf>
    <xf numFmtId="0" fontId="1" fillId="3" borderId="0" xfId="0" applyFont="1" applyFill="1" applyAlignment="1">
      <alignment horizontal="right" vertical="center"/>
    </xf>
    <xf numFmtId="165" fontId="2" fillId="3" borderId="0" xfId="2" applyNumberFormat="1" applyFill="1" applyAlignment="1">
      <alignment horizontal="right" vertical="center"/>
    </xf>
    <xf numFmtId="165" fontId="0" fillId="0" borderId="0" xfId="0" applyNumberFormat="1" applyAlignment="1">
      <alignment horizontal="center" vertical="center"/>
    </xf>
    <xf numFmtId="165" fontId="45" fillId="3" borderId="0" xfId="2" applyNumberFormat="1" applyFont="1" applyFill="1" applyAlignment="1">
      <alignment horizontal="left"/>
    </xf>
    <xf numFmtId="0" fontId="4" fillId="4" borderId="2" xfId="4" applyFont="1" applyFill="1" applyBorder="1" applyAlignment="1">
      <alignment horizontal="center" vertical="center"/>
    </xf>
    <xf numFmtId="0" fontId="4" fillId="4" borderId="0" xfId="4" applyFont="1" applyFill="1" applyAlignment="1">
      <alignment horizontal="center" vertical="center"/>
    </xf>
    <xf numFmtId="0" fontId="4" fillId="4" borderId="2" xfId="4" applyFont="1" applyFill="1" applyBorder="1" applyAlignment="1">
      <alignment horizont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7"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31" fillId="0" borderId="0" xfId="0" applyFont="1" applyAlignment="1">
      <alignment horizontal="center"/>
    </xf>
    <xf numFmtId="0" fontId="31" fillId="7" borderId="0" xfId="0" applyFont="1" applyFill="1" applyAlignment="1">
      <alignment horizontal="center"/>
    </xf>
    <xf numFmtId="0" fontId="31" fillId="7" borderId="0" xfId="0" applyFont="1" applyFill="1" applyAlignment="1">
      <alignment horizontal="center" vertic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5" fillId="0" borderId="0" xfId="0" applyFont="1" applyAlignment="1">
      <alignment horizontal="center"/>
    </xf>
    <xf numFmtId="0" fontId="10" fillId="0" borderId="0" xfId="0" applyFont="1" applyAlignment="1">
      <alignment horizontal="center" vertical="center"/>
    </xf>
    <xf numFmtId="184" fontId="0" fillId="0" borderId="0" xfId="5" applyNumberFormat="1" applyFont="1"/>
  </cellXfs>
  <cellStyles count="10">
    <cellStyle name="20% - Énfasis5" xfId="1" builtinId="46"/>
    <cellStyle name="Millares" xfId="7" builtinId="3"/>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4 2" xfId="3" xr:uid="{BF8D61B1-2E2E-479D-ABA6-8FFB8D2C0E3F}"/>
    <cellStyle name="Normal 4 3" xfId="8" xr:uid="{B58AD00C-575F-4635-954F-792419154E2F}"/>
    <cellStyle name="Porcentaje" xfId="5" builtinId="5"/>
  </cellStyles>
  <dxfs count="39">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26"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ichStyles" Target="richData/richStyl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Array" Target="richData/rdarray.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microsoft.com/office/2017/06/relationships/rdRichValueStructure" Target="richData/rdrichvaluestructure.xml"/><Relationship Id="rId27" Type="http://schemas.microsoft.com/office/2017/06/relationships/rdRichValueTypes" Target="richData/rdRichValueTyp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scatterChart>
        <c:scatterStyle val="smoothMarker"/>
        <c:varyColors val="0"/>
        <c:ser>
          <c:idx val="0"/>
          <c:order val="0"/>
          <c:tx>
            <c:strRef>
              <c:f>'1. EXP_IMP'!$I$115</c:f>
              <c:strCache>
                <c:ptCount val="1"/>
                <c:pt idx="0">
                  <c:v>GSL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EXP_IMP'!$J$115:$Q$115</c:f>
              <c:numCache>
                <c:formatCode>General</c:formatCode>
                <c:ptCount val="8"/>
                <c:pt idx="0">
                  <c:v>20.996445954041999</c:v>
                </c:pt>
                <c:pt idx="1">
                  <c:v>20.795929580790002</c:v>
                </c:pt>
                <c:pt idx="2">
                  <c:v>20.716882590807003</c:v>
                </c:pt>
                <c:pt idx="3">
                  <c:v>22.202066334591002</c:v>
                </c:pt>
                <c:pt idx="4">
                  <c:v>23.568165402677998</c:v>
                </c:pt>
                <c:pt idx="5">
                  <c:v>24.597135442035</c:v>
                </c:pt>
                <c:pt idx="6">
                  <c:v>25.886116327734001</c:v>
                </c:pt>
                <c:pt idx="7">
                  <c:v>27.153960894333</c:v>
                </c:pt>
              </c:numCache>
            </c:numRef>
          </c:yVal>
          <c:smooth val="1"/>
          <c:extLst>
            <c:ext xmlns:c16="http://schemas.microsoft.com/office/drawing/2014/chart" uri="{C3380CC4-5D6E-409C-BE32-E72D297353CC}">
              <c16:uniqueId val="{00000000-AF89-4FEB-AE9B-8947BD58AF20}"/>
            </c:ext>
          </c:extLst>
        </c:ser>
        <c:ser>
          <c:idx val="1"/>
          <c:order val="1"/>
          <c:tx>
            <c:strRef>
              <c:f>'1. EXP_IMP'!$I$116</c:f>
              <c:strCache>
                <c:ptCount val="1"/>
                <c:pt idx="0">
                  <c:v>DSL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EXP_IMP'!$J$116:$Q$116</c:f>
              <c:numCache>
                <c:formatCode>General</c:formatCode>
                <c:ptCount val="8"/>
                <c:pt idx="0">
                  <c:v>20.905026160941002</c:v>
                </c:pt>
                <c:pt idx="1">
                  <c:v>20.219447377232999</c:v>
                </c:pt>
                <c:pt idx="2">
                  <c:v>20.630671999937999</c:v>
                </c:pt>
                <c:pt idx="3">
                  <c:v>21.930071290101001</c:v>
                </c:pt>
                <c:pt idx="4">
                  <c:v>23.082531458571001</c:v>
                </c:pt>
                <c:pt idx="5">
                  <c:v>23.875429665555</c:v>
                </c:pt>
                <c:pt idx="6">
                  <c:v>25.090517790116998</c:v>
                </c:pt>
                <c:pt idx="7">
                  <c:v>25.880965890156002</c:v>
                </c:pt>
              </c:numCache>
            </c:numRef>
          </c:yVal>
          <c:smooth val="1"/>
          <c:extLst>
            <c:ext xmlns:c16="http://schemas.microsoft.com/office/drawing/2014/chart" uri="{C3380CC4-5D6E-409C-BE32-E72D297353CC}">
              <c16:uniqueId val="{00000001-AF89-4FEB-AE9B-8947BD58AF20}"/>
            </c:ext>
          </c:extLst>
        </c:ser>
        <c:ser>
          <c:idx val="2"/>
          <c:order val="2"/>
          <c:tx>
            <c:strRef>
              <c:f>'1. EXP_IMP'!$I$117</c:f>
              <c:strCache>
                <c:ptCount val="1"/>
                <c:pt idx="0">
                  <c:v>KER</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EXP_IMP'!$J$117:$Q$117</c:f>
              <c:numCache>
                <c:formatCode>General</c:formatCode>
                <c:ptCount val="8"/>
                <c:pt idx="0">
                  <c:v>13.877034192216</c:v>
                </c:pt>
                <c:pt idx="1">
                  <c:v>13.695434350650002</c:v>
                </c:pt>
                <c:pt idx="2">
                  <c:v>14.458260219857999</c:v>
                </c:pt>
                <c:pt idx="3">
                  <c:v>15.795199697939999</c:v>
                </c:pt>
                <c:pt idx="4">
                  <c:v>17.191836481949998</c:v>
                </c:pt>
                <c:pt idx="5">
                  <c:v>18.196136740431001</c:v>
                </c:pt>
                <c:pt idx="6">
                  <c:v>19.62033319935</c:v>
                </c:pt>
                <c:pt idx="7">
                  <c:v>20.718097692200999</c:v>
                </c:pt>
              </c:numCache>
            </c:numRef>
          </c:yVal>
          <c:smooth val="1"/>
          <c:extLst>
            <c:ext xmlns:c16="http://schemas.microsoft.com/office/drawing/2014/chart" uri="{C3380CC4-5D6E-409C-BE32-E72D297353CC}">
              <c16:uniqueId val="{00000002-AF89-4FEB-AE9B-8947BD58AF20}"/>
            </c:ext>
          </c:extLst>
        </c:ser>
        <c:ser>
          <c:idx val="3"/>
          <c:order val="3"/>
          <c:tx>
            <c:strRef>
              <c:f>'1. EXP_IMP'!$I$118</c:f>
              <c:strCache>
                <c:ptCount val="1"/>
                <c:pt idx="0">
                  <c:v>LPG</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EXP_IMP'!$J$118:$Q$118</c:f>
              <c:numCache>
                <c:formatCode>General</c:formatCode>
                <c:ptCount val="8"/>
                <c:pt idx="0">
                  <c:v>17.551047751146001</c:v>
                </c:pt>
                <c:pt idx="1">
                  <c:v>16.867144707893999</c:v>
                </c:pt>
                <c:pt idx="2">
                  <c:v>19.872932116751997</c:v>
                </c:pt>
                <c:pt idx="3">
                  <c:v>22.022557377326997</c:v>
                </c:pt>
                <c:pt idx="4">
                  <c:v>22.891725470484001</c:v>
                </c:pt>
                <c:pt idx="5">
                  <c:v>24.412499742618003</c:v>
                </c:pt>
                <c:pt idx="6">
                  <c:v>25.877700660591003</c:v>
                </c:pt>
                <c:pt idx="7">
                  <c:v>27.425805235919999</c:v>
                </c:pt>
              </c:numCache>
            </c:numRef>
          </c:yVal>
          <c:smooth val="1"/>
          <c:extLst>
            <c:ext xmlns:c16="http://schemas.microsoft.com/office/drawing/2014/chart" uri="{C3380CC4-5D6E-409C-BE32-E72D297353CC}">
              <c16:uniqueId val="{00000003-AF89-4FEB-AE9B-8947BD58AF20}"/>
            </c:ext>
          </c:extLst>
        </c:ser>
        <c:ser>
          <c:idx val="4"/>
          <c:order val="4"/>
          <c:tx>
            <c:strRef>
              <c:f>'1. EXP_IMP'!$I$119</c:f>
              <c:strCache>
                <c:ptCount val="1"/>
                <c:pt idx="0">
                  <c:v>HFO</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EXP_IMP'!$J$119:$Q$119</c:f>
              <c:numCache>
                <c:formatCode>General</c:formatCode>
                <c:ptCount val="8"/>
                <c:pt idx="0">
                  <c:v>9.2415067298189992</c:v>
                </c:pt>
                <c:pt idx="1">
                  <c:v>9.6605963379900004</c:v>
                </c:pt>
                <c:pt idx="2">
                  <c:v>9.3615136314569991</c:v>
                </c:pt>
                <c:pt idx="3">
                  <c:v>10.777456499940001</c:v>
                </c:pt>
                <c:pt idx="4">
                  <c:v>12.03505800822</c:v>
                </c:pt>
                <c:pt idx="5">
                  <c:v>13.376972577735</c:v>
                </c:pt>
                <c:pt idx="6">
                  <c:v>14.299692331392</c:v>
                </c:pt>
                <c:pt idx="7">
                  <c:v>15.089726235401999</c:v>
                </c:pt>
              </c:numCache>
            </c:numRef>
          </c:yVal>
          <c:smooth val="1"/>
          <c:extLst>
            <c:ext xmlns:c16="http://schemas.microsoft.com/office/drawing/2014/chart" uri="{C3380CC4-5D6E-409C-BE32-E72D297353CC}">
              <c16:uniqueId val="{00000004-AF89-4FEB-AE9B-8947BD58AF20}"/>
            </c:ext>
          </c:extLst>
        </c:ser>
        <c:ser>
          <c:idx val="5"/>
          <c:order val="5"/>
          <c:tx>
            <c:strRef>
              <c:f>'1. EXP_IMP'!$I$120</c:f>
              <c:strCache>
                <c:ptCount val="1"/>
                <c:pt idx="0">
                  <c:v>ETH</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EXP_IMP'!$J$120:$Q$120</c:f>
              <c:numCache>
                <c:formatCode>General</c:formatCode>
                <c:ptCount val="8"/>
                <c:pt idx="0">
                  <c:v>15.484369752577541</c:v>
                </c:pt>
                <c:pt idx="1">
                  <c:v>15.076841521470868</c:v>
                </c:pt>
                <c:pt idx="2">
                  <c:v>16.842423718223472</c:v>
                </c:pt>
                <c:pt idx="3">
                  <c:v>19.600166238545455</c:v>
                </c:pt>
                <c:pt idx="4">
                  <c:v>19.747825616593868</c:v>
                </c:pt>
                <c:pt idx="5">
                  <c:v>20.304548193105546</c:v>
                </c:pt>
                <c:pt idx="6">
                  <c:v>21.409220503499576</c:v>
                </c:pt>
                <c:pt idx="7">
                  <c:v>24.151142776321418</c:v>
                </c:pt>
              </c:numCache>
            </c:numRef>
          </c:yVal>
          <c:smooth val="1"/>
          <c:extLst>
            <c:ext xmlns:c16="http://schemas.microsoft.com/office/drawing/2014/chart" uri="{C3380CC4-5D6E-409C-BE32-E72D297353CC}">
              <c16:uniqueId val="{00000005-AF89-4FEB-AE9B-8947BD58AF20}"/>
            </c:ext>
          </c:extLst>
        </c:ser>
        <c:ser>
          <c:idx val="6"/>
          <c:order val="6"/>
          <c:tx>
            <c:strRef>
              <c:f>'1. EXP_IMP'!$I$121</c:f>
              <c:strCache>
                <c:ptCount val="1"/>
                <c:pt idx="0">
                  <c:v>BDSL</c:v>
                </c:pt>
              </c:strCache>
            </c:strRef>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EXP_IMP'!$J$121:$Q$121</c:f>
              <c:numCache>
                <c:formatCode>General</c:formatCode>
                <c:ptCount val="8"/>
                <c:pt idx="0">
                  <c:v>27.015813128159731</c:v>
                </c:pt>
                <c:pt idx="1">
                  <c:v>26.129831538723028</c:v>
                </c:pt>
                <c:pt idx="2">
                  <c:v>26.661261993541277</c:v>
                </c:pt>
                <c:pt idx="3">
                  <c:v>28.340491100056148</c:v>
                </c:pt>
                <c:pt idx="4">
                  <c:v>29.829829037705093</c:v>
                </c:pt>
                <c:pt idx="5">
                  <c:v>30.854500790068418</c:v>
                </c:pt>
                <c:pt idx="6">
                  <c:v>32.424773577803386</c:v>
                </c:pt>
                <c:pt idx="7">
                  <c:v>33.446279027916688</c:v>
                </c:pt>
              </c:numCache>
            </c:numRef>
          </c:yVal>
          <c:smooth val="1"/>
          <c:extLst>
            <c:ext xmlns:c16="http://schemas.microsoft.com/office/drawing/2014/chart" uri="{C3380CC4-5D6E-409C-BE32-E72D297353CC}">
              <c16:uniqueId val="{00000006-AF89-4FEB-AE9B-8947BD58AF20}"/>
            </c:ext>
          </c:extLst>
        </c:ser>
        <c:dLbls>
          <c:showLegendKey val="0"/>
          <c:showVal val="0"/>
          <c:showCatName val="0"/>
          <c:showSerName val="0"/>
          <c:showPercent val="0"/>
          <c:showBubbleSize val="0"/>
        </c:dLbls>
        <c:axId val="378395519"/>
        <c:axId val="378396351"/>
      </c:scatterChart>
      <c:valAx>
        <c:axId val="378395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78396351"/>
        <c:crosses val="autoZero"/>
        <c:crossBetween val="midCat"/>
      </c:valAx>
      <c:valAx>
        <c:axId val="3783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78395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17</xdr:col>
      <xdr:colOff>347870</xdr:colOff>
      <xdr:row>113</xdr:row>
      <xdr:rowOff>77855</xdr:rowOff>
    </xdr:from>
    <xdr:to>
      <xdr:col>23</xdr:col>
      <xdr:colOff>57979</xdr:colOff>
      <xdr:row>127</xdr:row>
      <xdr:rowOff>154055</xdr:rowOff>
    </xdr:to>
    <xdr:graphicFrame macro="">
      <xdr:nvGraphicFramePr>
        <xdr:cNvPr id="4" name="Gráfico 3">
          <a:extLst>
            <a:ext uri="{FF2B5EF4-FFF2-40B4-BE49-F238E27FC236}">
              <a16:creationId xmlns:a16="http://schemas.microsoft.com/office/drawing/2014/main" id="{FCFAB906-0AA8-20EF-97CD-6DDE77815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91"/>
  <sheetViews>
    <sheetView topLeftCell="A41" zoomScaleNormal="100" workbookViewId="0">
      <selection activeCell="D86" sqref="D86:D91"/>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564" t="s">
        <v>101</v>
      </c>
      <c r="Y14" s="564"/>
      <c r="Z14" s="564"/>
      <c r="AA14" s="564"/>
      <c r="AB14" s="564"/>
      <c r="AC14" s="564"/>
      <c r="AD14" s="564"/>
      <c r="AE14" s="564"/>
      <c r="AF14" s="564"/>
    </row>
    <row r="15" spans="1:1409" x14ac:dyDescent="0.25">
      <c r="B15" s="564" t="s">
        <v>83</v>
      </c>
      <c r="C15" s="564"/>
      <c r="D15" s="564"/>
      <c r="E15" s="564"/>
      <c r="F15" s="564"/>
      <c r="G15" s="564"/>
      <c r="H15" s="564"/>
      <c r="I15" s="564"/>
      <c r="J15" s="564"/>
      <c r="M15" s="564" t="s">
        <v>84</v>
      </c>
      <c r="N15" s="564"/>
      <c r="O15" s="564"/>
      <c r="P15" s="564"/>
      <c r="Q15" s="564"/>
      <c r="R15" s="564"/>
      <c r="S15" s="564"/>
      <c r="T15" s="564"/>
      <c r="U15" s="564"/>
      <c r="AI15" s="564" t="s">
        <v>97</v>
      </c>
      <c r="AJ15" s="564"/>
      <c r="AK15" s="564"/>
      <c r="AL15" s="564"/>
      <c r="AM15" s="564"/>
      <c r="AN15" s="564"/>
      <c r="AO15" s="564"/>
      <c r="AP15" s="564"/>
      <c r="AQ15" s="564"/>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519</v>
      </c>
      <c r="P33" s="1" t="s">
        <v>522</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516</v>
      </c>
      <c r="P34" s="1" t="s">
        <v>515</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539</v>
      </c>
      <c r="P35" s="1" t="s">
        <v>541</v>
      </c>
      <c r="Q35" s="1" t="s">
        <v>9</v>
      </c>
      <c r="X35" s="1" t="s">
        <v>82</v>
      </c>
      <c r="Z35" s="1" t="s">
        <v>520</v>
      </c>
      <c r="AA35" s="1" t="s">
        <v>527</v>
      </c>
      <c r="AB35" s="1" t="s">
        <v>9</v>
      </c>
      <c r="AK35" s="1" t="str">
        <v>CO2e-DHFO</v>
      </c>
      <c r="AL35" s="1" t="str">
        <v>CO2eq de Demanda de Combustoleo</v>
      </c>
      <c r="AM35" s="1" t="s">
        <v>100</v>
      </c>
    </row>
    <row r="36" spans="4:39" x14ac:dyDescent="0.25">
      <c r="D36" s="1" t="str">
        <v>GAS-CAM7</v>
      </c>
      <c r="E36" s="1" t="str">
        <v>Gas natural producido de CAM7</v>
      </c>
      <c r="F36" s="1" t="s">
        <v>9</v>
      </c>
      <c r="O36" s="1" t="s">
        <v>540</v>
      </c>
      <c r="P36" s="1" t="s">
        <v>542</v>
      </c>
      <c r="Q36" s="1" t="s">
        <v>9</v>
      </c>
      <c r="Z36" s="1" t="s">
        <v>550</v>
      </c>
      <c r="AA36" s="1" t="s">
        <v>554</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742</v>
      </c>
      <c r="P37" s="1" t="s">
        <v>744</v>
      </c>
      <c r="Z37" s="1" t="s">
        <v>549</v>
      </c>
      <c r="AA37" s="1" t="s">
        <v>555</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743</v>
      </c>
      <c r="P38" s="1" t="s">
        <v>745</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531</v>
      </c>
      <c r="AL40" s="1" t="s">
        <v>533</v>
      </c>
      <c r="AM40" s="1" t="s">
        <v>100</v>
      </c>
    </row>
    <row r="41" spans="4:39" x14ac:dyDescent="0.25">
      <c r="D41" s="1" t="str">
        <v>LOIL-CAM2</v>
      </c>
      <c r="E41" s="1" t="str">
        <v>Petroleo liviano producido de CAM2</v>
      </c>
      <c r="F41" s="1" t="s">
        <v>9</v>
      </c>
      <c r="AK41" s="1" t="s">
        <v>532</v>
      </c>
      <c r="AL41" s="1" t="s">
        <v>534</v>
      </c>
      <c r="AM41" s="1" t="s">
        <v>100</v>
      </c>
    </row>
    <row r="42" spans="4:39" x14ac:dyDescent="0.25">
      <c r="D42" s="1" t="str">
        <v>LOIL-CAM3</v>
      </c>
      <c r="E42" s="1" t="str">
        <v>Petroleo liviano producido de CAM3</v>
      </c>
      <c r="F42" s="1" t="s">
        <v>9</v>
      </c>
      <c r="AK42" s="1" t="s">
        <v>535</v>
      </c>
      <c r="AL42" s="1" t="s">
        <v>536</v>
      </c>
      <c r="AM42" s="1" t="s">
        <v>100</v>
      </c>
    </row>
    <row r="43" spans="4:39" x14ac:dyDescent="0.25">
      <c r="D43" s="1" t="str">
        <v>LOIL-CAM4</v>
      </c>
      <c r="E43" s="1" t="str">
        <v>Petroleo liviano producido de CAM4</v>
      </c>
      <c r="F43" s="1" t="s">
        <v>9</v>
      </c>
      <c r="AK43" s="1" t="s">
        <v>769</v>
      </c>
      <c r="AL43" s="1" t="s">
        <v>768</v>
      </c>
      <c r="AM43" s="1" t="s">
        <v>100</v>
      </c>
    </row>
    <row r="44" spans="4:39" x14ac:dyDescent="0.25">
      <c r="D44" s="1" t="str">
        <v>LOIL-CAM5</v>
      </c>
      <c r="E44" s="1" t="str">
        <v>Petroleo liviano producido de CAM5</v>
      </c>
      <c r="F44" s="1" t="s">
        <v>9</v>
      </c>
      <c r="AK44" s="1" t="s">
        <v>770</v>
      </c>
      <c r="AL44" s="1" t="s">
        <v>768</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940</v>
      </c>
      <c r="F80" s="1" t="s">
        <v>9</v>
      </c>
    </row>
    <row r="81" spans="4:6" x14ac:dyDescent="0.25">
      <c r="D81" s="1" t="str">
        <v>FLU-CAM2</v>
      </c>
      <c r="E81" s="1" t="s">
        <v>941</v>
      </c>
      <c r="F81" s="1" t="s">
        <v>9</v>
      </c>
    </row>
    <row r="82" spans="4:6" x14ac:dyDescent="0.25">
      <c r="D82" s="1" t="str">
        <v>FLU-CAM3</v>
      </c>
      <c r="E82" s="1" t="s">
        <v>942</v>
      </c>
      <c r="F82" s="1" t="s">
        <v>9</v>
      </c>
    </row>
    <row r="83" spans="4:6" x14ac:dyDescent="0.25">
      <c r="D83" s="1" t="str">
        <v>FLU-CAM4</v>
      </c>
      <c r="E83" s="1" t="s">
        <v>943</v>
      </c>
      <c r="F83" s="1" t="s">
        <v>9</v>
      </c>
    </row>
    <row r="84" spans="4:6" x14ac:dyDescent="0.25">
      <c r="D84" s="1" t="str">
        <v>FLU-CAM5</v>
      </c>
      <c r="E84" s="1" t="s">
        <v>944</v>
      </c>
      <c r="F84" s="1" t="s">
        <v>9</v>
      </c>
    </row>
    <row r="85" spans="4:6" x14ac:dyDescent="0.25">
      <c r="D85" s="1" t="str">
        <v>FLU-CAM6</v>
      </c>
      <c r="E85" s="1" t="s">
        <v>945</v>
      </c>
      <c r="F85" s="1" t="s">
        <v>9</v>
      </c>
    </row>
    <row r="86" spans="4:6" x14ac:dyDescent="0.25">
      <c r="D86" s="1" t="str" cm="1">
        <f t="array" ref="D86:D91">+"ELC-"&amp;B3:B8</f>
        <v>ELC-CAM1</v>
      </c>
      <c r="E86" s="1" t="s">
        <v>984</v>
      </c>
      <c r="F86" s="1" t="s">
        <v>9</v>
      </c>
    </row>
    <row r="87" spans="4:6" x14ac:dyDescent="0.25">
      <c r="D87" s="1" t="str">
        <v>ELC-CAM2</v>
      </c>
      <c r="E87" s="1" t="s">
        <v>985</v>
      </c>
      <c r="F87" s="1" t="s">
        <v>9</v>
      </c>
    </row>
    <row r="88" spans="4:6" x14ac:dyDescent="0.25">
      <c r="D88" s="1" t="str">
        <v>ELC-CAM3</v>
      </c>
      <c r="E88" s="1" t="s">
        <v>986</v>
      </c>
      <c r="F88" s="1" t="s">
        <v>9</v>
      </c>
    </row>
    <row r="89" spans="4:6" x14ac:dyDescent="0.25">
      <c r="D89" s="1" t="str">
        <v>ELC-CAM4</v>
      </c>
      <c r="E89" s="1" t="s">
        <v>987</v>
      </c>
      <c r="F89" s="1" t="s">
        <v>9</v>
      </c>
    </row>
    <row r="90" spans="4:6" x14ac:dyDescent="0.25">
      <c r="D90" s="1" t="str">
        <v>ELC-CAM5</v>
      </c>
      <c r="E90" s="1" t="s">
        <v>988</v>
      </c>
      <c r="F90" s="1" t="s">
        <v>9</v>
      </c>
    </row>
    <row r="91" spans="4:6" x14ac:dyDescent="0.25">
      <c r="D91" s="1" t="str">
        <v>ELC-CAM6</v>
      </c>
      <c r="E91" s="1" t="s">
        <v>989</v>
      </c>
      <c r="F91"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95"/>
  <sheetViews>
    <sheetView showGridLines="0" topLeftCell="A59" zoomScale="85" zoomScaleNormal="85" workbookViewId="0">
      <selection activeCell="Q89" sqref="P89:Q95"/>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16.85546875" customWidth="1"/>
    <col min="15" max="15" width="42.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565" t="s">
        <v>119</v>
      </c>
      <c r="C18" s="565"/>
      <c r="D18" s="565"/>
      <c r="E18" s="565"/>
      <c r="F18" s="565"/>
      <c r="G18" s="565"/>
      <c r="H18" s="565"/>
      <c r="I18" s="565"/>
      <c r="J18" s="565"/>
      <c r="L18" s="565" t="s">
        <v>124</v>
      </c>
      <c r="M18" s="565"/>
      <c r="N18" s="565"/>
      <c r="O18" s="565"/>
      <c r="P18" s="565"/>
      <c r="Q18" s="565"/>
      <c r="R18" s="565"/>
      <c r="S18" s="565"/>
      <c r="T18" s="565"/>
      <c r="V18" s="565" t="s">
        <v>121</v>
      </c>
      <c r="W18" s="565"/>
      <c r="X18" s="565"/>
      <c r="Y18" s="565"/>
      <c r="Z18" s="565"/>
      <c r="AA18" s="565"/>
      <c r="AB18" s="565"/>
      <c r="AC18" s="565"/>
      <c r="AD18" s="565"/>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+$D$6&amp;"-"&amp;B4:B13</f>
        <v>COL-CAM1</v>
      </c>
      <c r="O44" t="str" cm="1">
        <f t="array" ref="O44:O53">+"Colectores de "&amp;B4:B13</f>
        <v>Colectores de CAM1</v>
      </c>
      <c r="P44" t="s">
        <v>9</v>
      </c>
      <c r="Q44" t="s">
        <v>42</v>
      </c>
    </row>
    <row r="45" spans="4:17" x14ac:dyDescent="0.25">
      <c r="N45" t="str">
        <v>COL-CAM2</v>
      </c>
      <c r="O45" t="str">
        <v>Colectores de CAM2</v>
      </c>
      <c r="P45" t="s">
        <v>9</v>
      </c>
      <c r="Q45" t="s">
        <v>42</v>
      </c>
    </row>
    <row r="46" spans="4:17" x14ac:dyDescent="0.25">
      <c r="N46" t="str">
        <v>COL-CAM3</v>
      </c>
      <c r="O46" t="str">
        <v>Colectores de CAM3</v>
      </c>
      <c r="P46" t="s">
        <v>9</v>
      </c>
      <c r="Q46" t="s">
        <v>42</v>
      </c>
    </row>
    <row r="47" spans="4:17" x14ac:dyDescent="0.25">
      <c r="N47" t="str">
        <v>COL-CAM4</v>
      </c>
      <c r="O47" t="str">
        <v>Colectores de CAM4</v>
      </c>
      <c r="P47" t="s">
        <v>9</v>
      </c>
      <c r="Q47" t="s">
        <v>42</v>
      </c>
    </row>
    <row r="48" spans="4:17" x14ac:dyDescent="0.25">
      <c r="N48" t="str">
        <v>COL-CAM5</v>
      </c>
      <c r="O48" t="str">
        <v>Colectores de CAM5</v>
      </c>
      <c r="P48" t="s">
        <v>9</v>
      </c>
      <c r="Q48" t="s">
        <v>42</v>
      </c>
    </row>
    <row r="49" spans="14:17" x14ac:dyDescent="0.25">
      <c r="N49" t="str">
        <v>COL-CAM6</v>
      </c>
      <c r="O49" t="str">
        <v>Colectores de CAM6</v>
      </c>
      <c r="P49" t="s">
        <v>9</v>
      </c>
      <c r="Q49" t="s">
        <v>42</v>
      </c>
    </row>
    <row r="50" spans="14:17" x14ac:dyDescent="0.25">
      <c r="N50" t="str">
        <v>COL-CAM7</v>
      </c>
      <c r="O50" t="str">
        <v>Colectores de CAM7</v>
      </c>
      <c r="P50" t="s">
        <v>9</v>
      </c>
      <c r="Q50" t="s">
        <v>42</v>
      </c>
    </row>
    <row r="51" spans="14:17" x14ac:dyDescent="0.25">
      <c r="N51" t="str">
        <v>COL-CAM8</v>
      </c>
      <c r="O51" t="str">
        <v>Colectores de CAM8</v>
      </c>
      <c r="P51" t="s">
        <v>9</v>
      </c>
      <c r="Q51" t="s">
        <v>42</v>
      </c>
    </row>
    <row r="52" spans="14:17" x14ac:dyDescent="0.25">
      <c r="N52" t="str">
        <v>COL-CAM9</v>
      </c>
      <c r="O52" t="str">
        <v>Colectores de CAM9</v>
      </c>
      <c r="P52" t="s">
        <v>9</v>
      </c>
      <c r="Q52" t="s">
        <v>42</v>
      </c>
    </row>
    <row r="53" spans="14:17" x14ac:dyDescent="0.25">
      <c r="N53" t="str">
        <v>COL-CAM10</v>
      </c>
      <c r="O53" t="str">
        <v>Colectores de CAM10</v>
      </c>
      <c r="P53" t="s">
        <v>9</v>
      </c>
      <c r="Q53" t="s">
        <v>42</v>
      </c>
    </row>
    <row r="54" spans="14:17" x14ac:dyDescent="0.25">
      <c r="N54" t="str" cm="1">
        <f t="array" ref="N54:N63">+$D$8&amp;"-"&amp;$B$4:$B$13</f>
        <v>AUTO-G-CAM1</v>
      </c>
      <c r="O54" t="str" cm="1">
        <f t="array" ref="O54:O63">+"Autogeneracion con gas natural de "&amp;$B$4:$B$13</f>
        <v>Autogeneracion con gas natural de CAM1</v>
      </c>
      <c r="P54" t="s">
        <v>9</v>
      </c>
      <c r="Q54" t="s">
        <v>42</v>
      </c>
    </row>
    <row r="55" spans="14:17" x14ac:dyDescent="0.25">
      <c r="N55" t="str">
        <v>AUTO-G-CAM2</v>
      </c>
      <c r="O55" t="str">
        <v>Autogeneracion con gas natural de CAM2</v>
      </c>
      <c r="P55" t="s">
        <v>9</v>
      </c>
      <c r="Q55" t="s">
        <v>42</v>
      </c>
    </row>
    <row r="56" spans="14:17" x14ac:dyDescent="0.25">
      <c r="N56" t="str">
        <v>AUTO-G-CAM3</v>
      </c>
      <c r="O56" t="str">
        <v>Autogeneracion con gas natural de CAM3</v>
      </c>
      <c r="P56" t="s">
        <v>9</v>
      </c>
      <c r="Q56" t="s">
        <v>42</v>
      </c>
    </row>
    <row r="57" spans="14:17" x14ac:dyDescent="0.25">
      <c r="N57" t="str">
        <v>AUTO-G-CAM4</v>
      </c>
      <c r="O57" t="str">
        <v>Autogeneracion con gas natural de CAM4</v>
      </c>
      <c r="P57" t="s">
        <v>9</v>
      </c>
      <c r="Q57" t="s">
        <v>42</v>
      </c>
    </row>
    <row r="58" spans="14:17" x14ac:dyDescent="0.25">
      <c r="N58" t="str">
        <v>AUTO-G-CAM5</v>
      </c>
      <c r="O58" t="str">
        <v>Autogeneracion con gas natural de CAM5</v>
      </c>
      <c r="P58" t="s">
        <v>9</v>
      </c>
      <c r="Q58" t="s">
        <v>42</v>
      </c>
    </row>
    <row r="59" spans="14:17" x14ac:dyDescent="0.25">
      <c r="N59" t="str">
        <v>AUTO-G-CAM6</v>
      </c>
      <c r="O59" t="str">
        <v>Autogeneracion con gas natural de CAM6</v>
      </c>
      <c r="P59" t="s">
        <v>9</v>
      </c>
      <c r="Q59" t="s">
        <v>42</v>
      </c>
    </row>
    <row r="60" spans="14:17" x14ac:dyDescent="0.25">
      <c r="N60" t="str">
        <v>AUTO-G-CAM7</v>
      </c>
      <c r="O60" t="str">
        <v>Autogeneracion con gas natural de CAM7</v>
      </c>
      <c r="P60" t="s">
        <v>9</v>
      </c>
      <c r="Q60" t="s">
        <v>42</v>
      </c>
    </row>
    <row r="61" spans="14:17" x14ac:dyDescent="0.25">
      <c r="N61" t="str">
        <v>AUTO-G-CAM8</v>
      </c>
      <c r="O61" t="str">
        <v>Autogeneracion con gas natural de CAM8</v>
      </c>
      <c r="P61" t="s">
        <v>9</v>
      </c>
      <c r="Q61" t="s">
        <v>42</v>
      </c>
    </row>
    <row r="62" spans="14:17" x14ac:dyDescent="0.25">
      <c r="N62" t="str">
        <v>AUTO-G-CAM9</v>
      </c>
      <c r="O62" t="str">
        <v>Autogeneracion con gas natural de CAM9</v>
      </c>
      <c r="P62" t="s">
        <v>9</v>
      </c>
      <c r="Q62" t="s">
        <v>42</v>
      </c>
    </row>
    <row r="63" spans="14:17" x14ac:dyDescent="0.25">
      <c r="N63" t="str">
        <v>AUTO-G-CAM10</v>
      </c>
      <c r="O63" t="str">
        <v>Autogeneracion con gas natural de CAM10</v>
      </c>
      <c r="P63" t="s">
        <v>9</v>
      </c>
      <c r="Q63" t="s">
        <v>42</v>
      </c>
    </row>
    <row r="64" spans="14:17" x14ac:dyDescent="0.25">
      <c r="N64" t="str" cm="1">
        <f t="array" ref="N64:N73">+$D$10&amp;"-"&amp;$B$4:$B$13</f>
        <v>AUTO-O-CAM1</v>
      </c>
      <c r="O64" t="str" cm="1">
        <f t="array" ref="O64:O73">+"Autogeneracion con petroleo de "&amp;$B$4:$B$13</f>
        <v>Autogeneracion con petroleo de CAM1</v>
      </c>
      <c r="P64" t="s">
        <v>9</v>
      </c>
      <c r="Q64" t="s">
        <v>42</v>
      </c>
    </row>
    <row r="65" spans="14:17" x14ac:dyDescent="0.25">
      <c r="N65" t="str">
        <v>AUTO-O-CAM2</v>
      </c>
      <c r="O65" t="str">
        <v>Autogeneracion con petroleo de CAM2</v>
      </c>
      <c r="P65" t="s">
        <v>9</v>
      </c>
      <c r="Q65" t="s">
        <v>42</v>
      </c>
    </row>
    <row r="66" spans="14:17" x14ac:dyDescent="0.25">
      <c r="N66" t="str">
        <v>AUTO-O-CAM3</v>
      </c>
      <c r="O66" t="str">
        <v>Autogeneracion con petroleo de CAM3</v>
      </c>
      <c r="P66" t="s">
        <v>9</v>
      </c>
      <c r="Q66" t="s">
        <v>42</v>
      </c>
    </row>
    <row r="67" spans="14:17" x14ac:dyDescent="0.25">
      <c r="N67" t="str">
        <v>AUTO-O-CAM4</v>
      </c>
      <c r="O67" t="str">
        <v>Autogeneracion con petroleo de CAM4</v>
      </c>
      <c r="P67" t="s">
        <v>9</v>
      </c>
      <c r="Q67" t="s">
        <v>42</v>
      </c>
    </row>
    <row r="68" spans="14:17" x14ac:dyDescent="0.25">
      <c r="N68" t="str">
        <v>AUTO-O-CAM5</v>
      </c>
      <c r="O68" t="str">
        <v>Autogeneracion con petroleo de CAM5</v>
      </c>
      <c r="P68" t="s">
        <v>9</v>
      </c>
      <c r="Q68" t="s">
        <v>42</v>
      </c>
    </row>
    <row r="69" spans="14:17" x14ac:dyDescent="0.25">
      <c r="N69" t="str">
        <v>AUTO-O-CAM6</v>
      </c>
      <c r="O69" t="str">
        <v>Autogeneracion con petroleo de CAM6</v>
      </c>
      <c r="P69" t="s">
        <v>9</v>
      </c>
      <c r="Q69" t="s">
        <v>42</v>
      </c>
    </row>
    <row r="70" spans="14:17" x14ac:dyDescent="0.25">
      <c r="N70" t="str">
        <v>AUTO-O-CAM7</v>
      </c>
      <c r="O70" t="str">
        <v>Autogeneracion con petroleo de CAM7</v>
      </c>
      <c r="P70" t="s">
        <v>9</v>
      </c>
      <c r="Q70" t="s">
        <v>42</v>
      </c>
    </row>
    <row r="71" spans="14:17" x14ac:dyDescent="0.25">
      <c r="N71" t="str">
        <v>AUTO-O-CAM8</v>
      </c>
      <c r="O71" t="str">
        <v>Autogeneracion con petroleo de CAM8</v>
      </c>
      <c r="P71" t="s">
        <v>9</v>
      </c>
      <c r="Q71" t="s">
        <v>42</v>
      </c>
    </row>
    <row r="72" spans="14:17" x14ac:dyDescent="0.25">
      <c r="N72" t="str">
        <v>AUTO-O-CAM9</v>
      </c>
      <c r="O72" t="str">
        <v>Autogeneracion con petroleo de CAM9</v>
      </c>
      <c r="P72" t="s">
        <v>9</v>
      </c>
      <c r="Q72" t="s">
        <v>42</v>
      </c>
    </row>
    <row r="73" spans="14:17" x14ac:dyDescent="0.25">
      <c r="N73" t="str">
        <v>AUTO-O-CAM10</v>
      </c>
      <c r="O73" t="str">
        <v>Autogeneracion con petroleo de CAM10</v>
      </c>
      <c r="P73" t="s">
        <v>9</v>
      </c>
      <c r="Q73" t="s">
        <v>42</v>
      </c>
    </row>
    <row r="74" spans="14:17" x14ac:dyDescent="0.25">
      <c r="N74" t="str" cm="1">
        <f t="array" ref="N74:N79">+"SEP-"&amp;B4:B9</f>
        <v>SEP-CAM1</v>
      </c>
      <c r="O74" t="s">
        <v>946</v>
      </c>
      <c r="P74" t="s">
        <v>9</v>
      </c>
      <c r="Q74" t="s">
        <v>42</v>
      </c>
    </row>
    <row r="75" spans="14:17" x14ac:dyDescent="0.25">
      <c r="N75" t="str">
        <v>SEP-CAM2</v>
      </c>
      <c r="O75" t="s">
        <v>947</v>
      </c>
      <c r="P75" t="s">
        <v>9</v>
      </c>
      <c r="Q75" t="s">
        <v>42</v>
      </c>
    </row>
    <row r="76" spans="14:17" x14ac:dyDescent="0.25">
      <c r="N76" t="str">
        <v>SEP-CAM3</v>
      </c>
      <c r="O76" t="s">
        <v>948</v>
      </c>
      <c r="P76" t="s">
        <v>9</v>
      </c>
      <c r="Q76" t="s">
        <v>42</v>
      </c>
    </row>
    <row r="77" spans="14:17" x14ac:dyDescent="0.25">
      <c r="N77" t="str">
        <v>SEP-CAM4</v>
      </c>
      <c r="O77" t="s">
        <v>949</v>
      </c>
      <c r="P77" t="s">
        <v>9</v>
      </c>
      <c r="Q77" t="s">
        <v>42</v>
      </c>
    </row>
    <row r="78" spans="14:17" x14ac:dyDescent="0.25">
      <c r="N78" t="str">
        <v>SEP-CAM5</v>
      </c>
      <c r="O78" t="s">
        <v>950</v>
      </c>
      <c r="P78" t="s">
        <v>9</v>
      </c>
      <c r="Q78" t="s">
        <v>42</v>
      </c>
    </row>
    <row r="79" spans="14:17" x14ac:dyDescent="0.25">
      <c r="N79" t="str">
        <v>SEP-CAM6</v>
      </c>
      <c r="O79" t="s">
        <v>951</v>
      </c>
      <c r="P79" t="s">
        <v>9</v>
      </c>
      <c r="Q79" t="s">
        <v>42</v>
      </c>
    </row>
    <row r="80" spans="14:17" x14ac:dyDescent="0.25">
      <c r="N80" t="s">
        <v>953</v>
      </c>
      <c r="O80" t="s">
        <v>957</v>
      </c>
      <c r="P80" t="s">
        <v>9</v>
      </c>
      <c r="Q80" t="s">
        <v>42</v>
      </c>
    </row>
    <row r="81" spans="14:17" x14ac:dyDescent="0.25">
      <c r="N81" t="s">
        <v>954</v>
      </c>
      <c r="O81" t="s">
        <v>958</v>
      </c>
      <c r="P81" t="s">
        <v>9</v>
      </c>
      <c r="Q81" t="s">
        <v>42</v>
      </c>
    </row>
    <row r="82" spans="14:17" x14ac:dyDescent="0.25">
      <c r="N82" t="s">
        <v>955</v>
      </c>
      <c r="O82" t="s">
        <v>959</v>
      </c>
      <c r="P82" t="s">
        <v>9</v>
      </c>
      <c r="Q82" t="s">
        <v>42</v>
      </c>
    </row>
    <row r="83" spans="14:17" x14ac:dyDescent="0.25">
      <c r="N83" t="s">
        <v>956</v>
      </c>
      <c r="O83" t="s">
        <v>960</v>
      </c>
      <c r="P83" t="s">
        <v>9</v>
      </c>
      <c r="Q83" t="s">
        <v>42</v>
      </c>
    </row>
    <row r="84" spans="14:17" x14ac:dyDescent="0.25">
      <c r="N84" t="str" cm="1">
        <f t="array" ref="N84:N89">+"PLT-"&amp;B4:B9</f>
        <v>PLT-CAM1</v>
      </c>
      <c r="O84" t="s">
        <v>963</v>
      </c>
      <c r="P84" t="s">
        <v>9</v>
      </c>
      <c r="Q84" t="s">
        <v>42</v>
      </c>
    </row>
    <row r="85" spans="14:17" x14ac:dyDescent="0.25">
      <c r="N85" t="str">
        <v>PLT-CAM2</v>
      </c>
      <c r="O85" t="s">
        <v>964</v>
      </c>
      <c r="P85" t="s">
        <v>9</v>
      </c>
      <c r="Q85" t="s">
        <v>42</v>
      </c>
    </row>
    <row r="86" spans="14:17" x14ac:dyDescent="0.25">
      <c r="N86" t="str">
        <v>PLT-CAM3</v>
      </c>
      <c r="O86" t="s">
        <v>965</v>
      </c>
      <c r="P86" t="s">
        <v>9</v>
      </c>
      <c r="Q86" t="s">
        <v>42</v>
      </c>
    </row>
    <row r="87" spans="14:17" x14ac:dyDescent="0.25">
      <c r="N87" t="str">
        <v>PLT-CAM4</v>
      </c>
      <c r="O87" t="s">
        <v>966</v>
      </c>
      <c r="P87" t="s">
        <v>9</v>
      </c>
      <c r="Q87" t="s">
        <v>42</v>
      </c>
    </row>
    <row r="88" spans="14:17" x14ac:dyDescent="0.25">
      <c r="N88" t="str">
        <v>PLT-CAM5</v>
      </c>
      <c r="O88" t="s">
        <v>967</v>
      </c>
      <c r="P88" t="s">
        <v>9</v>
      </c>
      <c r="Q88" t="s">
        <v>42</v>
      </c>
    </row>
    <row r="89" spans="14:17" x14ac:dyDescent="0.25">
      <c r="N89" t="str">
        <v>PLT-CAM6</v>
      </c>
      <c r="O89" t="s">
        <v>968</v>
      </c>
      <c r="P89" t="s">
        <v>9</v>
      </c>
      <c r="Q89" t="s">
        <v>42</v>
      </c>
    </row>
    <row r="90" spans="14:17" x14ac:dyDescent="0.25">
      <c r="N90" s="557" t="s">
        <v>1002</v>
      </c>
      <c r="O90" s="417" t="s">
        <v>1012</v>
      </c>
      <c r="P90" t="s">
        <v>9</v>
      </c>
      <c r="Q90" t="s">
        <v>42</v>
      </c>
    </row>
    <row r="91" spans="14:17" x14ac:dyDescent="0.25">
      <c r="N91" s="557" t="s">
        <v>1003</v>
      </c>
      <c r="O91" s="417" t="s">
        <v>1013</v>
      </c>
      <c r="P91" t="s">
        <v>9</v>
      </c>
      <c r="Q91" t="s">
        <v>42</v>
      </c>
    </row>
    <row r="92" spans="14:17" x14ac:dyDescent="0.25">
      <c r="N92" s="557" t="s">
        <v>1004</v>
      </c>
      <c r="O92" s="417" t="s">
        <v>1014</v>
      </c>
      <c r="P92" t="s">
        <v>9</v>
      </c>
      <c r="Q92" t="s">
        <v>42</v>
      </c>
    </row>
    <row r="93" spans="14:17" x14ac:dyDescent="0.25">
      <c r="N93" s="557" t="s">
        <v>1005</v>
      </c>
      <c r="O93" s="417" t="s">
        <v>1015</v>
      </c>
      <c r="P93" t="s">
        <v>9</v>
      </c>
      <c r="Q93" t="s">
        <v>42</v>
      </c>
    </row>
    <row r="94" spans="14:17" x14ac:dyDescent="0.25">
      <c r="N94" s="557" t="s">
        <v>1006</v>
      </c>
      <c r="O94" s="417" t="s">
        <v>1016</v>
      </c>
      <c r="P94" t="s">
        <v>9</v>
      </c>
      <c r="Q94" t="s">
        <v>42</v>
      </c>
    </row>
    <row r="95" spans="14:17" x14ac:dyDescent="0.25">
      <c r="N95" s="557" t="s">
        <v>1007</v>
      </c>
      <c r="O95" s="417" t="s">
        <v>1017</v>
      </c>
      <c r="P95" t="s">
        <v>9</v>
      </c>
      <c r="Q95"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39" zoomScale="145" zoomScaleNormal="145" workbookViewId="0">
      <selection activeCell="D98" sqref="D98"/>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566" t="s">
        <v>278</v>
      </c>
      <c r="G2" s="567"/>
    </row>
    <row r="3" spans="2:41" ht="15" x14ac:dyDescent="0.25">
      <c r="F3" s="212" t="s">
        <v>404</v>
      </c>
      <c r="G3" s="207" t="s">
        <v>405</v>
      </c>
    </row>
    <row r="4" spans="2:41" ht="15" x14ac:dyDescent="0.25">
      <c r="F4" s="213" t="s">
        <v>460</v>
      </c>
      <c r="G4" s="187" t="s">
        <v>282</v>
      </c>
    </row>
    <row r="5" spans="2:41" ht="15" x14ac:dyDescent="0.25">
      <c r="B5" s="243" t="s">
        <v>247</v>
      </c>
      <c r="C5" s="244" t="s">
        <v>489</v>
      </c>
      <c r="D5" s="244" t="s">
        <v>490</v>
      </c>
      <c r="E5" s="245" t="s">
        <v>491</v>
      </c>
      <c r="F5" s="213" t="s">
        <v>471</v>
      </c>
      <c r="G5" s="187" t="s">
        <v>473</v>
      </c>
    </row>
    <row r="6" spans="2:41" ht="15" x14ac:dyDescent="0.25">
      <c r="B6" s="208" t="s">
        <v>406</v>
      </c>
      <c r="C6" s="227" t="s">
        <v>492</v>
      </c>
      <c r="D6" s="222" t="s">
        <v>503</v>
      </c>
      <c r="E6" s="156" t="s">
        <v>51</v>
      </c>
      <c r="F6" s="214">
        <f>E45</f>
        <v>1.0095573442026637</v>
      </c>
      <c r="G6" s="203">
        <f>F45</f>
        <v>55.539114956987063</v>
      </c>
    </row>
    <row r="7" spans="2:41" ht="15" x14ac:dyDescent="0.25">
      <c r="B7" s="209" t="s">
        <v>407</v>
      </c>
      <c r="C7" s="228" t="s">
        <v>493</v>
      </c>
      <c r="D7" s="568" t="s">
        <v>504</v>
      </c>
      <c r="E7" s="145" t="s">
        <v>52</v>
      </c>
      <c r="F7" s="215">
        <f>E46</f>
        <v>6.0871741676095334</v>
      </c>
      <c r="G7" s="204">
        <f>F46</f>
        <v>77.841777688967127</v>
      </c>
      <c r="J7" s="124">
        <f>IF(E62&lt;$S$49,D44*(100%-$Q$49),D44*(100%-$Q$49))</f>
        <v>0</v>
      </c>
    </row>
    <row r="8" spans="2:41" ht="15" x14ac:dyDescent="0.25">
      <c r="B8" s="210" t="s">
        <v>412</v>
      </c>
      <c r="C8" s="229" t="s">
        <v>494</v>
      </c>
      <c r="D8" s="569"/>
      <c r="E8" s="19" t="s">
        <v>67</v>
      </c>
      <c r="F8" s="220"/>
      <c r="G8" s="218"/>
    </row>
    <row r="9" spans="2:41" ht="15" x14ac:dyDescent="0.25">
      <c r="B9" s="211" t="s">
        <v>408</v>
      </c>
      <c r="C9" s="230" t="s">
        <v>494</v>
      </c>
      <c r="D9" s="570"/>
      <c r="E9" s="153" t="s">
        <v>53</v>
      </c>
      <c r="F9" s="221"/>
      <c r="G9" s="219"/>
    </row>
    <row r="10" spans="2:41" ht="15" x14ac:dyDescent="0.25">
      <c r="B10" s="209" t="s">
        <v>409</v>
      </c>
      <c r="C10" s="228" t="s">
        <v>495</v>
      </c>
      <c r="D10" s="223" t="s">
        <v>505</v>
      </c>
      <c r="E10" s="145" t="s">
        <v>45</v>
      </c>
      <c r="F10" s="215">
        <f t="shared" ref="F10:G16" si="0">E49</f>
        <v>5.3308987344700309</v>
      </c>
      <c r="G10" s="204">
        <f t="shared" si="0"/>
        <v>69.193827140333724</v>
      </c>
    </row>
    <row r="11" spans="2:41" ht="15" x14ac:dyDescent="0.25">
      <c r="B11" s="210" t="s">
        <v>410</v>
      </c>
      <c r="C11" s="229" t="s">
        <v>496</v>
      </c>
      <c r="D11" s="226" t="s">
        <v>506</v>
      </c>
      <c r="E11" s="19" t="s">
        <v>47</v>
      </c>
      <c r="F11" s="216">
        <f t="shared" si="0"/>
        <v>5.6708498400612823</v>
      </c>
      <c r="G11" s="205">
        <f t="shared" si="0"/>
        <v>75.166375708662926</v>
      </c>
      <c r="AK11" s="124"/>
      <c r="AL11" s="124"/>
      <c r="AM11" s="124"/>
      <c r="AN11" s="124"/>
      <c r="AO11" s="125"/>
    </row>
    <row r="12" spans="2:41" ht="15" x14ac:dyDescent="0.25">
      <c r="B12" s="210" t="s">
        <v>87</v>
      </c>
      <c r="C12" s="229" t="s">
        <v>497</v>
      </c>
      <c r="D12" s="226" t="s">
        <v>507</v>
      </c>
      <c r="E12" s="19" t="s">
        <v>48</v>
      </c>
      <c r="F12" s="216">
        <f t="shared" si="0"/>
        <v>4.7117947967516214</v>
      </c>
      <c r="G12" s="205">
        <f t="shared" si="0"/>
        <v>87.735056011523966</v>
      </c>
      <c r="AK12" s="124"/>
      <c r="AL12" s="124"/>
      <c r="AM12" s="124"/>
      <c r="AN12" s="124"/>
      <c r="AO12" s="125"/>
    </row>
    <row r="13" spans="2:41" ht="15" x14ac:dyDescent="0.25">
      <c r="B13" s="210" t="s">
        <v>411</v>
      </c>
      <c r="C13" s="229" t="s">
        <v>498</v>
      </c>
      <c r="D13" s="224" t="s">
        <v>508</v>
      </c>
      <c r="E13" s="19" t="s">
        <v>49</v>
      </c>
      <c r="F13" s="216">
        <f t="shared" si="0"/>
        <v>4.0562660463586173</v>
      </c>
      <c r="G13" s="205">
        <f t="shared" si="0"/>
        <v>47.28933824683137</v>
      </c>
      <c r="AK13" s="124" t="s">
        <v>556</v>
      </c>
      <c r="AL13" s="124">
        <v>450000</v>
      </c>
      <c r="AM13" s="124" t="s">
        <v>557</v>
      </c>
      <c r="AN13" s="124"/>
      <c r="AO13" s="125"/>
    </row>
    <row r="14" spans="2:41" ht="15" x14ac:dyDescent="0.25">
      <c r="B14" s="211" t="s">
        <v>413</v>
      </c>
      <c r="C14" s="230" t="s">
        <v>499</v>
      </c>
      <c r="D14" s="225" t="s">
        <v>509</v>
      </c>
      <c r="E14" s="153" t="s">
        <v>50</v>
      </c>
      <c r="F14" s="217">
        <f t="shared" si="0"/>
        <v>5.4608206169323079</v>
      </c>
      <c r="G14" s="206">
        <f t="shared" si="0"/>
        <v>78.281203343664757</v>
      </c>
      <c r="AK14" s="124"/>
      <c r="AL14" s="124">
        <f>+AL13*365/1000</f>
        <v>164250</v>
      </c>
      <c r="AM14" s="124" t="s">
        <v>558</v>
      </c>
      <c r="AN14" s="124"/>
      <c r="AO14" s="125"/>
    </row>
    <row r="15" spans="2:41" ht="15" x14ac:dyDescent="0.25">
      <c r="B15" s="209" t="s">
        <v>89</v>
      </c>
      <c r="C15" s="228" t="s">
        <v>500</v>
      </c>
      <c r="D15" s="223" t="s">
        <v>510</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501</v>
      </c>
      <c r="D16" s="225" t="s">
        <v>511</v>
      </c>
      <c r="E16" s="153" t="s">
        <v>44</v>
      </c>
      <c r="F16" s="217">
        <f t="shared" si="0"/>
        <v>5.274111587340502</v>
      </c>
      <c r="G16" s="206">
        <f t="shared" si="0"/>
        <v>54.806487022879928</v>
      </c>
      <c r="AK16" s="124"/>
      <c r="AL16" s="124"/>
      <c r="AM16" s="124"/>
      <c r="AN16" s="124"/>
      <c r="AO16" s="125"/>
    </row>
    <row r="17" spans="2:45" ht="15" x14ac:dyDescent="0.25">
      <c r="B17" s="209" t="s">
        <v>487</v>
      </c>
      <c r="C17" s="239" t="s">
        <v>502</v>
      </c>
      <c r="D17" s="231" t="s">
        <v>513</v>
      </c>
      <c r="E17" s="232" t="s">
        <v>54</v>
      </c>
      <c r="F17" s="192">
        <f>+F15*C22+F10*(1-C22)</f>
        <v>5.1927630695557223</v>
      </c>
      <c r="G17" s="234">
        <f>+G15*C21+G10*(1-C21)</f>
        <v>70.750256038375028</v>
      </c>
      <c r="AK17" s="124"/>
      <c r="AL17" s="124"/>
      <c r="AM17" s="124"/>
      <c r="AN17" s="124"/>
      <c r="AO17" s="125"/>
    </row>
    <row r="18" spans="2:45" ht="15" x14ac:dyDescent="0.25">
      <c r="B18" s="211" t="s">
        <v>414</v>
      </c>
      <c r="C18" s="238" t="s">
        <v>502</v>
      </c>
      <c r="D18" s="238" t="s">
        <v>513</v>
      </c>
      <c r="E18" s="233" t="s">
        <v>55</v>
      </c>
      <c r="F18" s="195">
        <f>+F16*D22+F11*(1-D22)</f>
        <v>5.6336916725609152</v>
      </c>
      <c r="G18" s="235">
        <f>+G16*C22+G11*(1-C22)</f>
        <v>73.993213981551321</v>
      </c>
      <c r="AK18" s="124" t="s">
        <v>559</v>
      </c>
      <c r="AL18" s="124">
        <v>5119</v>
      </c>
      <c r="AM18" s="124" t="s">
        <v>560</v>
      </c>
      <c r="AN18" s="276">
        <f>+AL18*0.0036</f>
        <v>18.4284</v>
      </c>
      <c r="AO18" s="125" t="s">
        <v>9</v>
      </c>
    </row>
    <row r="19" spans="2:45" x14ac:dyDescent="0.2">
      <c r="B19" s="142" t="s">
        <v>482</v>
      </c>
      <c r="AK19" s="124"/>
      <c r="AL19" s="124">
        <v>2300</v>
      </c>
      <c r="AM19" s="124" t="s">
        <v>560</v>
      </c>
      <c r="AN19" s="276">
        <f t="shared" ref="AN19:AN23" si="1">+AL19*0.0036</f>
        <v>8.2799999999999994</v>
      </c>
      <c r="AO19" s="125" t="s">
        <v>9</v>
      </c>
    </row>
    <row r="20" spans="2:45" ht="10.5" customHeight="1" x14ac:dyDescent="0.2">
      <c r="B20" s="236"/>
      <c r="C20" s="236" t="s">
        <v>89</v>
      </c>
      <c r="D20" s="236" t="s">
        <v>90</v>
      </c>
      <c r="AK20" s="124"/>
      <c r="AL20" s="124">
        <f>+AL19+AL18</f>
        <v>7419</v>
      </c>
      <c r="AM20" s="124" t="s">
        <v>560</v>
      </c>
      <c r="AN20" s="276">
        <f t="shared" si="1"/>
        <v>26.708400000000001</v>
      </c>
      <c r="AO20" s="125" t="s">
        <v>9</v>
      </c>
    </row>
    <row r="21" spans="2:45" ht="10.5" customHeight="1" x14ac:dyDescent="0.2">
      <c r="B21" s="236" t="s">
        <v>486</v>
      </c>
      <c r="C21" s="237">
        <v>0.1</v>
      </c>
      <c r="D21" s="237">
        <v>0.1</v>
      </c>
      <c r="AK21" s="124"/>
      <c r="AL21" s="124"/>
      <c r="AM21" s="124"/>
      <c r="AN21" s="276"/>
      <c r="AO21" s="125"/>
    </row>
    <row r="22" spans="2:45" ht="9.75" customHeight="1" x14ac:dyDescent="0.2">
      <c r="B22" s="166" t="s">
        <v>488</v>
      </c>
      <c r="C22" s="168">
        <f>+C21*F15/(C21*F15+(1-C21)*F10)</f>
        <v>5.7621225008503835E-2</v>
      </c>
      <c r="D22" s="168">
        <f>+D21*F16/(D21*F16+(1-D21)*F11)</f>
        <v>9.3659149944684009E-2</v>
      </c>
      <c r="AK22" s="124" t="s">
        <v>561</v>
      </c>
      <c r="AL22" s="124">
        <v>3031</v>
      </c>
      <c r="AM22" s="124" t="s">
        <v>560</v>
      </c>
      <c r="AN22" s="276">
        <f t="shared" si="1"/>
        <v>10.9116</v>
      </c>
      <c r="AO22" s="125" t="s">
        <v>9</v>
      </c>
    </row>
    <row r="23" spans="2:45" x14ac:dyDescent="0.2">
      <c r="AK23" s="124"/>
      <c r="AL23" s="124">
        <v>1646</v>
      </c>
      <c r="AM23" s="124" t="s">
        <v>560</v>
      </c>
      <c r="AN23" s="276">
        <f t="shared" si="1"/>
        <v>5.9256000000000002</v>
      </c>
      <c r="AO23" s="125" t="s">
        <v>9</v>
      </c>
    </row>
    <row r="24" spans="2:45" x14ac:dyDescent="0.2">
      <c r="B24" s="241" t="s">
        <v>514</v>
      </c>
      <c r="C24" s="158" t="s">
        <v>517</v>
      </c>
      <c r="D24" s="158" t="s">
        <v>517</v>
      </c>
      <c r="E24" s="241" t="s">
        <v>519</v>
      </c>
      <c r="F24" s="246">
        <v>4.7615165047769556</v>
      </c>
      <c r="G24" s="247">
        <f>56337.8123815025/1000</f>
        <v>56.337812381502502</v>
      </c>
      <c r="AK24" s="124"/>
      <c r="AL24" s="124"/>
      <c r="AM24" s="124"/>
      <c r="AN24" s="276">
        <f>+AN22+AN23</f>
        <v>16.837199999999999</v>
      </c>
      <c r="AO24" s="125" t="s">
        <v>9</v>
      </c>
    </row>
    <row r="25" spans="2:45" x14ac:dyDescent="0.2">
      <c r="B25" s="242" t="s">
        <v>515</v>
      </c>
      <c r="C25" s="159" t="s">
        <v>518</v>
      </c>
      <c r="D25" s="159" t="s">
        <v>512</v>
      </c>
      <c r="E25" s="242" t="s">
        <v>516</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562</v>
      </c>
      <c r="AL27" s="277">
        <f>+AN24/AL15</f>
        <v>1.6840258914647084E-2</v>
      </c>
      <c r="AM27" s="124" t="s">
        <v>563</v>
      </c>
      <c r="AN27" s="124"/>
      <c r="AO27" s="125"/>
    </row>
    <row r="28" spans="2:45" ht="15" x14ac:dyDescent="0.25">
      <c r="B28" s="38" t="s">
        <v>537</v>
      </c>
      <c r="E28" s="38" t="s">
        <v>539</v>
      </c>
      <c r="F28" s="190">
        <f>+F15*C32+F10*(1-C32)</f>
        <v>5.1186992628422185</v>
      </c>
      <c r="G28" s="234">
        <f>+G15*C32+G10*(1-C32)</f>
        <v>70.571513150623119</v>
      </c>
      <c r="AK28" s="124"/>
      <c r="AL28" s="124"/>
      <c r="AM28" s="124"/>
      <c r="AN28" s="124"/>
      <c r="AO28" s="125"/>
    </row>
    <row r="29" spans="2:45" ht="15" x14ac:dyDescent="0.25">
      <c r="B29" s="38" t="s">
        <v>538</v>
      </c>
      <c r="E29" s="38" t="s">
        <v>540</v>
      </c>
      <c r="F29" s="195">
        <f>+F16*D32+F11*(1-D32)</f>
        <v>5.6149155493940253</v>
      </c>
      <c r="G29" s="235">
        <f>+G16*D32+G11*(1-D32)</f>
        <v>72.295929201693298</v>
      </c>
      <c r="AK29" s="124"/>
      <c r="AL29" s="124"/>
      <c r="AM29" s="124"/>
      <c r="AN29" s="124"/>
      <c r="AO29" s="125"/>
      <c r="AP29" s="38" t="s">
        <v>567</v>
      </c>
    </row>
    <row r="30" spans="2:45" x14ac:dyDescent="0.2">
      <c r="B30" s="236"/>
      <c r="C30" s="236" t="s">
        <v>89</v>
      </c>
      <c r="D30" s="236" t="s">
        <v>90</v>
      </c>
      <c r="AK30" s="124" t="s">
        <v>564</v>
      </c>
      <c r="AL30" s="275">
        <f>3400/31</f>
        <v>109.6774193548387</v>
      </c>
      <c r="AM30" s="124" t="s">
        <v>565</v>
      </c>
      <c r="AN30" s="278">
        <f>+AL30*$F$6/1000</f>
        <v>0.11072564420287279</v>
      </c>
      <c r="AO30" s="125" t="s">
        <v>9</v>
      </c>
      <c r="AP30" s="279">
        <f>+AN30*$G$6</f>
        <v>6.1496042820697996</v>
      </c>
      <c r="AQ30" s="38" t="s">
        <v>100</v>
      </c>
    </row>
    <row r="31" spans="2:45" x14ac:dyDescent="0.2">
      <c r="B31" s="236" t="s">
        <v>486</v>
      </c>
      <c r="C31" s="237">
        <v>0.15</v>
      </c>
      <c r="D31" s="237">
        <v>0.15</v>
      </c>
      <c r="AK31" s="124"/>
      <c r="AL31" s="275">
        <f>+AL30*365</f>
        <v>40032.258064516129</v>
      </c>
      <c r="AM31" s="124" t="s">
        <v>265</v>
      </c>
      <c r="AN31" s="278">
        <f>+AL31*$F$6/1000</f>
        <v>40.414860134048567</v>
      </c>
      <c r="AO31" s="125" t="s">
        <v>9</v>
      </c>
      <c r="AP31" s="279">
        <f>+AN31*$G$6</f>
        <v>2244.6055629554771</v>
      </c>
      <c r="AQ31" s="38" t="s">
        <v>100</v>
      </c>
      <c r="AR31" s="280">
        <f>+AN31*0.35/0.0036</f>
        <v>3929.2225130324991</v>
      </c>
      <c r="AS31" s="38" t="s">
        <v>560</v>
      </c>
    </row>
    <row r="32" spans="2:45" x14ac:dyDescent="0.2">
      <c r="B32" s="166" t="s">
        <v>488</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650</v>
      </c>
      <c r="AK34" s="124" t="s">
        <v>566</v>
      </c>
      <c r="AL34" s="274">
        <f>825/31</f>
        <v>26.612903225806452</v>
      </c>
      <c r="AM34" s="124" t="s">
        <v>565</v>
      </c>
      <c r="AN34" s="278">
        <f>+AL34*$F$6/1000</f>
        <v>2.6867251902167662E-2</v>
      </c>
      <c r="AO34" s="125" t="s">
        <v>9</v>
      </c>
      <c r="AP34" s="279">
        <f>+AN34*$G$6</f>
        <v>1.4921833919728191</v>
      </c>
      <c r="AQ34" s="38" t="s">
        <v>100</v>
      </c>
    </row>
    <row r="35" spans="2:43" x14ac:dyDescent="0.2">
      <c r="AK35" s="124"/>
      <c r="AL35" s="274">
        <f>+AL34/365</f>
        <v>7.2912063632346438E-2</v>
      </c>
      <c r="AM35" s="124" t="s">
        <v>265</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594" t="s">
        <v>278</v>
      </c>
      <c r="F41" s="595"/>
      <c r="G41" s="594" t="s">
        <v>484</v>
      </c>
      <c r="H41" s="597"/>
      <c r="I41" s="597"/>
      <c r="J41" s="597"/>
      <c r="K41" s="597"/>
      <c r="L41" s="597"/>
      <c r="M41" s="597"/>
      <c r="N41" s="595"/>
    </row>
    <row r="42" spans="2:43" ht="15" x14ac:dyDescent="0.25">
      <c r="B42"/>
      <c r="C42"/>
      <c r="D42"/>
      <c r="E42" s="175" t="s">
        <v>404</v>
      </c>
      <c r="F42" s="186" t="s">
        <v>405</v>
      </c>
      <c r="G42" s="172"/>
      <c r="K42" s="596" t="s">
        <v>331</v>
      </c>
      <c r="L42" s="596"/>
      <c r="M42" s="596"/>
      <c r="N42" s="174"/>
    </row>
    <row r="43" spans="2:43" ht="15" x14ac:dyDescent="0.25">
      <c r="D43" s="20"/>
      <c r="E43" s="175" t="s">
        <v>460</v>
      </c>
      <c r="F43" s="187" t="s">
        <v>282</v>
      </c>
      <c r="G43" s="172"/>
      <c r="K43" s="124">
        <v>1</v>
      </c>
      <c r="L43" s="124">
        <v>28</v>
      </c>
      <c r="M43" s="124">
        <v>265</v>
      </c>
      <c r="N43" s="174"/>
    </row>
    <row r="44" spans="2:43" ht="15" x14ac:dyDescent="0.25">
      <c r="B44" s="121" t="s">
        <v>247</v>
      </c>
      <c r="C44" s="121" t="s">
        <v>403</v>
      </c>
      <c r="D44" s="20"/>
      <c r="E44" s="175" t="s">
        <v>471</v>
      </c>
      <c r="F44" s="187" t="s">
        <v>473</v>
      </c>
      <c r="G44" s="175" t="s">
        <v>471</v>
      </c>
      <c r="I44" s="38" t="s">
        <v>351</v>
      </c>
      <c r="J44" s="176" t="s">
        <v>485</v>
      </c>
      <c r="K44" s="173" t="s">
        <v>399</v>
      </c>
      <c r="L44" s="173" t="s">
        <v>400</v>
      </c>
      <c r="M44" s="173" t="s">
        <v>401</v>
      </c>
      <c r="N44" s="177" t="s">
        <v>472</v>
      </c>
    </row>
    <row r="45" spans="2:43" ht="15" x14ac:dyDescent="0.25">
      <c r="B45" s="102" t="s">
        <v>406</v>
      </c>
      <c r="C45" s="155" t="s">
        <v>465</v>
      </c>
      <c r="D45" s="156" t="s">
        <v>51</v>
      </c>
      <c r="E45" s="188">
        <f>+G111</f>
        <v>1.0095573442026637</v>
      </c>
      <c r="F45" s="189">
        <f>+L111*1000</f>
        <v>55.539114956987063</v>
      </c>
      <c r="G45" s="178">
        <v>1.0095573442026637</v>
      </c>
      <c r="H45" s="161" t="s">
        <v>474</v>
      </c>
      <c r="I45" s="157">
        <f>47.6420911660953*1000</f>
        <v>47642.091166095299</v>
      </c>
      <c r="J45" s="165" t="s">
        <v>483</v>
      </c>
      <c r="K45" s="124">
        <v>55539.086900000002</v>
      </c>
      <c r="L45" s="124">
        <v>1</v>
      </c>
      <c r="M45" s="124">
        <v>0.1</v>
      </c>
      <c r="N45" s="179">
        <f>+SUMPRODUCT($K$43:$M$43,K45:M45)/1000</f>
        <v>55.593586900000005</v>
      </c>
    </row>
    <row r="46" spans="2:43" ht="15" x14ac:dyDescent="0.25">
      <c r="B46" s="143" t="s">
        <v>407</v>
      </c>
      <c r="C46" s="144" t="s">
        <v>464</v>
      </c>
      <c r="D46" s="145" t="s">
        <v>52</v>
      </c>
      <c r="E46" s="585">
        <f>+G114</f>
        <v>6.0871741676095334</v>
      </c>
      <c r="F46" s="588">
        <f>+L114*1000</f>
        <v>77.841777688967127</v>
      </c>
      <c r="G46" s="579">
        <v>6.0871741676095334</v>
      </c>
      <c r="H46" s="582" t="s">
        <v>474</v>
      </c>
      <c r="I46" s="582">
        <v>40670.462586675276</v>
      </c>
      <c r="J46" s="591" t="s">
        <v>480</v>
      </c>
      <c r="K46" s="124">
        <v>77841.778000000006</v>
      </c>
      <c r="L46" s="124">
        <v>3</v>
      </c>
      <c r="M46" s="124">
        <v>0.6</v>
      </c>
      <c r="N46" s="179">
        <f>+SUMPRODUCT($K$43:$M$43,K46:M46)/1000</f>
        <v>78.084778</v>
      </c>
    </row>
    <row r="47" spans="2:43" ht="15" x14ac:dyDescent="0.25">
      <c r="B47" s="148" t="s">
        <v>412</v>
      </c>
      <c r="C47" t="s">
        <v>464</v>
      </c>
      <c r="D47" s="19" t="s">
        <v>67</v>
      </c>
      <c r="E47" s="586"/>
      <c r="F47" s="589"/>
      <c r="G47" s="580"/>
      <c r="H47" s="583"/>
      <c r="I47" s="583"/>
      <c r="J47" s="592"/>
      <c r="N47" s="179"/>
    </row>
    <row r="48" spans="2:43" ht="15" x14ac:dyDescent="0.25">
      <c r="B48" s="151" t="s">
        <v>408</v>
      </c>
      <c r="C48" s="152" t="s">
        <v>464</v>
      </c>
      <c r="D48" s="153" t="s">
        <v>53</v>
      </c>
      <c r="E48" s="587"/>
      <c r="F48" s="590"/>
      <c r="G48" s="581"/>
      <c r="H48" s="584"/>
      <c r="I48" s="584"/>
      <c r="J48" s="593"/>
      <c r="N48" s="179"/>
    </row>
    <row r="49" spans="2:14" ht="15" x14ac:dyDescent="0.25">
      <c r="B49" s="143" t="s">
        <v>409</v>
      </c>
      <c r="C49" s="144" t="s">
        <v>463</v>
      </c>
      <c r="D49" s="145" t="s">
        <v>45</v>
      </c>
      <c r="E49" s="190">
        <f>+G134</f>
        <v>5.3308987344700309</v>
      </c>
      <c r="F49" s="191">
        <f>+L134*1000</f>
        <v>69.193827140333724</v>
      </c>
      <c r="G49" s="180">
        <v>5.336650070123496</v>
      </c>
      <c r="H49" s="162" t="s">
        <v>474</v>
      </c>
      <c r="I49" s="158">
        <v>45329.53267685703</v>
      </c>
      <c r="J49" s="147" t="s">
        <v>478</v>
      </c>
      <c r="K49" s="124">
        <v>69323.686000000002</v>
      </c>
      <c r="L49" s="124">
        <v>3</v>
      </c>
      <c r="M49" s="124">
        <v>0.6</v>
      </c>
      <c r="N49" s="179">
        <f t="shared" ref="N49:N55" si="2">+SUMPRODUCT($K$43:$M$43,K49:M49)/1000</f>
        <v>69.566686000000004</v>
      </c>
    </row>
    <row r="50" spans="2:14" ht="15" x14ac:dyDescent="0.25">
      <c r="B50" s="148" t="s">
        <v>410</v>
      </c>
      <c r="C50" t="s">
        <v>462</v>
      </c>
      <c r="D50" s="19" t="s">
        <v>47</v>
      </c>
      <c r="E50" s="192">
        <f>+G128</f>
        <v>5.6708498400612823</v>
      </c>
      <c r="F50" s="193">
        <f>+L128*1000</f>
        <v>75.166375708662926</v>
      </c>
      <c r="G50" s="181">
        <v>5.7452112402404705</v>
      </c>
      <c r="H50" s="163" t="s">
        <v>475</v>
      </c>
      <c r="I50" s="38">
        <v>42418.466233751533</v>
      </c>
      <c r="J50" s="150" t="s">
        <v>479</v>
      </c>
      <c r="K50" s="124">
        <v>74193.482999999993</v>
      </c>
      <c r="L50" s="124">
        <v>1</v>
      </c>
      <c r="M50" s="124">
        <v>0.6</v>
      </c>
      <c r="N50" s="179">
        <f t="shared" si="2"/>
        <v>74.380482999999998</v>
      </c>
    </row>
    <row r="51" spans="2:14" ht="15" x14ac:dyDescent="0.25">
      <c r="B51" s="148" t="s">
        <v>87</v>
      </c>
      <c r="C51" t="s">
        <v>461</v>
      </c>
      <c r="D51" s="19" t="s">
        <v>48</v>
      </c>
      <c r="E51" s="194">
        <f>+G136</f>
        <v>4.7117947967516214</v>
      </c>
      <c r="F51" s="193">
        <f>+L136*1000</f>
        <v>87.735056011523966</v>
      </c>
      <c r="G51" s="181">
        <v>4.672084636568222</v>
      </c>
      <c r="H51" s="163" t="s">
        <v>475</v>
      </c>
      <c r="I51" s="38">
        <v>35576.910585045494</v>
      </c>
      <c r="J51" s="150" t="s">
        <v>359</v>
      </c>
      <c r="K51" s="124">
        <v>88461.130999999994</v>
      </c>
      <c r="L51" s="124">
        <v>3</v>
      </c>
      <c r="M51" s="124">
        <v>0.6</v>
      </c>
      <c r="N51" s="179">
        <f t="shared" si="2"/>
        <v>88.70413099999999</v>
      </c>
    </row>
    <row r="52" spans="2:14" ht="15" x14ac:dyDescent="0.25">
      <c r="B52" s="148" t="s">
        <v>411</v>
      </c>
      <c r="C52" t="s">
        <v>467</v>
      </c>
      <c r="D52" s="19" t="s">
        <v>49</v>
      </c>
      <c r="E52" s="192">
        <f>+G133</f>
        <v>4.0562660463586173</v>
      </c>
      <c r="F52" s="193">
        <f>+L133*1000</f>
        <v>47.28933824683137</v>
      </c>
      <c r="G52" s="181">
        <v>4.0562660463586173</v>
      </c>
      <c r="H52" s="163" t="s">
        <v>474</v>
      </c>
      <c r="I52" s="38">
        <v>45989.410956446904</v>
      </c>
      <c r="J52" s="150" t="s">
        <v>481</v>
      </c>
      <c r="K52" s="124">
        <v>67185.115000000005</v>
      </c>
      <c r="L52" s="124">
        <v>1</v>
      </c>
      <c r="M52" s="124">
        <v>0.1</v>
      </c>
      <c r="N52" s="179">
        <f t="shared" si="2"/>
        <v>67.239615000000001</v>
      </c>
    </row>
    <row r="53" spans="2:14" ht="15" x14ac:dyDescent="0.25">
      <c r="B53" s="148" t="s">
        <v>413</v>
      </c>
      <c r="C53" t="s">
        <v>466</v>
      </c>
      <c r="D53" s="19" t="s">
        <v>50</v>
      </c>
      <c r="E53" s="192">
        <f>+G131</f>
        <v>5.4608206169323079</v>
      </c>
      <c r="F53" s="193">
        <f>+L131*1000</f>
        <v>78.281203343664757</v>
      </c>
      <c r="G53" s="181">
        <v>5.4608206169323079</v>
      </c>
      <c r="H53" s="163" t="s">
        <v>474</v>
      </c>
      <c r="I53" s="38">
        <v>40442.162000000004</v>
      </c>
      <c r="J53" s="150" t="s">
        <v>476</v>
      </c>
      <c r="K53" s="124">
        <v>78281.202999999994</v>
      </c>
      <c r="L53" s="124">
        <v>3</v>
      </c>
      <c r="M53" s="124">
        <v>0.6</v>
      </c>
      <c r="N53" s="179">
        <f t="shared" si="2"/>
        <v>78.524203</v>
      </c>
    </row>
    <row r="54" spans="2:14" ht="15" x14ac:dyDescent="0.25">
      <c r="B54" s="143" t="s">
        <v>89</v>
      </c>
      <c r="C54" s="144" t="s">
        <v>468</v>
      </c>
      <c r="D54" s="145" t="s">
        <v>43</v>
      </c>
      <c r="E54" s="190">
        <f>+G124</f>
        <v>2.9335934898501512</v>
      </c>
      <c r="F54" s="191">
        <f>+L124*1000</f>
        <v>84.75811612074672</v>
      </c>
      <c r="G54" s="180">
        <v>2.9335934898501512</v>
      </c>
      <c r="H54" s="162" t="s">
        <v>474</v>
      </c>
      <c r="I54" s="158">
        <v>22480.19962297516</v>
      </c>
      <c r="J54" s="147" t="s">
        <v>402</v>
      </c>
      <c r="K54" s="124">
        <v>84758.115999999995</v>
      </c>
      <c r="L54" s="124">
        <v>3</v>
      </c>
      <c r="M54" s="124">
        <v>0.6</v>
      </c>
      <c r="N54" s="179">
        <f t="shared" si="2"/>
        <v>85.001115999999996</v>
      </c>
    </row>
    <row r="55" spans="2:14" ht="15" x14ac:dyDescent="0.25">
      <c r="B55" s="151" t="s">
        <v>90</v>
      </c>
      <c r="C55" s="152" t="s">
        <v>469</v>
      </c>
      <c r="D55" s="153" t="s">
        <v>44</v>
      </c>
      <c r="E55" s="195">
        <f>+G125</f>
        <v>5.274111587340502</v>
      </c>
      <c r="F55" s="196">
        <f>+L125*1000</f>
        <v>54.806487022879928</v>
      </c>
      <c r="G55" s="182">
        <v>5.274111587340502</v>
      </c>
      <c r="H55" s="164" t="s">
        <v>474</v>
      </c>
      <c r="I55" s="159">
        <v>37907.854789510107</v>
      </c>
      <c r="J55" s="154" t="s">
        <v>477</v>
      </c>
      <c r="K55" s="124">
        <v>54806.487000000001</v>
      </c>
      <c r="L55" s="124">
        <v>3</v>
      </c>
      <c r="M55" s="124">
        <v>0.6</v>
      </c>
      <c r="N55" s="179">
        <f t="shared" si="2"/>
        <v>55.049486999999999</v>
      </c>
    </row>
    <row r="56" spans="2:14" ht="15" x14ac:dyDescent="0.25">
      <c r="B56" t="s">
        <v>487</v>
      </c>
      <c r="C56" t="s">
        <v>470</v>
      </c>
      <c r="D56" s="68" t="s">
        <v>54</v>
      </c>
      <c r="E56" s="192">
        <f>+E54*C61+E49*(1-C61)</f>
        <v>5.1927630695557223</v>
      </c>
      <c r="F56" s="197">
        <f>+F54*D60+F49*(1-D60)</f>
        <v>70.750256038375028</v>
      </c>
      <c r="G56" s="201">
        <v>4.7913520938098202</v>
      </c>
      <c r="H56" s="146" t="s">
        <v>475</v>
      </c>
      <c r="I56" s="146">
        <v>40659.333347540545</v>
      </c>
      <c r="J56" s="147" t="s">
        <v>367</v>
      </c>
      <c r="N56" s="174"/>
    </row>
    <row r="57" spans="2:14" ht="15" x14ac:dyDescent="0.25">
      <c r="B57" t="s">
        <v>414</v>
      </c>
      <c r="C57" t="s">
        <v>470</v>
      </c>
      <c r="D57" s="68" t="s">
        <v>55</v>
      </c>
      <c r="E57" s="195">
        <f>+E55*D61+E50*(1-D61)</f>
        <v>5.6336916725609152</v>
      </c>
      <c r="F57" s="198">
        <f>+F55*D61+F50*(1-D61)</f>
        <v>73.259485841384091</v>
      </c>
      <c r="G57" s="183"/>
      <c r="H57" s="159"/>
      <c r="I57" s="159"/>
      <c r="J57" s="160"/>
      <c r="K57" s="184"/>
      <c r="L57" s="184"/>
      <c r="M57" s="184"/>
      <c r="N57" s="185"/>
    </row>
    <row r="58" spans="2:14" x14ac:dyDescent="0.2">
      <c r="B58" s="142" t="s">
        <v>482</v>
      </c>
    </row>
    <row r="59" spans="2:14" x14ac:dyDescent="0.2">
      <c r="B59" s="166"/>
      <c r="C59" s="166" t="s">
        <v>89</v>
      </c>
      <c r="D59" s="166" t="s">
        <v>90</v>
      </c>
    </row>
    <row r="60" spans="2:14" x14ac:dyDescent="0.2">
      <c r="B60" s="166" t="s">
        <v>486</v>
      </c>
      <c r="C60" s="167">
        <v>0.1</v>
      </c>
      <c r="D60" s="167">
        <v>0.1</v>
      </c>
    </row>
    <row r="61" spans="2:14" x14ac:dyDescent="0.2">
      <c r="B61" s="166" t="s">
        <v>488</v>
      </c>
      <c r="C61" s="168">
        <f>+C60*E54/(C60*E54+(1-C60)*E49)</f>
        <v>5.7621225008503835E-2</v>
      </c>
      <c r="D61" s="168">
        <f>+D60*E55/(D60*E55+(1-D60)*E50)</f>
        <v>9.3659149944684009E-2</v>
      </c>
    </row>
    <row r="97" spans="2:23" x14ac:dyDescent="0.2">
      <c r="D97" s="456"/>
    </row>
    <row r="98" spans="2:23" ht="15" x14ac:dyDescent="0.25">
      <c r="N98" s="1">
        <v>24843</v>
      </c>
      <c r="O98" s="1" t="s">
        <v>703</v>
      </c>
    </row>
    <row r="99" spans="2:23" x14ac:dyDescent="0.2">
      <c r="K99" s="124" t="s">
        <v>702</v>
      </c>
      <c r="N99" s="125">
        <f>+N98*12000</f>
        <v>298116000</v>
      </c>
      <c r="O99" s="38" t="s">
        <v>453</v>
      </c>
    </row>
    <row r="100" spans="2:23" x14ac:dyDescent="0.2">
      <c r="H100" s="38" t="s">
        <v>704</v>
      </c>
      <c r="I100" s="38">
        <f>27934768*1000</f>
        <v>27934768000</v>
      </c>
      <c r="J100" s="124" t="s">
        <v>701</v>
      </c>
      <c r="N100" s="125">
        <f>+N99/(1000000000)</f>
        <v>0.29811599999999999</v>
      </c>
      <c r="O100" s="38" t="s">
        <v>255</v>
      </c>
    </row>
    <row r="101" spans="2:23" x14ac:dyDescent="0.2">
      <c r="I101" s="38">
        <f>+I100*1000</f>
        <v>27934768000000</v>
      </c>
      <c r="J101" s="124" t="s">
        <v>453</v>
      </c>
      <c r="N101" s="125">
        <f>+N100*G109/J109</f>
        <v>0.31452907449600004</v>
      </c>
      <c r="O101" s="38" t="s">
        <v>252</v>
      </c>
    </row>
    <row r="102" spans="2:23" ht="15" x14ac:dyDescent="0.25">
      <c r="B102" s="123" t="s">
        <v>415</v>
      </c>
      <c r="I102" s="38">
        <f>+I101/(1000000000)</f>
        <v>27934.768</v>
      </c>
      <c r="J102" s="124" t="s">
        <v>255</v>
      </c>
      <c r="N102" s="125">
        <f>+N101/1000</f>
        <v>3.1452907449600005E-4</v>
      </c>
      <c r="O102" s="38" t="s">
        <v>9</v>
      </c>
    </row>
    <row r="103" spans="2:23" x14ac:dyDescent="0.2">
      <c r="I103" s="38">
        <f>+I102*G109/J109</f>
        <v>29472.744587008008</v>
      </c>
      <c r="J103" s="124" t="s">
        <v>252</v>
      </c>
      <c r="P103" s="38">
        <v>186633</v>
      </c>
    </row>
    <row r="104" spans="2:23" x14ac:dyDescent="0.2">
      <c r="B104" s="126" t="s">
        <v>416</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574" t="s">
        <v>245</v>
      </c>
      <c r="C106" s="575"/>
      <c r="D106" s="575"/>
      <c r="E106" s="575"/>
      <c r="F106" s="575"/>
      <c r="G106" s="575"/>
      <c r="H106" s="575"/>
      <c r="I106" s="575"/>
      <c r="J106" s="575"/>
      <c r="K106" s="575"/>
      <c r="L106" s="576"/>
      <c r="M106" s="133"/>
      <c r="N106" s="133"/>
      <c r="P106" s="38">
        <f>+P105/42</f>
        <v>833563.54687623237</v>
      </c>
    </row>
    <row r="107" spans="2:23" ht="12.75" customHeight="1" x14ac:dyDescent="0.2">
      <c r="B107" s="76" t="s">
        <v>246</v>
      </c>
      <c r="C107" s="77" t="s">
        <v>247</v>
      </c>
      <c r="D107" s="571" t="s">
        <v>248</v>
      </c>
      <c r="E107" s="572"/>
      <c r="F107" s="572"/>
      <c r="G107" s="572"/>
      <c r="H107" s="572"/>
      <c r="I107" s="572"/>
      <c r="J107" s="573"/>
      <c r="K107" s="80" t="s">
        <v>249</v>
      </c>
      <c r="L107" s="81"/>
      <c r="M107" s="134"/>
      <c r="N107" s="134"/>
    </row>
    <row r="108" spans="2:23" ht="24" x14ac:dyDescent="0.2">
      <c r="B108" s="76"/>
      <c r="C108" s="76"/>
      <c r="D108" s="82" t="s">
        <v>250</v>
      </c>
      <c r="E108" s="82" t="s">
        <v>250</v>
      </c>
      <c r="F108" s="82" t="s">
        <v>251</v>
      </c>
      <c r="G108" s="82" t="s">
        <v>252</v>
      </c>
      <c r="H108" s="82" t="s">
        <v>253</v>
      </c>
      <c r="I108" s="82" t="s">
        <v>254</v>
      </c>
      <c r="J108" s="82" t="s">
        <v>255</v>
      </c>
      <c r="K108" s="82" t="s">
        <v>256</v>
      </c>
      <c r="L108" s="82" t="s">
        <v>257</v>
      </c>
      <c r="M108" s="134"/>
      <c r="N108" s="134"/>
      <c r="S108" s="38" t="s">
        <v>417</v>
      </c>
      <c r="T108" s="38" t="s">
        <v>418</v>
      </c>
    </row>
    <row r="109" spans="2:23" x14ac:dyDescent="0.2">
      <c r="B109" s="83" t="s">
        <v>258</v>
      </c>
      <c r="C109" s="84" t="s">
        <v>259</v>
      </c>
      <c r="D109" s="85" t="s">
        <v>260</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419</v>
      </c>
      <c r="N109" s="86" t="s">
        <v>420</v>
      </c>
      <c r="O109" s="435">
        <f>+G109/J109</f>
        <v>1.0550560000000002</v>
      </c>
      <c r="R109" s="83" t="s">
        <v>258</v>
      </c>
      <c r="S109" s="38">
        <f>N203</f>
        <v>750</v>
      </c>
      <c r="T109" s="38">
        <v>1240</v>
      </c>
    </row>
    <row r="110" spans="2:23" x14ac:dyDescent="0.2">
      <c r="B110" s="88" t="s">
        <v>261</v>
      </c>
      <c r="C110" s="89" t="s">
        <v>262</v>
      </c>
      <c r="D110" s="90" t="s">
        <v>260</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419</v>
      </c>
      <c r="N110" s="91" t="s">
        <v>421</v>
      </c>
      <c r="R110" s="88" t="s">
        <v>261</v>
      </c>
      <c r="S110" s="38">
        <f>N192</f>
        <v>25</v>
      </c>
      <c r="T110" s="38">
        <v>465</v>
      </c>
    </row>
    <row r="111" spans="2:23" x14ac:dyDescent="0.2">
      <c r="B111" s="83" t="s">
        <v>263</v>
      </c>
      <c r="C111" s="84" t="s">
        <v>264</v>
      </c>
      <c r="D111" s="85" t="s">
        <v>265</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419</v>
      </c>
      <c r="N111" s="86" t="s">
        <v>421</v>
      </c>
      <c r="O111" s="38" t="s">
        <v>422</v>
      </c>
      <c r="P111" s="129">
        <f>H111*1000000/H143</f>
        <v>9.9033845712759661</v>
      </c>
      <c r="Q111" s="129"/>
      <c r="R111" s="83" t="s">
        <v>263</v>
      </c>
      <c r="S111" s="38">
        <f>N166</f>
        <v>25</v>
      </c>
      <c r="T111" s="38">
        <v>31</v>
      </c>
    </row>
    <row r="112" spans="2:23" x14ac:dyDescent="0.2">
      <c r="B112" s="88" t="s">
        <v>266</v>
      </c>
      <c r="C112" s="89" t="s">
        <v>267</v>
      </c>
      <c r="D112" s="90" t="s">
        <v>253</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419</v>
      </c>
      <c r="N112" s="91" t="s">
        <v>420</v>
      </c>
      <c r="R112" s="88" t="s">
        <v>266</v>
      </c>
      <c r="S112" s="38">
        <v>0</v>
      </c>
      <c r="T112" s="38">
        <v>0</v>
      </c>
    </row>
    <row r="113" spans="2:20" x14ac:dyDescent="0.2">
      <c r="B113" s="83" t="s">
        <v>268</v>
      </c>
      <c r="C113" s="84" t="s">
        <v>269</v>
      </c>
      <c r="D113" s="85" t="s">
        <v>260</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419</v>
      </c>
      <c r="N113" s="86" t="s">
        <v>420</v>
      </c>
      <c r="R113" s="83" t="s">
        <v>268</v>
      </c>
      <c r="S113" s="38">
        <f>N210</f>
        <v>750</v>
      </c>
      <c r="T113" s="38">
        <v>1240</v>
      </c>
    </row>
    <row r="114" spans="2:20" x14ac:dyDescent="0.2">
      <c r="B114" s="88" t="s">
        <v>270</v>
      </c>
      <c r="C114" s="89" t="s">
        <v>271</v>
      </c>
      <c r="D114" s="90" t="s">
        <v>272</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419</v>
      </c>
      <c r="N114" s="91" t="s">
        <v>421</v>
      </c>
      <c r="R114" s="88" t="s">
        <v>270</v>
      </c>
      <c r="S114" s="38">
        <v>75</v>
      </c>
      <c r="T114" s="38">
        <v>186</v>
      </c>
    </row>
    <row r="115" spans="2:20" x14ac:dyDescent="0.2">
      <c r="B115" s="83" t="s">
        <v>274</v>
      </c>
      <c r="C115" s="84" t="s">
        <v>275</v>
      </c>
      <c r="D115" s="85" t="s">
        <v>252</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419</v>
      </c>
      <c r="N115" s="86" t="s">
        <v>420</v>
      </c>
      <c r="R115" s="83" t="s">
        <v>274</v>
      </c>
      <c r="S115" s="38">
        <f>N212</f>
        <v>750</v>
      </c>
      <c r="T115" s="38">
        <v>0.31</v>
      </c>
    </row>
    <row r="116" spans="2:20" x14ac:dyDescent="0.2">
      <c r="B116" s="93" t="s">
        <v>276</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276</v>
      </c>
      <c r="S116" s="38">
        <v>750</v>
      </c>
      <c r="T116" s="38">
        <v>1240</v>
      </c>
    </row>
    <row r="117" spans="2:20" x14ac:dyDescent="0.2">
      <c r="B117" s="98"/>
      <c r="C117" s="99" t="s">
        <v>277</v>
      </c>
      <c r="D117" s="90" t="s">
        <v>260</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419</v>
      </c>
      <c r="N117" s="91" t="s">
        <v>420</v>
      </c>
      <c r="R117" s="98"/>
    </row>
    <row r="118" spans="2:20" x14ac:dyDescent="0.2">
      <c r="B118" s="100"/>
      <c r="C118" s="101" t="s">
        <v>279</v>
      </c>
      <c r="D118" s="85" t="s">
        <v>260</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419</v>
      </c>
      <c r="N118" s="86" t="s">
        <v>420</v>
      </c>
      <c r="R118" s="100"/>
    </row>
    <row r="119" spans="2:20" x14ac:dyDescent="0.2">
      <c r="B119" s="98"/>
      <c r="C119" s="99" t="s">
        <v>281</v>
      </c>
      <c r="D119" s="90" t="s">
        <v>260</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419</v>
      </c>
      <c r="N119" s="91" t="s">
        <v>420</v>
      </c>
      <c r="R119" s="98"/>
    </row>
    <row r="120" spans="2:20" x14ac:dyDescent="0.2">
      <c r="B120" s="83" t="s">
        <v>283</v>
      </c>
      <c r="C120" s="84" t="s">
        <v>284</v>
      </c>
      <c r="D120" s="85" t="s">
        <v>253</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419</v>
      </c>
      <c r="N120" s="86" t="s">
        <v>420</v>
      </c>
      <c r="R120" s="83" t="s">
        <v>283</v>
      </c>
      <c r="S120" s="38">
        <v>750</v>
      </c>
      <c r="T120" s="38">
        <v>1240</v>
      </c>
    </row>
    <row r="121" spans="2:20" x14ac:dyDescent="0.2">
      <c r="B121" s="88" t="s">
        <v>285</v>
      </c>
      <c r="C121" s="89" t="s">
        <v>286</v>
      </c>
      <c r="D121" s="90" t="s">
        <v>287</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419</v>
      </c>
      <c r="N121" s="91" t="s">
        <v>420</v>
      </c>
      <c r="R121" s="88" t="s">
        <v>285</v>
      </c>
      <c r="S121" s="38">
        <v>0</v>
      </c>
      <c r="T121" s="38">
        <v>0</v>
      </c>
    </row>
    <row r="122" spans="2:20" x14ac:dyDescent="0.2">
      <c r="B122" s="83" t="s">
        <v>288</v>
      </c>
      <c r="C122" s="84" t="s">
        <v>289</v>
      </c>
      <c r="D122" s="85" t="s">
        <v>287</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419</v>
      </c>
      <c r="N122" s="86" t="s">
        <v>420</v>
      </c>
      <c r="R122" s="83" t="s">
        <v>288</v>
      </c>
      <c r="S122" s="38">
        <v>0</v>
      </c>
      <c r="T122" s="38">
        <v>0</v>
      </c>
    </row>
    <row r="123" spans="2:20" x14ac:dyDescent="0.2">
      <c r="B123" s="574" t="s">
        <v>290</v>
      </c>
      <c r="C123" s="575"/>
      <c r="D123" s="575"/>
      <c r="E123" s="575"/>
      <c r="F123" s="575"/>
      <c r="G123" s="575"/>
      <c r="H123" s="575"/>
      <c r="I123" s="575"/>
      <c r="J123" s="575"/>
      <c r="K123" s="575"/>
      <c r="L123" s="576"/>
      <c r="M123" s="136"/>
      <c r="N123" s="136"/>
      <c r="P123" s="38" t="s">
        <v>423</v>
      </c>
    </row>
    <row r="124" spans="2:20" x14ac:dyDescent="0.2">
      <c r="B124" s="83" t="s">
        <v>291</v>
      </c>
      <c r="C124" s="84" t="s">
        <v>292</v>
      </c>
      <c r="D124" s="85" t="s">
        <v>272</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424</v>
      </c>
      <c r="N124" s="86" t="s">
        <v>420</v>
      </c>
      <c r="R124" s="83" t="s">
        <v>291</v>
      </c>
      <c r="S124" s="38">
        <v>75</v>
      </c>
      <c r="T124" s="38">
        <v>186</v>
      </c>
    </row>
    <row r="125" spans="2:20" x14ac:dyDescent="0.2">
      <c r="B125" s="88" t="s">
        <v>293</v>
      </c>
      <c r="C125" s="89" t="s">
        <v>294</v>
      </c>
      <c r="D125" s="90" t="s">
        <v>272</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424</v>
      </c>
      <c r="N125" s="91" t="s">
        <v>420</v>
      </c>
      <c r="R125" s="88" t="s">
        <v>293</v>
      </c>
      <c r="S125" s="38">
        <v>75</v>
      </c>
      <c r="T125" s="38">
        <v>186</v>
      </c>
    </row>
    <row r="126" spans="2:20" x14ac:dyDescent="0.2">
      <c r="B126" s="83" t="s">
        <v>295</v>
      </c>
      <c r="C126" s="84" t="s">
        <v>296</v>
      </c>
      <c r="D126" s="85" t="s">
        <v>260</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424</v>
      </c>
      <c r="N126" s="86" t="s">
        <v>420</v>
      </c>
      <c r="R126" s="83" t="s">
        <v>295</v>
      </c>
      <c r="S126" s="125">
        <v>750</v>
      </c>
      <c r="T126" s="38">
        <v>1240</v>
      </c>
    </row>
    <row r="127" spans="2:20" x14ac:dyDescent="0.2">
      <c r="B127" s="88" t="s">
        <v>297</v>
      </c>
      <c r="C127" s="89" t="s">
        <v>298</v>
      </c>
      <c r="D127" s="90" t="s">
        <v>260</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424</v>
      </c>
      <c r="N127" s="91" t="s">
        <v>421</v>
      </c>
      <c r="R127" s="88" t="s">
        <v>297</v>
      </c>
      <c r="S127" s="38">
        <v>25</v>
      </c>
      <c r="T127" s="38">
        <v>465</v>
      </c>
    </row>
    <row r="128" spans="2:20" x14ac:dyDescent="0.2">
      <c r="B128" s="83" t="s">
        <v>299</v>
      </c>
      <c r="C128" s="84" t="s">
        <v>300</v>
      </c>
      <c r="D128" s="85" t="s">
        <v>272</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424</v>
      </c>
      <c r="N128" s="86" t="s">
        <v>421</v>
      </c>
      <c r="O128" s="38" t="s">
        <v>425</v>
      </c>
      <c r="P128" s="129">
        <f>H128/42000*1000000</f>
        <v>37.50562063532594</v>
      </c>
      <c r="Q128" s="129">
        <f>P128*0.3</f>
        <v>11.251686190597782</v>
      </c>
      <c r="R128" s="83" t="s">
        <v>299</v>
      </c>
      <c r="S128" s="38">
        <v>75</v>
      </c>
      <c r="T128" s="38">
        <v>186</v>
      </c>
    </row>
    <row r="129" spans="2:20" x14ac:dyDescent="0.2">
      <c r="B129" s="88" t="s">
        <v>301</v>
      </c>
      <c r="C129" s="89" t="s">
        <v>302</v>
      </c>
      <c r="D129" s="90" t="s">
        <v>253</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424</v>
      </c>
      <c r="N129" s="91"/>
      <c r="R129" s="88" t="s">
        <v>301</v>
      </c>
      <c r="S129" s="38">
        <f>('Bases de Cálculo'!N166*0.6+'Bases de Cálculo'!N203*0.2+'Bases de Cálculo'!N192*0.2)</f>
        <v>170</v>
      </c>
      <c r="T129" s="38">
        <f>('Bases de Cálculo'!P166*0.6+'Bases de Cálculo'!P203*0.2+'Bases de Cálculo'!P192*0.2)</f>
        <v>359.6</v>
      </c>
    </row>
    <row r="130" spans="2:20" x14ac:dyDescent="0.2">
      <c r="B130" s="83" t="s">
        <v>303</v>
      </c>
      <c r="C130" s="84" t="s">
        <v>304</v>
      </c>
      <c r="D130" s="85" t="s">
        <v>253</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424</v>
      </c>
      <c r="N130" s="86"/>
      <c r="R130" s="83" t="s">
        <v>303</v>
      </c>
      <c r="S130" s="38">
        <v>0</v>
      </c>
      <c r="T130" s="38">
        <v>0</v>
      </c>
    </row>
    <row r="131" spans="2:20" x14ac:dyDescent="0.2">
      <c r="B131" s="88" t="s">
        <v>305</v>
      </c>
      <c r="C131" s="89" t="s">
        <v>306</v>
      </c>
      <c r="D131" s="90" t="s">
        <v>272</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424</v>
      </c>
      <c r="N131" s="91" t="s">
        <v>421</v>
      </c>
      <c r="R131" s="88" t="s">
        <v>305</v>
      </c>
      <c r="S131" s="38">
        <v>75</v>
      </c>
      <c r="T131" s="38">
        <v>186</v>
      </c>
    </row>
    <row r="132" spans="2:20" x14ac:dyDescent="0.2">
      <c r="B132" s="83" t="s">
        <v>307</v>
      </c>
      <c r="C132" s="84" t="s">
        <v>308</v>
      </c>
      <c r="D132" s="85" t="s">
        <v>287</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424</v>
      </c>
      <c r="N132" s="86" t="s">
        <v>421</v>
      </c>
      <c r="R132" s="83" t="s">
        <v>307</v>
      </c>
      <c r="S132" s="38">
        <v>25</v>
      </c>
      <c r="T132" s="38">
        <v>31</v>
      </c>
    </row>
    <row r="133" spans="2:20" x14ac:dyDescent="0.2">
      <c r="B133" s="88" t="s">
        <v>309</v>
      </c>
      <c r="C133" s="89" t="s">
        <v>310</v>
      </c>
      <c r="D133" s="90" t="s">
        <v>272</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424</v>
      </c>
      <c r="N133" s="91" t="s">
        <v>421</v>
      </c>
      <c r="R133" s="88" t="s">
        <v>309</v>
      </c>
      <c r="S133" s="38">
        <v>25</v>
      </c>
      <c r="T133" s="38">
        <v>31</v>
      </c>
    </row>
    <row r="134" spans="2:20" x14ac:dyDescent="0.2">
      <c r="B134" s="83" t="s">
        <v>311</v>
      </c>
      <c r="C134" s="84" t="s">
        <v>312</v>
      </c>
      <c r="D134" s="85" t="s">
        <v>272</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424</v>
      </c>
      <c r="N134" s="86" t="s">
        <v>421</v>
      </c>
      <c r="O134" s="38" t="s">
        <v>425</v>
      </c>
      <c r="P134" s="129">
        <f>H134/42000*1000000</f>
        <v>35.257266762367934</v>
      </c>
      <c r="R134" s="83" t="s">
        <v>311</v>
      </c>
      <c r="S134" s="38">
        <v>25</v>
      </c>
      <c r="T134" s="38">
        <v>186</v>
      </c>
    </row>
    <row r="135" spans="2:20" x14ac:dyDescent="0.2">
      <c r="B135" s="88" t="s">
        <v>313</v>
      </c>
      <c r="C135" s="89" t="s">
        <v>314</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424</v>
      </c>
      <c r="N135" s="91" t="s">
        <v>421</v>
      </c>
      <c r="R135" s="88" t="s">
        <v>313</v>
      </c>
      <c r="S135" s="38">
        <v>25</v>
      </c>
      <c r="T135" s="38">
        <v>31</v>
      </c>
    </row>
    <row r="136" spans="2:20" x14ac:dyDescent="0.2">
      <c r="B136" s="83" t="s">
        <v>315</v>
      </c>
      <c r="C136" s="84" t="s">
        <v>316</v>
      </c>
      <c r="D136" s="85" t="s">
        <v>272</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424</v>
      </c>
      <c r="N136" s="86" t="s">
        <v>421</v>
      </c>
      <c r="R136" s="83" t="s">
        <v>315</v>
      </c>
      <c r="S136" s="38">
        <v>75</v>
      </c>
      <c r="T136" s="38">
        <v>186</v>
      </c>
    </row>
    <row r="137" spans="2:20" x14ac:dyDescent="0.2">
      <c r="B137" s="88" t="s">
        <v>317</v>
      </c>
      <c r="C137" s="89" t="s">
        <v>318</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317</v>
      </c>
      <c r="S137" s="38">
        <v>75</v>
      </c>
      <c r="T137" s="38">
        <v>186</v>
      </c>
    </row>
    <row r="138" spans="2:20" x14ac:dyDescent="0.2">
      <c r="B138" s="83" t="s">
        <v>319</v>
      </c>
      <c r="C138" s="84" t="s">
        <v>320</v>
      </c>
      <c r="D138" s="85" t="s">
        <v>273</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424</v>
      </c>
      <c r="N138" s="86"/>
      <c r="R138" s="83" t="s">
        <v>319</v>
      </c>
      <c r="S138" s="38">
        <v>0</v>
      </c>
      <c r="T138" s="38">
        <v>0</v>
      </c>
    </row>
    <row r="140" spans="2:20" x14ac:dyDescent="0.2">
      <c r="B140" s="577"/>
      <c r="C140" s="577"/>
      <c r="D140" s="577"/>
      <c r="E140" s="577"/>
      <c r="G140" s="578" t="s">
        <v>426</v>
      </c>
      <c r="H140" s="578"/>
      <c r="I140" s="578"/>
    </row>
    <row r="141" spans="2:20" x14ac:dyDescent="0.2">
      <c r="B141" s="83" t="str">
        <f t="array" ref="B141:B146">TRANSPOSE(E108:J108)</f>
        <v>UO</v>
      </c>
      <c r="C141" s="84" t="s">
        <v>427</v>
      </c>
      <c r="D141" s="85"/>
      <c r="E141" s="83">
        <v>2006</v>
      </c>
      <c r="G141" s="82" t="s">
        <v>428</v>
      </c>
      <c r="H141" s="82" t="s">
        <v>429</v>
      </c>
      <c r="I141" s="82" t="s">
        <v>430</v>
      </c>
      <c r="L141" s="82" t="s">
        <v>428</v>
      </c>
      <c r="M141" s="82" t="s">
        <v>430</v>
      </c>
    </row>
    <row r="142" spans="2:20" x14ac:dyDescent="0.2">
      <c r="B142" s="88" t="str">
        <v>TCal</v>
      </c>
      <c r="C142" s="89" t="s">
        <v>431</v>
      </c>
      <c r="D142" s="90"/>
      <c r="E142" s="88">
        <v>2007</v>
      </c>
      <c r="G142" s="137" t="s">
        <v>432</v>
      </c>
      <c r="H142" s="138">
        <v>35.31467</v>
      </c>
      <c r="I142" s="137" t="s">
        <v>433</v>
      </c>
      <c r="L142" s="137" t="s">
        <v>422</v>
      </c>
      <c r="M142" s="137" t="s">
        <v>433</v>
      </c>
    </row>
    <row r="143" spans="2:20" x14ac:dyDescent="0.2">
      <c r="B143" s="83" t="str">
        <v>TJ</v>
      </c>
      <c r="C143" s="84" t="s">
        <v>434</v>
      </c>
      <c r="D143" s="85"/>
      <c r="E143" s="83">
        <v>2008</v>
      </c>
      <c r="G143" s="111" t="s">
        <v>435</v>
      </c>
      <c r="H143" s="110">
        <f>1000000/H142</f>
        <v>28316.843963146195</v>
      </c>
      <c r="I143" s="111" t="s">
        <v>422</v>
      </c>
      <c r="L143" s="111" t="s">
        <v>436</v>
      </c>
      <c r="M143" s="111" t="s">
        <v>422</v>
      </c>
    </row>
    <row r="144" spans="2:20" x14ac:dyDescent="0.2">
      <c r="B144" s="88" t="str">
        <v>GWh</v>
      </c>
      <c r="C144" s="89" t="s">
        <v>437</v>
      </c>
      <c r="D144" s="90"/>
      <c r="E144" s="88">
        <v>2009</v>
      </c>
      <c r="G144" s="137" t="s">
        <v>438</v>
      </c>
      <c r="H144" s="138">
        <v>3.7854117999999999</v>
      </c>
      <c r="I144" s="137" t="s">
        <v>439</v>
      </c>
      <c r="L144" s="137" t="s">
        <v>425</v>
      </c>
      <c r="M144" s="137" t="s">
        <v>439</v>
      </c>
    </row>
    <row r="145" spans="2:18" ht="22.5" x14ac:dyDescent="0.2">
      <c r="B145" s="83" t="str">
        <v>KTEP</v>
      </c>
      <c r="C145" s="84" t="s">
        <v>440</v>
      </c>
      <c r="D145" s="85"/>
      <c r="E145" s="83">
        <v>2010</v>
      </c>
      <c r="G145" s="111" t="s">
        <v>441</v>
      </c>
      <c r="H145" s="110">
        <v>42</v>
      </c>
      <c r="I145" s="111" t="s">
        <v>425</v>
      </c>
      <c r="L145" s="111" t="s">
        <v>442</v>
      </c>
      <c r="M145" s="111" t="s">
        <v>425</v>
      </c>
    </row>
    <row r="146" spans="2:18" ht="22.5" x14ac:dyDescent="0.2">
      <c r="B146" s="88" t="str">
        <v>GBTU</v>
      </c>
      <c r="C146" s="89" t="s">
        <v>443</v>
      </c>
      <c r="D146" s="90"/>
      <c r="E146" s="88">
        <v>2011</v>
      </c>
      <c r="G146" s="137" t="s">
        <v>432</v>
      </c>
      <c r="H146" s="138">
        <f>1000/H144/H145</f>
        <v>6.2898107438466297</v>
      </c>
      <c r="I146" s="137" t="s">
        <v>442</v>
      </c>
      <c r="L146" s="137" t="s">
        <v>422</v>
      </c>
      <c r="M146" s="137" t="s">
        <v>442</v>
      </c>
      <c r="R146" s="38">
        <v>3517.2031699650001</v>
      </c>
    </row>
    <row r="147" spans="2:18" ht="24" x14ac:dyDescent="0.2">
      <c r="B147" s="83" t="s">
        <v>444</v>
      </c>
      <c r="C147" s="84" t="s">
        <v>445</v>
      </c>
      <c r="D147" s="85"/>
      <c r="E147" s="83">
        <v>2012</v>
      </c>
      <c r="G147" s="111" t="s">
        <v>432</v>
      </c>
      <c r="H147" s="110">
        <v>1000</v>
      </c>
      <c r="I147" s="111" t="s">
        <v>439</v>
      </c>
      <c r="L147" s="111" t="s">
        <v>422</v>
      </c>
      <c r="M147" s="111" t="s">
        <v>439</v>
      </c>
      <c r="R147" s="38">
        <v>1.055056</v>
      </c>
    </row>
    <row r="148" spans="2:18" x14ac:dyDescent="0.2">
      <c r="B148" s="88" t="s">
        <v>260</v>
      </c>
      <c r="C148" s="89" t="s">
        <v>446</v>
      </c>
      <c r="D148" s="90"/>
      <c r="E148" s="88">
        <v>2013</v>
      </c>
      <c r="G148" s="137" t="s">
        <v>447</v>
      </c>
      <c r="H148" s="138">
        <v>1000</v>
      </c>
      <c r="I148" s="137" t="s">
        <v>442</v>
      </c>
      <c r="L148" s="137" t="s">
        <v>273</v>
      </c>
      <c r="M148" s="137" t="s">
        <v>442</v>
      </c>
      <c r="R148" s="38">
        <f>+R146*R147</f>
        <v>3710.8463076905932</v>
      </c>
    </row>
    <row r="149" spans="2:18" x14ac:dyDescent="0.2">
      <c r="B149" s="83" t="s">
        <v>265</v>
      </c>
      <c r="C149" s="84" t="s">
        <v>448</v>
      </c>
      <c r="D149" s="85"/>
      <c r="E149" s="83">
        <v>2014</v>
      </c>
      <c r="G149" s="111" t="s">
        <v>449</v>
      </c>
      <c r="H149" s="139">
        <f>1/H144/H145/H148</f>
        <v>6.2898107438466298E-6</v>
      </c>
      <c r="I149" s="111" t="s">
        <v>273</v>
      </c>
      <c r="L149" s="111" t="s">
        <v>439</v>
      </c>
      <c r="M149" s="111" t="s">
        <v>273</v>
      </c>
    </row>
    <row r="150" spans="2:18" x14ac:dyDescent="0.2">
      <c r="B150" s="88" t="s">
        <v>273</v>
      </c>
      <c r="C150" s="89" t="s">
        <v>450</v>
      </c>
      <c r="D150" s="90"/>
      <c r="E150" s="88">
        <v>2015</v>
      </c>
      <c r="G150" s="137" t="s">
        <v>451</v>
      </c>
      <c r="H150" s="138">
        <v>1055.056</v>
      </c>
      <c r="I150" s="137" t="s">
        <v>452</v>
      </c>
      <c r="L150" s="137" t="s">
        <v>453</v>
      </c>
      <c r="M150" s="137" t="s">
        <v>452</v>
      </c>
    </row>
    <row r="151" spans="2:18" x14ac:dyDescent="0.2">
      <c r="E151" s="83">
        <v>2016</v>
      </c>
      <c r="G151" s="111" t="s">
        <v>454</v>
      </c>
      <c r="H151" s="110">
        <v>3600</v>
      </c>
      <c r="I151" s="111" t="s">
        <v>452</v>
      </c>
      <c r="L151" s="111" t="s">
        <v>455</v>
      </c>
      <c r="M151" s="111" t="s">
        <v>452</v>
      </c>
    </row>
    <row r="152" spans="2:18" x14ac:dyDescent="0.2">
      <c r="E152" s="88">
        <v>2017</v>
      </c>
      <c r="G152" s="137" t="s">
        <v>432</v>
      </c>
      <c r="H152" s="138">
        <f>H147/H144</f>
        <v>264.17205124155845</v>
      </c>
      <c r="I152" s="137" t="s">
        <v>425</v>
      </c>
      <c r="L152" s="137" t="s">
        <v>422</v>
      </c>
      <c r="M152" s="137" t="s">
        <v>425</v>
      </c>
    </row>
    <row r="153" spans="2:18" x14ac:dyDescent="0.2">
      <c r="E153" s="83">
        <v>2018</v>
      </c>
      <c r="G153" s="140"/>
      <c r="H153" s="141"/>
      <c r="I153" s="140"/>
      <c r="L153" s="140"/>
      <c r="M153" s="140"/>
    </row>
    <row r="155" spans="2:18" x14ac:dyDescent="0.2">
      <c r="C155" s="103"/>
      <c r="D155" s="103"/>
      <c r="E155" s="103" t="s">
        <v>321</v>
      </c>
      <c r="F155" s="103" t="s">
        <v>322</v>
      </c>
      <c r="G155" s="103"/>
      <c r="H155" s="103" t="s">
        <v>323</v>
      </c>
      <c r="I155" s="103"/>
      <c r="J155" s="103"/>
      <c r="K155" s="103"/>
      <c r="L155" s="103" t="s">
        <v>280</v>
      </c>
      <c r="M155" s="124" t="s">
        <v>456</v>
      </c>
      <c r="N155" s="125" t="s">
        <v>457</v>
      </c>
      <c r="O155" s="38" t="s">
        <v>458</v>
      </c>
      <c r="P155" s="38" t="s">
        <v>459</v>
      </c>
    </row>
    <row r="156" spans="2:18" x14ac:dyDescent="0.2">
      <c r="C156" s="78" t="s">
        <v>324</v>
      </c>
      <c r="D156" s="79"/>
      <c r="E156" s="82"/>
      <c r="F156" s="82" t="s">
        <v>325</v>
      </c>
      <c r="G156" s="82" t="s">
        <v>326</v>
      </c>
      <c r="H156" s="82" t="s">
        <v>327</v>
      </c>
      <c r="I156" s="82" t="s">
        <v>328</v>
      </c>
      <c r="J156" s="82" t="s">
        <v>329</v>
      </c>
      <c r="K156" s="82" t="s">
        <v>330</v>
      </c>
      <c r="L156" s="82" t="s">
        <v>331</v>
      </c>
      <c r="M156" s="124" t="s">
        <v>331</v>
      </c>
    </row>
    <row r="157" spans="2:18" x14ac:dyDescent="0.2">
      <c r="C157" s="104" t="s">
        <v>332</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333</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334</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335</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336</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337</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338</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339</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340</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341</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342</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343</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344</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345</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346</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347</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348</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349</v>
      </c>
      <c r="D174" s="79"/>
      <c r="E174" s="82" t="s">
        <v>350</v>
      </c>
      <c r="F174" s="82" t="s">
        <v>351</v>
      </c>
      <c r="G174" s="82" t="s">
        <v>352</v>
      </c>
      <c r="H174" s="82" t="s">
        <v>353</v>
      </c>
      <c r="I174" s="82" t="s">
        <v>328</v>
      </c>
      <c r="J174" s="82" t="s">
        <v>354</v>
      </c>
      <c r="K174" s="82" t="s">
        <v>355</v>
      </c>
      <c r="L174" s="116" t="s">
        <v>331</v>
      </c>
      <c r="M174" s="142"/>
      <c r="O174" s="142"/>
    </row>
    <row r="175" spans="2:16" x14ac:dyDescent="0.2">
      <c r="C175" s="104" t="s">
        <v>356</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357</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358</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359</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360</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361</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362</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363</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364</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365</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366</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367</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368</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369</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370</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371</v>
      </c>
      <c r="D191" s="79"/>
      <c r="E191" s="82"/>
      <c r="F191" s="82" t="s">
        <v>351</v>
      </c>
      <c r="G191" s="82" t="s">
        <v>372</v>
      </c>
      <c r="H191" s="82"/>
      <c r="I191" s="82"/>
      <c r="J191" s="82" t="s">
        <v>354</v>
      </c>
      <c r="K191" s="82" t="s">
        <v>373</v>
      </c>
      <c r="L191" s="116" t="s">
        <v>331</v>
      </c>
      <c r="M191" s="142"/>
      <c r="N191" s="125">
        <f t="shared" si="23"/>
        <v>0</v>
      </c>
      <c r="O191" s="142"/>
      <c r="P191" s="38">
        <f t="shared" si="24"/>
        <v>0</v>
      </c>
    </row>
    <row r="192" spans="3:16" x14ac:dyDescent="0.2">
      <c r="C192" s="104" t="s">
        <v>374</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375</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376</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377</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378</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379</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380</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381</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382</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383</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384</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385</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386</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387</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388</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389</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390</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391</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392</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393</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394</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395</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396</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397</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398</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258</v>
      </c>
      <c r="C219" s="83" t="str">
        <f t="shared" ref="C219:C238" si="33">VLOOKUP(B219,$B$109:$L$138,2,FALSE)</f>
        <v>BAGAZO</v>
      </c>
      <c r="E219" s="83">
        <v>1975</v>
      </c>
    </row>
    <row r="220" spans="2:16" x14ac:dyDescent="0.2">
      <c r="B220" s="88" t="s">
        <v>261</v>
      </c>
      <c r="C220" s="88" t="str">
        <f t="shared" si="33"/>
        <v>CARBÓN MINERAL</v>
      </c>
      <c r="E220" s="88">
        <v>1976</v>
      </c>
    </row>
    <row r="221" spans="2:16" x14ac:dyDescent="0.2">
      <c r="B221" s="83" t="s">
        <v>263</v>
      </c>
      <c r="C221" s="83" t="str">
        <f t="shared" si="33"/>
        <v>GAS NATURAL</v>
      </c>
      <c r="E221" s="83">
        <v>1977</v>
      </c>
    </row>
    <row r="222" spans="2:16" x14ac:dyDescent="0.2">
      <c r="B222" s="88" t="s">
        <v>266</v>
      </c>
      <c r="C222" s="88" t="str">
        <f t="shared" si="33"/>
        <v>HIDROENERGÍA</v>
      </c>
      <c r="E222" s="88">
        <v>1978</v>
      </c>
    </row>
    <row r="223" spans="2:16" x14ac:dyDescent="0.2">
      <c r="B223" s="83" t="s">
        <v>268</v>
      </c>
      <c r="C223" s="83" t="str">
        <f t="shared" si="33"/>
        <v>LEÑA</v>
      </c>
      <c r="E223" s="83">
        <v>1979</v>
      </c>
    </row>
    <row r="224" spans="2:16" x14ac:dyDescent="0.2">
      <c r="B224" s="88" t="s">
        <v>270</v>
      </c>
      <c r="C224" s="88" t="str">
        <f t="shared" si="33"/>
        <v>PETROLEO</v>
      </c>
      <c r="E224" s="88">
        <v>1980</v>
      </c>
    </row>
    <row r="225" spans="2:5" x14ac:dyDescent="0.2">
      <c r="B225" s="83" t="s">
        <v>274</v>
      </c>
      <c r="C225" s="83" t="str">
        <f t="shared" si="33"/>
        <v>RECUPERACIÓN / RESIDUOS</v>
      </c>
      <c r="E225" s="83">
        <v>1981</v>
      </c>
    </row>
    <row r="226" spans="2:5" x14ac:dyDescent="0.2">
      <c r="B226" s="88" t="s">
        <v>283</v>
      </c>
      <c r="C226" s="88" t="str">
        <f t="shared" si="33"/>
        <v>OTROS RENOVABLES</v>
      </c>
      <c r="E226" s="88">
        <v>1982</v>
      </c>
    </row>
    <row r="227" spans="2:5" x14ac:dyDescent="0.2">
      <c r="B227" s="83" t="s">
        <v>291</v>
      </c>
      <c r="C227" s="83" t="str">
        <f t="shared" si="33"/>
        <v>ALCOHOL CARBURANTE</v>
      </c>
      <c r="E227" s="83">
        <v>1983</v>
      </c>
    </row>
    <row r="228" spans="2:5" x14ac:dyDescent="0.2">
      <c r="B228" s="88" t="s">
        <v>293</v>
      </c>
      <c r="C228" s="88" t="str">
        <f t="shared" si="33"/>
        <v>BIODIESEL</v>
      </c>
      <c r="E228" s="88">
        <v>1984</v>
      </c>
    </row>
    <row r="229" spans="2:5" x14ac:dyDescent="0.2">
      <c r="B229" s="83" t="s">
        <v>295</v>
      </c>
      <c r="C229" s="83" t="str">
        <f t="shared" si="33"/>
        <v>CARBÓN LEÑA</v>
      </c>
      <c r="E229" s="83">
        <v>1985</v>
      </c>
    </row>
    <row r="230" spans="2:5" x14ac:dyDescent="0.2">
      <c r="B230" s="88" t="s">
        <v>297</v>
      </c>
      <c r="C230" s="88" t="str">
        <f t="shared" si="33"/>
        <v>COQUE</v>
      </c>
      <c r="E230" s="88">
        <v>1986</v>
      </c>
    </row>
    <row r="231" spans="2:5" x14ac:dyDescent="0.2">
      <c r="B231" s="83" t="s">
        <v>299</v>
      </c>
      <c r="C231" s="83" t="str">
        <f t="shared" si="33"/>
        <v>DIESEL OIL</v>
      </c>
      <c r="E231" s="83">
        <v>1987</v>
      </c>
    </row>
    <row r="232" spans="2:5" x14ac:dyDescent="0.2">
      <c r="B232" s="88" t="s">
        <v>301</v>
      </c>
      <c r="C232" s="88" t="str">
        <f t="shared" si="33"/>
        <v>AUTO &amp; COGENERACIÓN</v>
      </c>
      <c r="E232" s="88">
        <v>1988</v>
      </c>
    </row>
    <row r="233" spans="2:5" x14ac:dyDescent="0.2">
      <c r="B233" s="83" t="s">
        <v>303</v>
      </c>
      <c r="C233" s="83" t="str">
        <f t="shared" si="33"/>
        <v>ENERGÍA ELECTRICA SIN</v>
      </c>
      <c r="E233" s="83">
        <v>1989</v>
      </c>
    </row>
    <row r="234" spans="2:5" x14ac:dyDescent="0.2">
      <c r="B234" s="88" t="s">
        <v>305</v>
      </c>
      <c r="C234" s="88" t="str">
        <f t="shared" si="33"/>
        <v>FUEL OIL</v>
      </c>
      <c r="E234" s="88">
        <v>1990</v>
      </c>
    </row>
    <row r="235" spans="2:5" x14ac:dyDescent="0.2">
      <c r="B235" s="83" t="s">
        <v>307</v>
      </c>
      <c r="C235" s="83" t="str">
        <f t="shared" si="33"/>
        <v>GAS INDUSTRIAL DE ALTO HORNO</v>
      </c>
      <c r="E235" s="83">
        <v>1991</v>
      </c>
    </row>
    <row r="236" spans="2:5" x14ac:dyDescent="0.2">
      <c r="B236" s="88" t="s">
        <v>309</v>
      </c>
      <c r="C236" s="88" t="str">
        <f t="shared" si="33"/>
        <v>GAS LICUADO DE PETRÓLEO</v>
      </c>
      <c r="E236" s="88">
        <v>1992</v>
      </c>
    </row>
    <row r="237" spans="2:5" x14ac:dyDescent="0.2">
      <c r="B237" s="83" t="s">
        <v>311</v>
      </c>
      <c r="C237" s="83" t="str">
        <f t="shared" si="33"/>
        <v>GASOLINA MOTOR</v>
      </c>
      <c r="E237" s="83">
        <v>1993</v>
      </c>
    </row>
    <row r="238" spans="2:5" x14ac:dyDescent="0.2">
      <c r="B238" s="88" t="s">
        <v>315</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127"/>
  <sheetViews>
    <sheetView showGridLines="0" topLeftCell="G46" zoomScale="115" zoomScaleNormal="115" workbookViewId="0">
      <selection activeCell="I114" sqref="I114:Q121"/>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523</v>
      </c>
      <c r="K20" t="s">
        <v>524</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243</v>
      </c>
      <c r="D32">
        <v>3299</v>
      </c>
      <c r="E32" t="s">
        <v>244</v>
      </c>
      <c r="J32" t="s">
        <v>126</v>
      </c>
      <c r="K32" t="s">
        <v>128</v>
      </c>
      <c r="L32" t="s">
        <v>9</v>
      </c>
      <c r="M32" t="s">
        <v>42</v>
      </c>
    </row>
    <row r="33" spans="2:23" x14ac:dyDescent="0.25">
      <c r="J33" t="s">
        <v>525</v>
      </c>
      <c r="K33" t="s">
        <v>526</v>
      </c>
      <c r="L33" t="s">
        <v>9</v>
      </c>
      <c r="M33" t="s">
        <v>42</v>
      </c>
    </row>
    <row r="35" spans="2:23" x14ac:dyDescent="0.25">
      <c r="D35">
        <v>287</v>
      </c>
      <c r="E35" t="s">
        <v>241</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242</v>
      </c>
      <c r="C41" s="51"/>
      <c r="D41" s="51"/>
      <c r="E41" s="51">
        <v>0.11600000000000001</v>
      </c>
      <c r="F41" s="51" t="s">
        <v>240</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523</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525</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519</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9:17" x14ac:dyDescent="0.25">
      <c r="I113" t="s">
        <v>239</v>
      </c>
    </row>
    <row r="114" spans="9:17" x14ac:dyDescent="0.25">
      <c r="J114">
        <v>2019</v>
      </c>
      <c r="K114">
        <v>2020</v>
      </c>
      <c r="L114">
        <v>2025</v>
      </c>
      <c r="M114">
        <v>2030</v>
      </c>
      <c r="N114">
        <v>2035</v>
      </c>
      <c r="O114">
        <v>2040</v>
      </c>
      <c r="P114">
        <v>2045</v>
      </c>
      <c r="Q114">
        <v>2050</v>
      </c>
    </row>
    <row r="115" spans="9:17" x14ac:dyDescent="0.25">
      <c r="I115" t="s">
        <v>45</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9:17" x14ac:dyDescent="0.25">
      <c r="I116" t="s">
        <v>47</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9:17" x14ac:dyDescent="0.25">
      <c r="I117" t="s">
        <v>48</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9:17" x14ac:dyDescent="0.25">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9:17" x14ac:dyDescent="0.25">
      <c r="I119" t="s">
        <v>50</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9:17" x14ac:dyDescent="0.25">
      <c r="I120" t="s">
        <v>43</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9:17" x14ac:dyDescent="0.25">
      <c r="I121" t="s">
        <v>44</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9:17" x14ac:dyDescent="0.25">
      <c r="I122" t="s">
        <v>51</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9:17" x14ac:dyDescent="0.25">
      <c r="I123" t="s">
        <v>52</v>
      </c>
      <c r="J123" s="70">
        <f t="shared" si="21"/>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9:17" x14ac:dyDescent="0.25">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9:17" x14ac:dyDescent="0.25">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9:17" x14ac:dyDescent="0.25">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9:17" x14ac:dyDescent="0.25">
      <c r="I127" t="str">
        <f>+I109</f>
        <v>AVG</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sheetData>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6"/>
  <sheetViews>
    <sheetView showGridLines="0" topLeftCell="E60" zoomScaleNormal="100" workbookViewId="0">
      <selection activeCell="I103" sqref="I103"/>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519</v>
      </c>
      <c r="J11" s="38" t="s">
        <v>520</v>
      </c>
      <c r="K11" s="149">
        <v>1</v>
      </c>
      <c r="L11" s="34"/>
      <c r="M11" s="38"/>
      <c r="O11" s="38"/>
      <c r="P11" s="38" t="str">
        <f t="shared" si="1"/>
        <v>FTE-DAVG</v>
      </c>
      <c r="Q11" s="38" t="s">
        <v>521</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543</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544</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545</v>
      </c>
      <c r="I26" s="38" t="s">
        <v>43</v>
      </c>
      <c r="J26" s="38" t="s">
        <v>549</v>
      </c>
      <c r="K26" s="163">
        <v>1</v>
      </c>
      <c r="L26" s="38"/>
      <c r="M26" s="38"/>
      <c r="O26" s="38"/>
      <c r="P26" s="38" t="str">
        <f>+H26</f>
        <v>FTE-ETH</v>
      </c>
      <c r="Q26" s="38" t="s">
        <v>547</v>
      </c>
      <c r="R26" s="38" t="s">
        <v>9</v>
      </c>
      <c r="S26" s="38" t="s">
        <v>42</v>
      </c>
    </row>
    <row r="27" spans="2:19" x14ac:dyDescent="0.25">
      <c r="H27" s="38" t="s">
        <v>546</v>
      </c>
      <c r="I27" s="38" t="s">
        <v>44</v>
      </c>
      <c r="J27" s="38" t="s">
        <v>550</v>
      </c>
      <c r="K27" s="163">
        <v>1</v>
      </c>
      <c r="P27" s="38" t="str">
        <f>+H27</f>
        <v>FTE-BDSL</v>
      </c>
      <c r="Q27" s="38" t="s">
        <v>548</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553</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550</v>
      </c>
      <c r="J68" s="269"/>
      <c r="K68" s="270" t="s">
        <v>553</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553</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549</v>
      </c>
      <c r="J70" s="269"/>
      <c r="K70" s="270" t="s">
        <v>553</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552</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551</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553</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550</v>
      </c>
      <c r="J77" s="269"/>
      <c r="K77" s="270" t="s">
        <v>553</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553</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549</v>
      </c>
      <c r="J79" s="269"/>
      <c r="K79" s="270" t="s">
        <v>553</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553</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550</v>
      </c>
      <c r="J87" s="269"/>
      <c r="K87" s="270" t="s">
        <v>553</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553</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549</v>
      </c>
      <c r="J89" s="269"/>
      <c r="K89" s="270" t="s">
        <v>553</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520</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topLeftCell="A10" zoomScaleNormal="100" workbookViewId="0">
      <selection activeCell="F19" sqref="F19:H19"/>
    </sheetView>
  </sheetViews>
  <sheetFormatPr baseColWidth="10" defaultRowHeight="15" x14ac:dyDescent="0.25"/>
  <cols>
    <col min="2" max="2" width="15" customWidth="1"/>
    <col min="7" max="7" width="12" bestFit="1" customWidth="1"/>
  </cols>
  <sheetData>
    <row r="1" spans="2:8" x14ac:dyDescent="0.25">
      <c r="G1" s="212" t="s">
        <v>405</v>
      </c>
    </row>
    <row r="2" spans="2:8" x14ac:dyDescent="0.25">
      <c r="G2" s="259" t="s">
        <v>282</v>
      </c>
    </row>
    <row r="3" spans="2:8" x14ac:dyDescent="0.25">
      <c r="G3" s="260" t="s">
        <v>473</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529</v>
      </c>
      <c r="G11" s="122">
        <v>77.841777688967127</v>
      </c>
      <c r="H11" s="257">
        <v>77.841777688967127</v>
      </c>
    </row>
    <row r="12" spans="2:8" x14ac:dyDescent="0.25">
      <c r="B12" s="258">
        <v>0</v>
      </c>
      <c r="C12" s="257">
        <v>0</v>
      </c>
      <c r="D12" s="257" t="str">
        <v>DHOIL</v>
      </c>
      <c r="F12" t="s">
        <v>530</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771</v>
      </c>
      <c r="G16" s="122">
        <v>0.16600000000000001</v>
      </c>
      <c r="H16" t="s">
        <v>772</v>
      </c>
    </row>
    <row r="17" spans="2:15" x14ac:dyDescent="0.25">
      <c r="B17" s="258">
        <v>0</v>
      </c>
      <c r="C17" s="257">
        <v>0</v>
      </c>
      <c r="D17" s="257" t="str">
        <v>DIND</v>
      </c>
      <c r="F17" t="s">
        <v>771</v>
      </c>
      <c r="G17" s="457">
        <f>+(G16/1000000)</f>
        <v>1.66E-7</v>
      </c>
      <c r="H17" t="s">
        <v>773</v>
      </c>
    </row>
    <row r="18" spans="2:15" x14ac:dyDescent="0.25">
      <c r="B18" s="258">
        <v>0</v>
      </c>
      <c r="C18" s="257">
        <v>0</v>
      </c>
      <c r="D18" s="257" t="str">
        <v>DTRA</v>
      </c>
      <c r="F18" t="s">
        <v>771</v>
      </c>
      <c r="G18">
        <f>+G17*(1000000)</f>
        <v>0.16600000000000001</v>
      </c>
      <c r="H18" t="s">
        <v>775</v>
      </c>
    </row>
    <row r="19" spans="2:15" x14ac:dyDescent="0.25">
      <c r="B19" s="258" t="str">
        <v>NRG</v>
      </c>
      <c r="C19" s="257">
        <v>0</v>
      </c>
      <c r="D19" s="257" t="str">
        <v>DAVG</v>
      </c>
      <c r="F19" s="458" t="s">
        <v>771</v>
      </c>
      <c r="G19" s="458">
        <f>+G18/0.0036</f>
        <v>46.111111111111114</v>
      </c>
      <c r="H19" s="458" t="s">
        <v>776</v>
      </c>
    </row>
    <row r="21" spans="2:15" ht="18.75" x14ac:dyDescent="0.3">
      <c r="B21" s="454" t="s">
        <v>774</v>
      </c>
    </row>
    <row r="23" spans="2:15" x14ac:dyDescent="0.25">
      <c r="B23" s="254" t="s">
        <v>528</v>
      </c>
    </row>
    <row r="24" spans="2:15" ht="15.75" thickBot="1" x14ac:dyDescent="0.3">
      <c r="B24" s="255" t="s">
        <v>2</v>
      </c>
      <c r="C24" s="256" t="s">
        <v>146</v>
      </c>
      <c r="D24" s="256" t="s">
        <v>147</v>
      </c>
      <c r="E24" s="256" t="s">
        <v>549</v>
      </c>
      <c r="F24" s="256" t="s">
        <v>550</v>
      </c>
      <c r="G24" s="256" t="s">
        <v>148</v>
      </c>
      <c r="H24" s="256" t="s">
        <v>149</v>
      </c>
      <c r="I24" s="256" t="s">
        <v>150</v>
      </c>
      <c r="J24" s="256" t="s">
        <v>151</v>
      </c>
      <c r="K24" s="256" t="s">
        <v>152</v>
      </c>
      <c r="L24" s="256" t="s">
        <v>529</v>
      </c>
      <c r="M24" s="256" t="s">
        <v>530</v>
      </c>
      <c r="N24" s="256" t="s">
        <v>173</v>
      </c>
      <c r="O24" s="256" t="s">
        <v>520</v>
      </c>
    </row>
    <row r="25" spans="2:15" ht="15.75" thickBot="1" x14ac:dyDescent="0.3">
      <c r="B25" s="7" t="s">
        <v>8</v>
      </c>
      <c r="C25" s="21" t="s">
        <v>282</v>
      </c>
      <c r="D25" s="21" t="s">
        <v>282</v>
      </c>
      <c r="E25" s="21" t="s">
        <v>282</v>
      </c>
      <c r="F25" s="21" t="s">
        <v>282</v>
      </c>
      <c r="G25" s="21" t="s">
        <v>282</v>
      </c>
      <c r="H25" s="21" t="s">
        <v>282</v>
      </c>
      <c r="I25" s="21" t="s">
        <v>282</v>
      </c>
      <c r="J25" s="21" t="s">
        <v>282</v>
      </c>
      <c r="K25" s="21" t="s">
        <v>282</v>
      </c>
      <c r="L25" s="21" t="s">
        <v>282</v>
      </c>
      <c r="M25" s="21" t="s">
        <v>282</v>
      </c>
      <c r="N25" s="21" t="s">
        <v>282</v>
      </c>
      <c r="O25" s="21" t="s">
        <v>282</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767</v>
      </c>
    </row>
    <row r="33" spans="2:6" x14ac:dyDescent="0.25">
      <c r="B33" s="254" t="s">
        <v>528</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282</v>
      </c>
      <c r="D35" s="21" t="s">
        <v>282</v>
      </c>
      <c r="E35" s="21" t="s">
        <v>282</v>
      </c>
      <c r="F35" s="21" t="s">
        <v>282</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528</v>
      </c>
    </row>
    <row r="41" spans="2:6" ht="15.75" thickBot="1" x14ac:dyDescent="0.3">
      <c r="B41" s="255" t="s">
        <v>2</v>
      </c>
      <c r="C41" s="256" t="s">
        <v>757</v>
      </c>
      <c r="D41" s="256" t="s">
        <v>758</v>
      </c>
      <c r="E41" s="256" t="s">
        <v>743</v>
      </c>
      <c r="F41" s="256" t="s">
        <v>732</v>
      </c>
    </row>
    <row r="42" spans="2:6" ht="15.75" thickBot="1" x14ac:dyDescent="0.3">
      <c r="B42" s="7" t="s">
        <v>8</v>
      </c>
      <c r="C42" s="21" t="s">
        <v>282</v>
      </c>
      <c r="D42" s="21" t="s">
        <v>282</v>
      </c>
      <c r="E42" s="21" t="s">
        <v>282</v>
      </c>
      <c r="F42" s="21" t="s">
        <v>282</v>
      </c>
    </row>
    <row r="43" spans="2:6" x14ac:dyDescent="0.25">
      <c r="B43" t="s">
        <v>770</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G18" sqref="G18"/>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570</v>
      </c>
    </row>
    <row r="4" spans="2:10" x14ac:dyDescent="0.25">
      <c r="C4" s="142"/>
      <c r="J4" t="s">
        <v>612</v>
      </c>
    </row>
    <row r="5" spans="2:10" x14ac:dyDescent="0.25">
      <c r="B5" s="286"/>
      <c r="C5" s="251"/>
      <c r="D5" s="598" t="s">
        <v>577</v>
      </c>
      <c r="E5" s="598"/>
      <c r="F5" s="598"/>
    </row>
    <row r="6" spans="2:10" x14ac:dyDescent="0.25">
      <c r="B6" s="286"/>
      <c r="C6" s="287"/>
      <c r="D6" s="287" t="s">
        <v>574</v>
      </c>
      <c r="E6" s="287" t="s">
        <v>578</v>
      </c>
      <c r="F6" s="287" t="s">
        <v>576</v>
      </c>
    </row>
    <row r="7" spans="2:10" x14ac:dyDescent="0.25">
      <c r="B7" s="599" t="s">
        <v>580</v>
      </c>
      <c r="C7" s="287" t="s">
        <v>573</v>
      </c>
      <c r="D7" s="288">
        <v>62846</v>
      </c>
      <c r="E7" s="288">
        <v>105000</v>
      </c>
      <c r="F7" s="288">
        <f>+E7+D7</f>
        <v>167846</v>
      </c>
    </row>
    <row r="8" spans="2:10" x14ac:dyDescent="0.25">
      <c r="B8" s="599"/>
      <c r="C8" s="287" t="s">
        <v>572</v>
      </c>
      <c r="D8" s="288">
        <v>146640</v>
      </c>
      <c r="E8" s="288">
        <v>45000</v>
      </c>
      <c r="F8" s="288">
        <f t="shared" ref="F8:F9" si="0">+E8+D8</f>
        <v>191640</v>
      </c>
    </row>
    <row r="9" spans="2:10" x14ac:dyDescent="0.25">
      <c r="B9" s="286"/>
      <c r="C9" s="287" t="s">
        <v>576</v>
      </c>
      <c r="D9" s="288">
        <f>+SUM(D7:D8)</f>
        <v>209486</v>
      </c>
      <c r="E9" s="288">
        <f>+SUM(E7:E8)</f>
        <v>150000</v>
      </c>
      <c r="F9" s="288">
        <f t="shared" si="0"/>
        <v>359486</v>
      </c>
    </row>
    <row r="10" spans="2:10" x14ac:dyDescent="0.25">
      <c r="B10" s="142" t="s">
        <v>595</v>
      </c>
      <c r="C10" s="287" t="s">
        <v>571</v>
      </c>
      <c r="E10" s="285">
        <v>0.6</v>
      </c>
      <c r="F10" s="283"/>
    </row>
    <row r="11" spans="2:10" x14ac:dyDescent="0.25">
      <c r="C11" s="287" t="s">
        <v>593</v>
      </c>
      <c r="D11" s="284"/>
      <c r="E11" s="285">
        <v>0.25</v>
      </c>
      <c r="F11" s="283"/>
    </row>
    <row r="12" spans="2:10" x14ac:dyDescent="0.25">
      <c r="C12" s="287" t="s">
        <v>594</v>
      </c>
      <c r="D12" s="285"/>
      <c r="E12" s="281">
        <v>0.15</v>
      </c>
    </row>
    <row r="14" spans="2:10" x14ac:dyDescent="0.25">
      <c r="C14" s="22"/>
      <c r="D14" s="22" t="s">
        <v>574</v>
      </c>
      <c r="E14" s="22" t="s">
        <v>578</v>
      </c>
      <c r="F14" s="22" t="s">
        <v>576</v>
      </c>
    </row>
    <row r="15" spans="2:10" x14ac:dyDescent="0.25">
      <c r="B15" s="142" t="s">
        <v>580</v>
      </c>
      <c r="C15" s="22" t="s">
        <v>575</v>
      </c>
      <c r="D15" s="285">
        <f>+D8/D9</f>
        <v>0.69999904528226231</v>
      </c>
      <c r="E15" s="285">
        <f>+E8/E9</f>
        <v>0.3</v>
      </c>
      <c r="F15" s="285">
        <f>+F8/F9</f>
        <v>0.53309447377644748</v>
      </c>
    </row>
    <row r="16" spans="2:10" x14ac:dyDescent="0.25">
      <c r="B16" s="142" t="s">
        <v>583</v>
      </c>
      <c r="C16" s="19" t="s">
        <v>582</v>
      </c>
      <c r="D16" s="290">
        <v>0.7</v>
      </c>
      <c r="E16" s="281">
        <f>45000/150000</f>
        <v>0.3</v>
      </c>
    </row>
    <row r="20" spans="2:5" x14ac:dyDescent="0.25">
      <c r="C20" s="19"/>
      <c r="D20" s="19" t="s">
        <v>574</v>
      </c>
      <c r="E20" t="s">
        <v>578</v>
      </c>
    </row>
    <row r="21" spans="2:5" x14ac:dyDescent="0.25">
      <c r="C21" s="19" t="s">
        <v>579</v>
      </c>
      <c r="D21" s="19">
        <v>250</v>
      </c>
      <c r="E21" s="19">
        <v>150</v>
      </c>
    </row>
    <row r="24" spans="2:5" x14ac:dyDescent="0.25">
      <c r="D24" s="19" t="s">
        <v>574</v>
      </c>
      <c r="E24" t="s">
        <v>578</v>
      </c>
    </row>
    <row r="25" spans="2:5" x14ac:dyDescent="0.25">
      <c r="B25" s="142" t="s">
        <v>581</v>
      </c>
      <c r="C25" t="s">
        <v>568</v>
      </c>
      <c r="D25" s="265">
        <v>0.83</v>
      </c>
      <c r="E25" s="265">
        <v>0.93700000000000006</v>
      </c>
    </row>
    <row r="26" spans="2:5" x14ac:dyDescent="0.25">
      <c r="B26" s="142" t="s">
        <v>595</v>
      </c>
      <c r="D26" s="283">
        <v>220000</v>
      </c>
      <c r="E26" s="283">
        <v>150000</v>
      </c>
    </row>
    <row r="28" spans="2:5" x14ac:dyDescent="0.25">
      <c r="D28" s="19" t="s">
        <v>574</v>
      </c>
      <c r="E28" t="s">
        <v>578</v>
      </c>
    </row>
    <row r="29" spans="2:5" x14ac:dyDescent="0.25">
      <c r="B29" s="142" t="s">
        <v>581</v>
      </c>
      <c r="C29" t="s">
        <v>584</v>
      </c>
      <c r="D29" s="289">
        <v>0.61</v>
      </c>
      <c r="E29" s="289">
        <v>0.97</v>
      </c>
    </row>
    <row r="30" spans="2:5" x14ac:dyDescent="0.25">
      <c r="D30" s="19" t="s">
        <v>574</v>
      </c>
      <c r="E30" t="s">
        <v>578</v>
      </c>
    </row>
    <row r="31" spans="2:5" x14ac:dyDescent="0.25">
      <c r="B31" s="142" t="s">
        <v>602</v>
      </c>
      <c r="C31" t="s">
        <v>601</v>
      </c>
      <c r="D31">
        <v>180000</v>
      </c>
      <c r="E31">
        <v>130000</v>
      </c>
    </row>
    <row r="32" spans="2:5" x14ac:dyDescent="0.25">
      <c r="C32" t="s">
        <v>603</v>
      </c>
      <c r="D32">
        <v>222000</v>
      </c>
      <c r="E32">
        <v>165000</v>
      </c>
    </row>
    <row r="33" spans="2:9" x14ac:dyDescent="0.25">
      <c r="C33" t="s">
        <v>604</v>
      </c>
      <c r="D33" s="293">
        <f>+D31/D32</f>
        <v>0.81081081081081086</v>
      </c>
      <c r="E33" s="293">
        <f>+E31/E32</f>
        <v>0.78787878787878785</v>
      </c>
    </row>
    <row r="34" spans="2:9" x14ac:dyDescent="0.25">
      <c r="B34" s="142" t="s">
        <v>581</v>
      </c>
      <c r="C34" t="s">
        <v>601</v>
      </c>
      <c r="D34">
        <v>209000</v>
      </c>
      <c r="E34">
        <v>147888</v>
      </c>
    </row>
    <row r="35" spans="2:9" x14ac:dyDescent="0.25">
      <c r="C35" t="s">
        <v>603</v>
      </c>
      <c r="D35">
        <v>211820</v>
      </c>
      <c r="E35">
        <v>150000</v>
      </c>
    </row>
    <row r="36" spans="2:9" x14ac:dyDescent="0.25">
      <c r="C36" t="s">
        <v>604</v>
      </c>
      <c r="D36" s="293">
        <f>+D34/D35</f>
        <v>0.98668680955528276</v>
      </c>
      <c r="E36" s="293">
        <f>+E34/E35</f>
        <v>0.98592000000000002</v>
      </c>
    </row>
    <row r="39" spans="2:9" x14ac:dyDescent="0.25">
      <c r="D39" s="19" t="s">
        <v>574</v>
      </c>
      <c r="E39" t="s">
        <v>578</v>
      </c>
    </row>
    <row r="40" spans="2:9" x14ac:dyDescent="0.25">
      <c r="C40" t="s">
        <v>585</v>
      </c>
      <c r="D40">
        <v>2027</v>
      </c>
      <c r="E40">
        <v>2026</v>
      </c>
    </row>
    <row r="41" spans="2:9" x14ac:dyDescent="0.25">
      <c r="C41" t="s">
        <v>586</v>
      </c>
      <c r="D41">
        <v>2032</v>
      </c>
      <c r="E41">
        <v>2029</v>
      </c>
    </row>
    <row r="45" spans="2:9" x14ac:dyDescent="0.25">
      <c r="B45" s="600" t="s">
        <v>583</v>
      </c>
      <c r="C45" t="s">
        <v>588</v>
      </c>
    </row>
    <row r="46" spans="2:9" x14ac:dyDescent="0.25">
      <c r="B46" s="600"/>
      <c r="D46" s="19" t="s">
        <v>574</v>
      </c>
      <c r="E46" t="s">
        <v>578</v>
      </c>
      <c r="F46" t="s">
        <v>591</v>
      </c>
    </row>
    <row r="47" spans="2:9" x14ac:dyDescent="0.25">
      <c r="B47" s="600"/>
      <c r="C47" t="s">
        <v>85</v>
      </c>
      <c r="D47" s="283">
        <v>62000</v>
      </c>
      <c r="E47" s="282">
        <v>27000</v>
      </c>
      <c r="F47" s="283">
        <v>113000</v>
      </c>
      <c r="G47" s="291"/>
      <c r="I47" s="291"/>
    </row>
    <row r="48" spans="2:9" x14ac:dyDescent="0.25">
      <c r="B48" s="600"/>
      <c r="C48" t="s">
        <v>86</v>
      </c>
      <c r="D48" s="283">
        <v>64000</v>
      </c>
      <c r="E48" s="282">
        <v>77000</v>
      </c>
      <c r="F48" s="283">
        <v>113300</v>
      </c>
      <c r="H48" s="291"/>
      <c r="I48" s="291"/>
    </row>
    <row r="49" spans="2:15" x14ac:dyDescent="0.25">
      <c r="B49" s="600"/>
      <c r="C49" t="s">
        <v>587</v>
      </c>
      <c r="D49" s="283">
        <v>21000</v>
      </c>
      <c r="E49" s="282">
        <v>7000</v>
      </c>
      <c r="F49" s="283">
        <v>36200</v>
      </c>
      <c r="H49" s="291"/>
      <c r="I49" s="291"/>
    </row>
    <row r="50" spans="2:15" x14ac:dyDescent="0.25">
      <c r="B50" s="600"/>
      <c r="C50" t="s">
        <v>569</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641</v>
      </c>
      <c r="D52" s="283"/>
      <c r="E52" s="283">
        <f>150000*0.937</f>
        <v>140550</v>
      </c>
      <c r="F52" s="283"/>
      <c r="H52" s="355">
        <f>+E51/E52</f>
        <v>0.88794023479188899</v>
      </c>
    </row>
    <row r="53" spans="2:15" x14ac:dyDescent="0.25">
      <c r="B53" s="308"/>
      <c r="D53" s="283"/>
      <c r="E53" s="283"/>
      <c r="F53" s="283"/>
      <c r="H53" s="291"/>
    </row>
    <row r="54" spans="2:15" x14ac:dyDescent="0.25">
      <c r="D54" s="19"/>
      <c r="E54" t="s">
        <v>578</v>
      </c>
      <c r="H54" s="291"/>
    </row>
    <row r="55" spans="2:15" x14ac:dyDescent="0.25">
      <c r="B55" s="142" t="s">
        <v>592</v>
      </c>
      <c r="C55" t="s">
        <v>85</v>
      </c>
      <c r="D55" s="283">
        <v>56700</v>
      </c>
      <c r="E55" s="282">
        <v>29000</v>
      </c>
      <c r="F55" s="283"/>
      <c r="H55" s="291"/>
    </row>
    <row r="56" spans="2:15" x14ac:dyDescent="0.25">
      <c r="C56" t="s">
        <v>86</v>
      </c>
      <c r="D56" s="283">
        <v>58000</v>
      </c>
      <c r="E56" s="282">
        <v>75000</v>
      </c>
      <c r="F56" s="283"/>
      <c r="H56" s="291"/>
    </row>
    <row r="57" spans="2:15" x14ac:dyDescent="0.25">
      <c r="C57" t="s">
        <v>587</v>
      </c>
      <c r="D57" s="283">
        <v>23000</v>
      </c>
      <c r="E57" s="282">
        <v>9000</v>
      </c>
      <c r="F57" s="283"/>
      <c r="H57" s="291"/>
    </row>
    <row r="58" spans="2:15" x14ac:dyDescent="0.25">
      <c r="C58" t="s">
        <v>569</v>
      </c>
      <c r="D58" s="283"/>
      <c r="E58" s="282"/>
      <c r="F58" s="283"/>
      <c r="H58" s="291"/>
    </row>
    <row r="59" spans="2:15" x14ac:dyDescent="0.25">
      <c r="D59" s="283"/>
      <c r="E59" s="282"/>
      <c r="F59" s="283"/>
      <c r="H59" s="291"/>
    </row>
    <row r="62" spans="2:15" x14ac:dyDescent="0.25">
      <c r="B62" s="303" t="s">
        <v>583</v>
      </c>
      <c r="C62" s="304" t="s">
        <v>589</v>
      </c>
      <c r="D62" s="305"/>
      <c r="E62" s="305"/>
      <c r="F62" s="305"/>
      <c r="G62" s="306">
        <v>209500</v>
      </c>
    </row>
    <row r="63" spans="2:15" x14ac:dyDescent="0.25">
      <c r="B63" s="296"/>
      <c r="D63" s="19" t="s">
        <v>574</v>
      </c>
      <c r="E63" t="s">
        <v>578</v>
      </c>
      <c r="G63" s="297"/>
    </row>
    <row r="64" spans="2:15" x14ac:dyDescent="0.25">
      <c r="B64" s="296"/>
      <c r="C64" t="s">
        <v>590</v>
      </c>
      <c r="D64" s="298">
        <v>0.29599999999999999</v>
      </c>
      <c r="E64" s="299">
        <v>0.34799999999999998</v>
      </c>
      <c r="G64" s="297">
        <f>+D64*$G$62</f>
        <v>62012</v>
      </c>
      <c r="K64" t="s">
        <v>45</v>
      </c>
      <c r="L64" s="63">
        <v>0.34799999999999998</v>
      </c>
      <c r="M64">
        <f t="shared" ref="M64:M66" si="1">+$M$68*L64</f>
        <v>0.34799999999999998</v>
      </c>
      <c r="N64" t="s">
        <v>716</v>
      </c>
      <c r="O64">
        <f>+M64*'4.1 Ref_Cart'!E11</f>
        <v>1.8551527595955706</v>
      </c>
    </row>
    <row r="65" spans="2:17" x14ac:dyDescent="0.25">
      <c r="B65" s="296"/>
      <c r="C65" t="s">
        <v>86</v>
      </c>
      <c r="D65" s="298">
        <v>0.307</v>
      </c>
      <c r="E65" s="299">
        <v>0.51300000000000001</v>
      </c>
      <c r="G65" s="297">
        <f t="shared" ref="G65:G67" si="2">+D65*$G$62</f>
        <v>64316.5</v>
      </c>
      <c r="I65" t="s">
        <v>639</v>
      </c>
      <c r="K65" t="s">
        <v>47</v>
      </c>
      <c r="L65" s="63">
        <v>0.51300000000000001</v>
      </c>
      <c r="M65">
        <f t="shared" si="1"/>
        <v>0.51300000000000001</v>
      </c>
      <c r="N65" t="s">
        <v>716</v>
      </c>
      <c r="O65">
        <f>+M65*'4.1 Ref_Cart'!E12</f>
        <v>2.9091459679514378</v>
      </c>
    </row>
    <row r="66" spans="2:17" x14ac:dyDescent="0.25">
      <c r="B66" s="296"/>
      <c r="C66" t="s">
        <v>587</v>
      </c>
      <c r="D66" s="298">
        <v>0.10100000000000001</v>
      </c>
      <c r="E66" s="299">
        <v>4.7E-2</v>
      </c>
      <c r="G66" s="297">
        <f t="shared" si="2"/>
        <v>21159.5</v>
      </c>
      <c r="I66" s="292" t="s">
        <v>45</v>
      </c>
      <c r="J66" s="310">
        <v>0.28962955526553558</v>
      </c>
      <c r="K66" t="s">
        <v>717</v>
      </c>
      <c r="L66" s="63">
        <v>4.7E-2</v>
      </c>
      <c r="M66">
        <f t="shared" si="1"/>
        <v>4.7E-2</v>
      </c>
      <c r="N66" t="s">
        <v>716</v>
      </c>
      <c r="O66">
        <f>+L66*'4.1 Ref_Cart'!F13</f>
        <v>4.1235476325416265</v>
      </c>
      <c r="Q66">
        <f>+SUM(O64:O66)</f>
        <v>8.8878463600886342</v>
      </c>
    </row>
    <row r="67" spans="2:17" x14ac:dyDescent="0.25">
      <c r="B67" s="296"/>
      <c r="C67" t="s">
        <v>569</v>
      </c>
      <c r="D67" s="298">
        <v>0.29599999999999999</v>
      </c>
      <c r="E67" s="299">
        <v>9.1999999999999998E-2</v>
      </c>
      <c r="G67" s="297">
        <f t="shared" si="2"/>
        <v>62012</v>
      </c>
      <c r="I67" s="292" t="s">
        <v>47</v>
      </c>
      <c r="J67" s="310">
        <v>0.25690191747816488</v>
      </c>
      <c r="K67" t="s">
        <v>569</v>
      </c>
      <c r="L67" s="63">
        <v>9.1999999999999998E-2</v>
      </c>
      <c r="M67">
        <f>+$M$68*L67</f>
        <v>9.1999999999999998E-2</v>
      </c>
      <c r="N67" t="s">
        <v>716</v>
      </c>
    </row>
    <row r="68" spans="2:17" x14ac:dyDescent="0.25">
      <c r="B68" s="296"/>
      <c r="D68" s="298">
        <f>+SUM(D64:D67)</f>
        <v>1</v>
      </c>
      <c r="E68" s="299">
        <f>+SUM(E64:E67)</f>
        <v>1</v>
      </c>
      <c r="G68" s="297"/>
      <c r="I68" s="292" t="s">
        <v>48</v>
      </c>
      <c r="J68" s="310">
        <v>8.7340628450958732E-2</v>
      </c>
      <c r="L68" s="289">
        <v>1</v>
      </c>
      <c r="M68">
        <v>1</v>
      </c>
      <c r="N68" t="s">
        <v>716</v>
      </c>
      <c r="O68">
        <f>+M68*'4.1 Ref_Cart'!E8</f>
        <v>6.0871741676095334</v>
      </c>
    </row>
    <row r="69" spans="2:17" x14ac:dyDescent="0.25">
      <c r="B69" s="307" t="s">
        <v>592</v>
      </c>
      <c r="D69" s="19" t="s">
        <v>574</v>
      </c>
      <c r="E69" t="s">
        <v>578</v>
      </c>
      <c r="G69" s="297"/>
      <c r="I69" s="1" t="s">
        <v>49</v>
      </c>
      <c r="J69" s="309">
        <v>4.6280493926312651E-2</v>
      </c>
    </row>
    <row r="70" spans="2:17" x14ac:dyDescent="0.25">
      <c r="B70" s="296"/>
      <c r="C70" t="s">
        <v>590</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516</v>
      </c>
      <c r="J71" s="309">
        <v>2.6904929223973497E-2</v>
      </c>
      <c r="L71" s="289">
        <f>+SUM(J69:J71)</f>
        <v>0.3661278988053408</v>
      </c>
    </row>
    <row r="72" spans="2:17" x14ac:dyDescent="0.25">
      <c r="B72" s="296"/>
      <c r="C72" t="s">
        <v>587</v>
      </c>
      <c r="D72" s="298">
        <v>9.8000000000000004E-2</v>
      </c>
      <c r="E72" s="299">
        <v>5.8000000000000003E-2</v>
      </c>
      <c r="G72" s="297"/>
    </row>
    <row r="73" spans="2:17" x14ac:dyDescent="0.25">
      <c r="B73" s="296"/>
      <c r="C73" t="s">
        <v>569</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597</v>
      </c>
      <c r="D75" s="19" t="s">
        <v>574</v>
      </c>
      <c r="E75" t="s">
        <v>578</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587</v>
      </c>
      <c r="D78" s="265">
        <v>9.9000000000000005E-2</v>
      </c>
      <c r="G78" s="297"/>
    </row>
    <row r="79" spans="2:17" x14ac:dyDescent="0.25">
      <c r="B79" s="296"/>
      <c r="C79" t="s">
        <v>599</v>
      </c>
      <c r="D79" s="265">
        <v>0.248</v>
      </c>
      <c r="G79" s="297"/>
    </row>
    <row r="80" spans="2:17" x14ac:dyDescent="0.25">
      <c r="B80" s="300"/>
      <c r="C80" s="152"/>
      <c r="D80" s="301">
        <f>+SUM(D76:D79)</f>
        <v>1</v>
      </c>
      <c r="E80" s="152"/>
      <c r="F80" s="152"/>
      <c r="G80" s="302"/>
    </row>
    <row r="81" spans="2:5" x14ac:dyDescent="0.25">
      <c r="B81" s="142" t="s">
        <v>597</v>
      </c>
      <c r="C81" s="292" t="s">
        <v>600</v>
      </c>
      <c r="D81" s="19" t="s">
        <v>574</v>
      </c>
      <c r="E81" t="s">
        <v>578</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587</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583</v>
      </c>
    </row>
    <row r="91" spans="2:5" x14ac:dyDescent="0.25">
      <c r="C91" s="22"/>
      <c r="D91" s="22" t="s">
        <v>605</v>
      </c>
      <c r="E91" s="22"/>
    </row>
    <row r="92" spans="2:5" x14ac:dyDescent="0.25">
      <c r="C92" s="22" t="s">
        <v>606</v>
      </c>
      <c r="D92" s="295" t="s">
        <v>607</v>
      </c>
      <c r="E92" s="22" t="s">
        <v>608</v>
      </c>
    </row>
    <row r="93" spans="2:5" x14ac:dyDescent="0.25">
      <c r="C93" s="22" t="s">
        <v>609</v>
      </c>
      <c r="D93" s="295">
        <v>0.307</v>
      </c>
      <c r="E93" s="295">
        <v>0.43</v>
      </c>
    </row>
    <row r="94" spans="2:5" x14ac:dyDescent="0.25">
      <c r="C94" s="22" t="s">
        <v>610</v>
      </c>
      <c r="D94" s="295">
        <v>0.29599999999999999</v>
      </c>
      <c r="E94" s="295">
        <v>0.33600000000000002</v>
      </c>
    </row>
    <row r="95" spans="2:5" x14ac:dyDescent="0.25">
      <c r="C95" s="22" t="s">
        <v>611</v>
      </c>
      <c r="D95" s="295">
        <v>0.10100000000000001</v>
      </c>
      <c r="E95" s="295">
        <v>0.114</v>
      </c>
    </row>
    <row r="96" spans="2:5" x14ac:dyDescent="0.25">
      <c r="C96" s="22" t="s">
        <v>569</v>
      </c>
      <c r="D96" s="294">
        <v>0.29599999999999999</v>
      </c>
      <c r="E96" s="294">
        <v>0.12</v>
      </c>
    </row>
    <row r="100" spans="2:4" x14ac:dyDescent="0.25">
      <c r="B100" s="142" t="s">
        <v>597</v>
      </c>
      <c r="C100" s="142"/>
      <c r="D100" t="s">
        <v>596</v>
      </c>
    </row>
    <row r="101" spans="2:4" x14ac:dyDescent="0.25">
      <c r="C101" t="s">
        <v>590</v>
      </c>
      <c r="D101" s="265">
        <v>0.60299999999999998</v>
      </c>
    </row>
    <row r="102" spans="2:4" x14ac:dyDescent="0.25">
      <c r="C102" t="s">
        <v>86</v>
      </c>
      <c r="D102" s="265">
        <v>0.57799999999999996</v>
      </c>
    </row>
    <row r="103" spans="2:4" x14ac:dyDescent="0.25">
      <c r="C103" t="s">
        <v>587</v>
      </c>
      <c r="D103" s="289">
        <v>0.64</v>
      </c>
    </row>
    <row r="104" spans="2:4" x14ac:dyDescent="0.25">
      <c r="C104" t="s">
        <v>598</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A34" zoomScale="115" zoomScaleNormal="115" workbookViewId="0">
      <selection activeCell="A20" sqref="A20:F22"/>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618</v>
      </c>
      <c r="D1">
        <v>119.96</v>
      </c>
      <c r="E1" t="s">
        <v>325</v>
      </c>
    </row>
    <row r="2" spans="3:21" x14ac:dyDescent="0.25">
      <c r="C2" t="s">
        <v>618</v>
      </c>
      <c r="D2">
        <v>142500</v>
      </c>
      <c r="E2" t="s">
        <v>635</v>
      </c>
      <c r="F2">
        <v>1.4250000000000001E-7</v>
      </c>
      <c r="G2" t="s">
        <v>636</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66" t="s">
        <v>613</v>
      </c>
      <c r="M7" s="601"/>
      <c r="N7" s="601"/>
      <c r="O7" s="601"/>
      <c r="P7" s="601"/>
      <c r="Q7" s="601"/>
      <c r="R7" s="601"/>
      <c r="S7" s="601"/>
      <c r="T7" s="601"/>
      <c r="U7" s="567"/>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06" t="s">
        <v>723</v>
      </c>
      <c r="O9" s="607"/>
      <c r="P9" s="608"/>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658</v>
      </c>
      <c r="P10" s="359" t="s">
        <v>659</v>
      </c>
      <c r="R10" s="602"/>
      <c r="S10" s="602"/>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615</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616</v>
      </c>
      <c r="O12" s="603"/>
      <c r="P12" s="360"/>
      <c r="R12" s="19"/>
      <c r="S12" s="605"/>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617</v>
      </c>
      <c r="O13" s="604"/>
      <c r="P13" s="362"/>
      <c r="R13" s="19"/>
      <c r="S13" s="602"/>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519</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516</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482</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64" t="s">
        <v>619</v>
      </c>
      <c r="D22" s="417" t="s">
        <v>620</v>
      </c>
      <c r="E22" s="417" t="s">
        <v>9</v>
      </c>
      <c r="F22" s="417" t="s">
        <v>42</v>
      </c>
      <c r="G22" s="418"/>
      <c r="N22" s="320" t="str">
        <f>+C22</f>
        <v>MIX-OIL-REF1</v>
      </c>
      <c r="O22" s="22" t="str">
        <f>+C10</f>
        <v>HOIL</v>
      </c>
      <c r="P22" s="320" t="s">
        <v>621</v>
      </c>
      <c r="Q22" s="321">
        <f>+O11</f>
        <v>0.7</v>
      </c>
      <c r="R22" s="322">
        <v>1</v>
      </c>
      <c r="T22" s="323"/>
      <c r="U22" s="342"/>
      <c r="V22" s="342"/>
    </row>
    <row r="23" spans="1:22" x14ac:dyDescent="0.25">
      <c r="A23" s="417"/>
      <c r="B23" s="417"/>
      <c r="C23" s="465" t="s">
        <v>629</v>
      </c>
      <c r="D23" s="418" t="s">
        <v>688</v>
      </c>
      <c r="E23" s="417" t="s">
        <v>9</v>
      </c>
      <c r="F23" s="417" t="s">
        <v>42</v>
      </c>
      <c r="G23" s="418"/>
      <c r="I23" s="341"/>
      <c r="N23" s="320"/>
      <c r="O23" s="320" t="str">
        <f>+C9</f>
        <v>MOIL</v>
      </c>
      <c r="P23" s="320"/>
      <c r="Q23" s="321"/>
      <c r="R23" s="320"/>
      <c r="T23" s="323"/>
      <c r="U23" s="72"/>
      <c r="V23" s="72"/>
    </row>
    <row r="24" spans="1:22" x14ac:dyDescent="0.25">
      <c r="A24" s="417"/>
      <c r="B24" s="417"/>
      <c r="C24" s="466" t="s">
        <v>692</v>
      </c>
      <c r="D24" s="418" t="s">
        <v>693</v>
      </c>
      <c r="E24" s="417" t="s">
        <v>9</v>
      </c>
      <c r="F24" s="417" t="s">
        <v>42</v>
      </c>
      <c r="G24" s="418"/>
      <c r="N24" s="22"/>
      <c r="O24" s="320" t="str">
        <f>+C8</f>
        <v>LOIL</v>
      </c>
      <c r="P24" s="22"/>
      <c r="Q24" s="22"/>
      <c r="R24" s="22"/>
      <c r="T24" s="323"/>
      <c r="U24" s="343"/>
      <c r="V24" s="343"/>
    </row>
    <row r="25" spans="1:22" x14ac:dyDescent="0.25">
      <c r="A25" s="417"/>
      <c r="B25" s="417"/>
      <c r="C25" s="464" t="s">
        <v>694</v>
      </c>
      <c r="D25" s="418" t="s">
        <v>695</v>
      </c>
      <c r="E25" s="1" t="s">
        <v>9</v>
      </c>
      <c r="F25" s="1" t="s">
        <v>42</v>
      </c>
      <c r="G25" s="418"/>
      <c r="T25" s="323"/>
      <c r="U25" s="72"/>
      <c r="V25" s="72"/>
    </row>
    <row r="26" spans="1:22" x14ac:dyDescent="0.25">
      <c r="A26" s="418"/>
      <c r="B26" s="418"/>
      <c r="C26" s="71" t="s">
        <v>783</v>
      </c>
      <c r="D26" t="s">
        <v>696</v>
      </c>
      <c r="E26" s="1" t="s">
        <v>9</v>
      </c>
      <c r="F26" s="1" t="s">
        <v>42</v>
      </c>
      <c r="G26" s="418"/>
    </row>
    <row r="27" spans="1:22" x14ac:dyDescent="0.25">
      <c r="A27" s="418"/>
      <c r="B27" s="418"/>
      <c r="C27" s="71" t="s">
        <v>746</v>
      </c>
      <c r="D27" t="s">
        <v>763</v>
      </c>
      <c r="E27" t="s">
        <v>9</v>
      </c>
      <c r="F27" s="463" t="s">
        <v>42</v>
      </c>
      <c r="G27" s="418"/>
    </row>
    <row r="28" spans="1:22" x14ac:dyDescent="0.25">
      <c r="A28" s="418"/>
      <c r="B28" s="418"/>
      <c r="C28" s="467" t="s">
        <v>762</v>
      </c>
      <c r="D28" s="418" t="s">
        <v>764</v>
      </c>
      <c r="E28" s="418" t="s">
        <v>9</v>
      </c>
      <c r="F28" s="463" t="s">
        <v>42</v>
      </c>
      <c r="G28" s="418"/>
      <c r="L28" s="566" t="s">
        <v>668</v>
      </c>
      <c r="M28" s="601"/>
      <c r="N28" s="601"/>
      <c r="O28" s="601"/>
      <c r="P28" s="601"/>
      <c r="Q28" s="601"/>
      <c r="R28" s="601"/>
      <c r="S28" s="601"/>
      <c r="T28" s="601"/>
      <c r="U28" s="567"/>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630</v>
      </c>
      <c r="O31" s="356" t="s">
        <v>250</v>
      </c>
      <c r="P31" s="356" t="s">
        <v>660</v>
      </c>
      <c r="R31" s="20" t="s">
        <v>715</v>
      </c>
      <c r="S31" s="20" t="s">
        <v>661</v>
      </c>
      <c r="U31" s="297"/>
    </row>
    <row r="32" spans="1:22" x14ac:dyDescent="0.25">
      <c r="A32" s="418"/>
      <c r="B32" s="418"/>
      <c r="F32" s="418"/>
      <c r="G32" s="418"/>
      <c r="L32" s="148"/>
      <c r="N32" s="341" t="s">
        <v>631</v>
      </c>
      <c r="O32">
        <v>165</v>
      </c>
      <c r="P32" s="371">
        <f>+O32*365*E8/1000</f>
        <v>366.60006424428417</v>
      </c>
      <c r="Q32" s="371" t="s">
        <v>9</v>
      </c>
      <c r="U32" s="297"/>
    </row>
    <row r="33" spans="1:21" x14ac:dyDescent="0.25">
      <c r="A33" s="418"/>
      <c r="B33" s="418"/>
      <c r="C33" s="418"/>
      <c r="D33" s="418"/>
      <c r="E33" s="418"/>
      <c r="F33" s="418"/>
      <c r="G33" s="418"/>
      <c r="L33" s="148"/>
      <c r="N33" s="341" t="s">
        <v>706</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632</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621</v>
      </c>
      <c r="D36" s="417" t="s">
        <v>622</v>
      </c>
      <c r="E36" s="417" t="s">
        <v>9</v>
      </c>
      <c r="F36" s="418"/>
      <c r="G36" s="418"/>
      <c r="L36" s="148"/>
      <c r="N36" s="440" t="s">
        <v>713</v>
      </c>
      <c r="O36" s="441"/>
      <c r="P36" s="441">
        <f>+O135</f>
        <v>1.8895118399999999</v>
      </c>
      <c r="Q36" s="438" t="s">
        <v>9</v>
      </c>
      <c r="R36" s="72">
        <f>+O135/P85</f>
        <v>5.4866761516362177E-3</v>
      </c>
      <c r="S36" t="s">
        <v>714</v>
      </c>
      <c r="U36" s="297"/>
    </row>
    <row r="37" spans="1:21" x14ac:dyDescent="0.25">
      <c r="A37" s="417"/>
      <c r="B37" s="417"/>
      <c r="C37" t="s">
        <v>634</v>
      </c>
      <c r="D37" t="s">
        <v>689</v>
      </c>
      <c r="E37" t="s">
        <v>9</v>
      </c>
      <c r="F37" s="418"/>
      <c r="G37" s="418"/>
      <c r="L37" s="151"/>
      <c r="M37" s="152"/>
      <c r="N37" s="152"/>
      <c r="O37" s="152"/>
      <c r="P37" s="152"/>
      <c r="Q37" s="152"/>
      <c r="R37" s="152"/>
      <c r="S37" s="152"/>
      <c r="T37" s="152"/>
      <c r="U37" s="302"/>
    </row>
    <row r="38" spans="1:21" x14ac:dyDescent="0.25">
      <c r="A38" s="417"/>
      <c r="B38" s="418"/>
      <c r="C38" t="s">
        <v>690</v>
      </c>
      <c r="D38" t="s">
        <v>691</v>
      </c>
      <c r="E38" t="s">
        <v>9</v>
      </c>
      <c r="F38" s="418"/>
      <c r="G38" s="418"/>
    </row>
    <row r="39" spans="1:21" x14ac:dyDescent="0.25">
      <c r="A39" s="417"/>
      <c r="B39" s="418"/>
      <c r="C39" s="71" t="s">
        <v>710</v>
      </c>
      <c r="D39" t="s">
        <v>711</v>
      </c>
      <c r="E39" t="s">
        <v>9</v>
      </c>
      <c r="F39" s="418"/>
      <c r="G39" s="418"/>
      <c r="N39" s="344" t="s">
        <v>633</v>
      </c>
      <c r="O39" s="345"/>
      <c r="P39" s="346"/>
    </row>
    <row r="40" spans="1:21" x14ac:dyDescent="0.25">
      <c r="C40" s="71" t="s">
        <v>760</v>
      </c>
      <c r="D40" s="71" t="s">
        <v>748</v>
      </c>
      <c r="E40" s="463" t="s">
        <v>9</v>
      </c>
      <c r="G40" s="418"/>
      <c r="N40" s="374" t="s">
        <v>11</v>
      </c>
      <c r="O40" s="340" t="s">
        <v>12</v>
      </c>
      <c r="P40" s="375" t="s">
        <v>175</v>
      </c>
    </row>
    <row r="41" spans="1:21" x14ac:dyDescent="0.25">
      <c r="A41" s="417"/>
      <c r="B41" s="417"/>
      <c r="C41" s="71" t="s">
        <v>761</v>
      </c>
      <c r="D41" s="71" t="s">
        <v>749</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566" t="s">
        <v>667</v>
      </c>
      <c r="M48" s="601"/>
      <c r="N48" s="601"/>
      <c r="O48" s="601"/>
      <c r="P48" s="601"/>
      <c r="Q48" s="601"/>
      <c r="R48" s="601"/>
      <c r="S48" s="601"/>
      <c r="T48" s="601"/>
      <c r="U48" s="567"/>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663</v>
      </c>
      <c r="N50" s="356" t="s">
        <v>647</v>
      </c>
      <c r="O50" s="356" t="s">
        <v>642</v>
      </c>
      <c r="U50" s="297"/>
    </row>
    <row r="51" spans="2:21" x14ac:dyDescent="0.25">
      <c r="B51" s="1"/>
      <c r="C51" s="1"/>
      <c r="D51" s="1"/>
      <c r="E51" s="1"/>
      <c r="F51" s="1"/>
      <c r="G51" s="1"/>
      <c r="H51" s="1"/>
      <c r="I51" s="1"/>
      <c r="L51" s="148"/>
      <c r="M51" s="19" t="s">
        <v>607</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637</v>
      </c>
      <c r="N54" s="356" t="s">
        <v>647</v>
      </c>
      <c r="O54" s="356" t="s">
        <v>642</v>
      </c>
      <c r="P54" s="356" t="s">
        <v>664</v>
      </c>
      <c r="Q54" s="356" t="s">
        <v>665</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638</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649</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648</v>
      </c>
      <c r="N61" s="19">
        <v>33.799999999999997</v>
      </c>
      <c r="O61" s="364">
        <v>0.81</v>
      </c>
      <c r="P61" s="365">
        <f t="shared" si="0"/>
        <v>3.8117647058823534E-2</v>
      </c>
      <c r="Q61" s="366" t="s">
        <v>666</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662</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569</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576</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640</v>
      </c>
      <c r="O70" s="339"/>
      <c r="P70" s="2"/>
    </row>
    <row r="71" spans="2:21" x14ac:dyDescent="0.25">
      <c r="B71" s="1"/>
      <c r="C71" s="1"/>
      <c r="D71" s="1"/>
      <c r="E71" s="1"/>
      <c r="F71" s="1"/>
      <c r="G71" s="1"/>
      <c r="H71" s="1"/>
      <c r="I71" s="1"/>
      <c r="N71" s="317" t="s">
        <v>11</v>
      </c>
      <c r="O71" s="327" t="s">
        <v>13</v>
      </c>
      <c r="P71" s="376" t="s">
        <v>553</v>
      </c>
      <c r="R71" s="448" t="s">
        <v>726</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742</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566" t="s">
        <v>669</v>
      </c>
      <c r="M81" s="601"/>
      <c r="N81" s="601"/>
      <c r="O81" s="601"/>
      <c r="P81" s="601"/>
      <c r="Q81" s="601"/>
      <c r="R81" s="601"/>
      <c r="S81" s="601"/>
      <c r="T81" s="601"/>
      <c r="U81" s="567"/>
    </row>
    <row r="82" spans="1:21" x14ac:dyDescent="0.25">
      <c r="B82" s="1"/>
      <c r="C82" s="1"/>
      <c r="D82" s="1"/>
      <c r="E82" s="1"/>
      <c r="F82" s="1"/>
      <c r="G82" s="1"/>
      <c r="H82" s="1"/>
      <c r="I82" s="1"/>
      <c r="L82" s="148"/>
      <c r="U82" s="297"/>
    </row>
    <row r="83" spans="1:21" x14ac:dyDescent="0.25">
      <c r="A83" t="s">
        <v>644</v>
      </c>
      <c r="B83" s="1"/>
      <c r="C83" s="1"/>
      <c r="D83" s="1"/>
      <c r="E83" s="1"/>
      <c r="F83" s="1"/>
      <c r="G83" s="1"/>
      <c r="H83" s="1"/>
      <c r="I83" s="1"/>
      <c r="L83" s="148"/>
      <c r="N83" s="152"/>
      <c r="O83" s="356" t="s">
        <v>250</v>
      </c>
      <c r="P83" s="356" t="s">
        <v>660</v>
      </c>
      <c r="T83" s="378"/>
      <c r="U83" s="297"/>
    </row>
    <row r="84" spans="1:21" x14ac:dyDescent="0.25">
      <c r="A84" t="s">
        <v>643</v>
      </c>
      <c r="B84" s="1"/>
      <c r="C84" s="1"/>
      <c r="D84" s="1"/>
      <c r="E84" s="1"/>
      <c r="F84" s="1"/>
      <c r="G84" s="1"/>
      <c r="H84" s="1"/>
      <c r="I84" s="1"/>
      <c r="L84" s="148"/>
      <c r="N84" s="323" t="s">
        <v>670</v>
      </c>
      <c r="O84">
        <v>165</v>
      </c>
      <c r="P84" s="364">
        <f>+O84*365*E10/1000</f>
        <v>366.60006424428417</v>
      </c>
      <c r="S84" s="122"/>
      <c r="T84" s="122"/>
      <c r="U84" s="297"/>
    </row>
    <row r="85" spans="1:21" x14ac:dyDescent="0.25">
      <c r="A85" t="s">
        <v>645</v>
      </c>
      <c r="B85" s="1"/>
      <c r="C85" s="1"/>
      <c r="D85" s="1"/>
      <c r="E85" s="1"/>
      <c r="F85" s="1"/>
      <c r="G85" s="1"/>
      <c r="H85" s="1"/>
      <c r="I85" s="1"/>
      <c r="L85" s="148"/>
      <c r="N85" s="323" t="s">
        <v>623</v>
      </c>
      <c r="O85">
        <v>155</v>
      </c>
      <c r="P85" s="367">
        <f>+O85*365*E10/1000</f>
        <v>344.3818785325094</v>
      </c>
      <c r="U85" s="297"/>
    </row>
    <row r="86" spans="1:21" x14ac:dyDescent="0.25">
      <c r="B86" s="1"/>
      <c r="C86" s="1"/>
      <c r="D86" s="1"/>
      <c r="E86" s="1"/>
      <c r="F86" s="1"/>
      <c r="G86" s="1"/>
      <c r="H86" s="1"/>
      <c r="I86" s="1"/>
      <c r="L86" s="148"/>
      <c r="N86" s="324" t="s">
        <v>624</v>
      </c>
      <c r="O86" s="379">
        <f>+O85/O84</f>
        <v>0.93939393939393945</v>
      </c>
      <c r="U86" s="297"/>
    </row>
    <row r="87" spans="1:21" x14ac:dyDescent="0.25">
      <c r="B87" s="1"/>
      <c r="C87" s="1"/>
      <c r="D87" s="1"/>
      <c r="E87" s="1"/>
      <c r="F87" s="1"/>
      <c r="G87" s="1"/>
      <c r="H87" s="1"/>
      <c r="I87" s="1"/>
      <c r="L87" s="148"/>
      <c r="N87" s="325" t="s">
        <v>625</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672</v>
      </c>
      <c r="O89" s="384">
        <f>+N65/N51</f>
        <v>0.97945454545454558</v>
      </c>
      <c r="P89" s="384">
        <f>+O65/O51</f>
        <v>1.0171399974978106</v>
      </c>
      <c r="U89" s="297"/>
    </row>
    <row r="90" spans="1:21" x14ac:dyDescent="0.25">
      <c r="B90" s="1"/>
      <c r="C90" s="1"/>
      <c r="D90" s="1"/>
      <c r="E90" s="1"/>
      <c r="F90" s="1"/>
      <c r="G90" s="1"/>
      <c r="H90" s="1"/>
      <c r="I90" s="1"/>
      <c r="L90" s="148"/>
      <c r="N90" s="323" t="s">
        <v>671</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673</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626</v>
      </c>
      <c r="Q96" s="330" t="s">
        <v>553</v>
      </c>
      <c r="R96" s="331" t="s">
        <v>175</v>
      </c>
    </row>
    <row r="97" spans="2:25" x14ac:dyDescent="0.25">
      <c r="B97" s="1"/>
      <c r="C97" s="1"/>
      <c r="D97" s="415"/>
      <c r="E97" s="1"/>
      <c r="F97" s="415"/>
      <c r="G97" s="1"/>
      <c r="H97" s="1"/>
      <c r="I97" s="1"/>
      <c r="N97" s="426" t="str">
        <f>+N72</f>
        <v>REF1</v>
      </c>
      <c r="O97" s="328" t="s">
        <v>627</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628</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66" t="s">
        <v>674</v>
      </c>
      <c r="M104" s="601"/>
      <c r="N104" s="601"/>
      <c r="O104" s="601"/>
      <c r="P104" s="601"/>
      <c r="Q104" s="601"/>
      <c r="R104" s="601"/>
      <c r="S104" s="601"/>
      <c r="T104" s="601"/>
      <c r="U104" s="567"/>
    </row>
    <row r="105" spans="2:25" x14ac:dyDescent="0.25">
      <c r="B105" s="1"/>
      <c r="C105" s="1"/>
      <c r="D105" s="1"/>
      <c r="E105" s="1"/>
      <c r="F105" s="1"/>
      <c r="G105" s="1"/>
      <c r="H105" s="1"/>
      <c r="I105" s="1"/>
      <c r="L105" s="148"/>
      <c r="U105" s="297"/>
      <c r="X105">
        <v>4.5</v>
      </c>
      <c r="Y105" t="s">
        <v>654</v>
      </c>
    </row>
    <row r="106" spans="2:25" x14ac:dyDescent="0.25">
      <c r="B106" s="1"/>
      <c r="C106" s="1"/>
      <c r="D106" s="1"/>
      <c r="E106" s="1"/>
      <c r="F106" s="1"/>
      <c r="G106" s="1"/>
      <c r="H106" s="1"/>
      <c r="I106" s="1"/>
      <c r="L106" s="148"/>
      <c r="U106" s="297"/>
      <c r="X106">
        <v>1</v>
      </c>
      <c r="Y106" t="s">
        <v>651</v>
      </c>
    </row>
    <row r="107" spans="2:25" x14ac:dyDescent="0.25">
      <c r="B107" s="1"/>
      <c r="C107" s="1"/>
      <c r="D107" s="1"/>
      <c r="E107" s="1"/>
      <c r="F107" s="1"/>
      <c r="G107" s="1"/>
      <c r="H107" s="1"/>
      <c r="I107" s="1"/>
      <c r="L107" s="148"/>
      <c r="N107" s="387"/>
      <c r="O107" s="392" t="s">
        <v>250</v>
      </c>
      <c r="P107" s="392" t="s">
        <v>660</v>
      </c>
      <c r="U107" s="297"/>
    </row>
    <row r="108" spans="2:25" x14ac:dyDescent="0.25">
      <c r="B108" s="1"/>
      <c r="C108" s="1"/>
      <c r="D108" s="1"/>
      <c r="E108" s="1"/>
      <c r="F108" s="1"/>
      <c r="G108" s="1"/>
      <c r="H108" s="1"/>
      <c r="I108" s="1"/>
      <c r="L108" s="148"/>
      <c r="N108" s="390" t="s">
        <v>676</v>
      </c>
      <c r="O108" s="389">
        <f>394.77/299.7</f>
        <v>1.3172172172172172</v>
      </c>
      <c r="P108" s="388">
        <f>+O108</f>
        <v>1.3172172172172172</v>
      </c>
      <c r="Q108" t="s">
        <v>677</v>
      </c>
      <c r="U108" s="297"/>
      <c r="X108">
        <f>+O34*1000000</f>
        <v>74825000</v>
      </c>
      <c r="Y108" t="s">
        <v>651</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679</v>
      </c>
      <c r="U110" s="297"/>
      <c r="X110">
        <f>+X108*X105</f>
        <v>336712500</v>
      </c>
      <c r="Y110" t="s">
        <v>655</v>
      </c>
    </row>
    <row r="111" spans="2:25" x14ac:dyDescent="0.25">
      <c r="B111" s="1"/>
      <c r="C111" s="1"/>
      <c r="D111" s="1"/>
      <c r="E111" s="1"/>
      <c r="F111" s="1"/>
      <c r="G111" s="1"/>
      <c r="H111" s="1"/>
      <c r="I111" s="1"/>
      <c r="L111" s="148"/>
      <c r="N111" s="323" t="s">
        <v>678</v>
      </c>
      <c r="O111" s="391">
        <f>79/(9*1000*24*365)</f>
        <v>1.002029426686961E-6</v>
      </c>
      <c r="P111" s="122">
        <f>+(O111/119.96)*1000000000</f>
        <v>8.3530295655798685</v>
      </c>
      <c r="Q111" t="s">
        <v>131</v>
      </c>
      <c r="U111" s="297"/>
      <c r="X111">
        <f>+X110*35.3147</f>
        <v>11890900923.75</v>
      </c>
      <c r="Y111" t="s">
        <v>656</v>
      </c>
    </row>
    <row r="112" spans="2:25" x14ac:dyDescent="0.25">
      <c r="B112" s="1"/>
      <c r="C112" s="1"/>
      <c r="D112" s="1"/>
      <c r="E112" s="1"/>
      <c r="F112" s="1"/>
      <c r="G112" s="1"/>
      <c r="H112" s="1"/>
      <c r="I112" s="1"/>
      <c r="L112" s="148"/>
      <c r="U112" s="297"/>
      <c r="X112">
        <f>+X111/(1000000)</f>
        <v>11890.900923749999</v>
      </c>
      <c r="Y112" t="s">
        <v>657</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626</v>
      </c>
      <c r="Q116" s="340" t="s">
        <v>553</v>
      </c>
      <c r="R116" s="399" t="s">
        <v>175</v>
      </c>
    </row>
    <row r="117" spans="2:24" x14ac:dyDescent="0.25">
      <c r="B117" s="1"/>
      <c r="C117" s="1"/>
      <c r="D117" s="1"/>
      <c r="E117" s="1"/>
      <c r="F117" s="1"/>
      <c r="G117" s="1"/>
      <c r="H117" s="1"/>
      <c r="I117" s="1"/>
      <c r="N117" s="400" t="s">
        <v>692</v>
      </c>
      <c r="O117" s="400" t="s">
        <v>627</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66" t="s">
        <v>680</v>
      </c>
      <c r="M128" s="601"/>
      <c r="N128" s="601"/>
      <c r="O128" s="601"/>
      <c r="P128" s="601"/>
      <c r="Q128" s="601"/>
      <c r="R128" s="601"/>
      <c r="S128" s="601"/>
      <c r="T128" s="601"/>
      <c r="U128" s="567"/>
      <c r="W128" t="s">
        <v>709</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681</v>
      </c>
    </row>
    <row r="130" spans="2:25" x14ac:dyDescent="0.25">
      <c r="B130" s="1"/>
      <c r="C130" s="1"/>
      <c r="D130" s="1" t="s">
        <v>698</v>
      </c>
      <c r="E130" s="1">
        <v>1561</v>
      </c>
      <c r="F130" s="1" t="s">
        <v>560</v>
      </c>
      <c r="G130" s="1"/>
      <c r="H130" s="1"/>
      <c r="I130" s="1"/>
      <c r="L130" s="148"/>
      <c r="M130" s="351" t="s">
        <v>681</v>
      </c>
      <c r="N130" s="356" t="s">
        <v>683</v>
      </c>
      <c r="O130" s="356" t="s">
        <v>660</v>
      </c>
      <c r="P130" s="152"/>
      <c r="Q130" s="152" t="s">
        <v>684</v>
      </c>
      <c r="R130" s="363"/>
      <c r="S130" s="20"/>
      <c r="T130" s="20"/>
      <c r="U130" s="297"/>
      <c r="W130" t="s">
        <v>263</v>
      </c>
      <c r="X130" s="122">
        <f>+Q131</f>
        <v>7.9730836007290984</v>
      </c>
    </row>
    <row r="131" spans="2:25" x14ac:dyDescent="0.25">
      <c r="B131" s="1"/>
      <c r="C131" s="1"/>
      <c r="D131" s="1" t="s">
        <v>699</v>
      </c>
      <c r="E131" s="1">
        <v>874.27499999999998</v>
      </c>
      <c r="F131" s="1" t="s">
        <v>253</v>
      </c>
      <c r="G131" s="434">
        <f>+E131/E130</f>
        <v>0.56007367072389491</v>
      </c>
      <c r="H131" s="1"/>
      <c r="I131" s="1"/>
      <c r="L131" s="148"/>
      <c r="M131" s="323" t="s">
        <v>682</v>
      </c>
      <c r="N131" s="19">
        <v>58</v>
      </c>
      <c r="O131" s="261">
        <f>+N131*365*E7/1000</f>
        <v>21.37232897677039</v>
      </c>
      <c r="P131" t="s">
        <v>9</v>
      </c>
      <c r="Q131" s="122">
        <f>O131/(85*24*365*0.0036/1000)</f>
        <v>7.9730836007290984</v>
      </c>
      <c r="R131" s="71" t="s">
        <v>686</v>
      </c>
      <c r="U131" s="297"/>
      <c r="W131" t="s">
        <v>708</v>
      </c>
      <c r="X131" s="57">
        <f>+Q132</f>
        <v>3.9306260817079615</v>
      </c>
    </row>
    <row r="132" spans="2:25" x14ac:dyDescent="0.25">
      <c r="B132" s="1"/>
      <c r="C132" s="1"/>
      <c r="D132" s="1" t="s">
        <v>700</v>
      </c>
      <c r="E132" s="1">
        <f>+E130-E131</f>
        <v>686.72500000000002</v>
      </c>
      <c r="F132" s="1" t="s">
        <v>253</v>
      </c>
      <c r="G132" s="434">
        <f>+E132/E130</f>
        <v>0.43992632927610509</v>
      </c>
      <c r="H132" s="1"/>
      <c r="I132" s="1"/>
      <c r="L132" s="148"/>
      <c r="M132" s="323" t="s">
        <v>515</v>
      </c>
      <c r="N132" s="436">
        <v>33.799999999999997</v>
      </c>
      <c r="O132" s="261">
        <f>0.81*365*0.041868</f>
        <v>12.378274200000002</v>
      </c>
      <c r="P132" t="s">
        <v>9</v>
      </c>
      <c r="Q132" s="122">
        <f>+O132/(O33*0.0036)</f>
        <v>3.9306260817079615</v>
      </c>
      <c r="R132" t="s">
        <v>685</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637</v>
      </c>
    </row>
    <row r="135" spans="2:25" x14ac:dyDescent="0.25">
      <c r="B135" s="1"/>
      <c r="C135" s="1"/>
      <c r="D135" s="1"/>
      <c r="E135" s="1"/>
      <c r="F135" s="1"/>
      <c r="G135" s="1"/>
      <c r="H135" s="1"/>
      <c r="I135" s="1"/>
      <c r="L135" s="148"/>
      <c r="M135" s="325" t="s">
        <v>705</v>
      </c>
      <c r="N135" s="438"/>
      <c r="O135" s="444">
        <f>+Q135*P33</f>
        <v>1.8895118399999999</v>
      </c>
      <c r="P135" s="438" t="s">
        <v>9</v>
      </c>
      <c r="Q135" s="434">
        <f>+(O138-O139)/O139</f>
        <v>0.6</v>
      </c>
      <c r="R135" t="s">
        <v>707</v>
      </c>
      <c r="U135" s="297"/>
      <c r="W135" t="s">
        <v>72</v>
      </c>
      <c r="X135">
        <v>1</v>
      </c>
    </row>
    <row r="136" spans="2:25" x14ac:dyDescent="0.25">
      <c r="B136" s="1"/>
      <c r="C136" s="1"/>
      <c r="D136" s="1"/>
      <c r="E136" s="1"/>
      <c r="F136" s="1"/>
      <c r="G136" s="1"/>
      <c r="H136" s="1"/>
      <c r="I136" s="1"/>
      <c r="L136" s="148"/>
      <c r="N136" s="1"/>
      <c r="O136" s="443"/>
      <c r="P136" s="1"/>
      <c r="Q136" s="1"/>
      <c r="U136" s="297"/>
      <c r="W136" t="s">
        <v>697</v>
      </c>
      <c r="X136">
        <f>+X135*Q135</f>
        <v>0.6</v>
      </c>
    </row>
    <row r="137" spans="2:25" x14ac:dyDescent="0.25">
      <c r="B137" s="1"/>
      <c r="C137" s="1"/>
      <c r="D137" s="1"/>
      <c r="E137" s="1"/>
      <c r="F137" s="1"/>
      <c r="G137" s="1"/>
      <c r="H137" s="1"/>
      <c r="I137" s="1"/>
      <c r="L137" s="148"/>
      <c r="N137" s="323" t="s">
        <v>687</v>
      </c>
      <c r="O137">
        <v>193</v>
      </c>
      <c r="P137" t="s">
        <v>675</v>
      </c>
      <c r="U137" s="297"/>
      <c r="X137">
        <f>+X136+X135</f>
        <v>1.6</v>
      </c>
    </row>
    <row r="138" spans="2:25" x14ac:dyDescent="0.25">
      <c r="B138" s="1"/>
      <c r="C138" s="1"/>
      <c r="D138" s="412"/>
      <c r="E138" s="1"/>
      <c r="F138" s="1"/>
      <c r="G138" s="1"/>
      <c r="H138" s="1"/>
      <c r="I138" s="1"/>
      <c r="L138" s="148"/>
      <c r="N138" s="323" t="s">
        <v>721</v>
      </c>
      <c r="O138" s="299">
        <v>0.6</v>
      </c>
      <c r="U138" s="297"/>
    </row>
    <row r="139" spans="2:25" x14ac:dyDescent="0.25">
      <c r="B139" s="1"/>
      <c r="C139" s="1"/>
      <c r="D139" s="412"/>
      <c r="E139" s="1"/>
      <c r="F139" s="1"/>
      <c r="G139" s="1"/>
      <c r="H139" s="1"/>
      <c r="I139" s="1"/>
      <c r="L139" s="148"/>
      <c r="N139" s="323" t="s">
        <v>722</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718</v>
      </c>
      <c r="X141">
        <v>0.375</v>
      </c>
      <c r="Y141" s="63">
        <f>+X141/X143</f>
        <v>0.625</v>
      </c>
    </row>
    <row r="142" spans="2:25" x14ac:dyDescent="0.25">
      <c r="B142" s="1"/>
      <c r="C142" s="1"/>
      <c r="D142" s="1"/>
      <c r="E142" s="1"/>
      <c r="F142" s="1"/>
      <c r="G142" s="1"/>
      <c r="H142" s="1"/>
      <c r="I142" s="1"/>
      <c r="W142" t="s">
        <v>720</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719</v>
      </c>
      <c r="X143">
        <v>0.6</v>
      </c>
    </row>
    <row r="144" spans="2:25" x14ac:dyDescent="0.25">
      <c r="B144" s="1"/>
      <c r="C144" s="1"/>
      <c r="D144" s="1"/>
      <c r="E144" s="1"/>
      <c r="F144" s="1"/>
      <c r="G144" s="1"/>
      <c r="H144" s="1"/>
      <c r="I144" s="1"/>
      <c r="N144" s="327" t="s">
        <v>11</v>
      </c>
      <c r="O144" s="327" t="s">
        <v>1</v>
      </c>
      <c r="P144" s="327" t="s">
        <v>626</v>
      </c>
      <c r="Q144" s="327" t="s">
        <v>553</v>
      </c>
      <c r="R144" s="393" t="s">
        <v>175</v>
      </c>
      <c r="S144" s="1"/>
    </row>
    <row r="145" spans="2:19" x14ac:dyDescent="0.25">
      <c r="B145" s="1"/>
      <c r="C145" s="1"/>
      <c r="D145" s="1"/>
      <c r="E145" s="1"/>
      <c r="F145" s="1"/>
      <c r="G145" s="1"/>
      <c r="H145" s="1"/>
      <c r="I145" s="1"/>
      <c r="N145" s="394" t="str">
        <f>+C25</f>
        <v>AUTO-REF1</v>
      </c>
      <c r="O145" s="394" t="s">
        <v>627</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633</v>
      </c>
      <c r="O149" s="339"/>
      <c r="P149" s="2"/>
      <c r="Q149" s="1"/>
      <c r="R149" s="1"/>
      <c r="S149" s="1"/>
    </row>
    <row r="150" spans="2:19" x14ac:dyDescent="0.25">
      <c r="B150" s="1"/>
      <c r="C150" s="1"/>
      <c r="D150" s="1"/>
      <c r="E150" s="1"/>
      <c r="F150" s="1"/>
      <c r="G150" s="1"/>
      <c r="H150" s="1"/>
      <c r="I150" s="1"/>
      <c r="N150" s="327" t="s">
        <v>11</v>
      </c>
      <c r="O150" s="327" t="s">
        <v>12</v>
      </c>
      <c r="P150" s="327" t="s">
        <v>553</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640</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66" t="s">
        <v>712</v>
      </c>
      <c r="M162" s="601"/>
      <c r="N162" s="601"/>
      <c r="O162" s="601"/>
      <c r="P162" s="601"/>
      <c r="Q162" s="601"/>
      <c r="R162" s="601"/>
      <c r="S162" s="601"/>
      <c r="T162" s="601"/>
      <c r="U162" s="567"/>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777</v>
      </c>
      <c r="O168" s="2"/>
      <c r="P168" s="2"/>
    </row>
    <row r="169" spans="2:21" x14ac:dyDescent="0.25">
      <c r="B169" s="1"/>
      <c r="C169" s="1"/>
      <c r="D169" s="1"/>
      <c r="E169" s="1"/>
      <c r="F169" s="1"/>
      <c r="G169" s="1"/>
      <c r="H169" s="1"/>
      <c r="I169" s="1"/>
      <c r="N169" s="461" t="s">
        <v>11</v>
      </c>
      <c r="O169" s="461" t="s">
        <v>13</v>
      </c>
      <c r="P169" s="461" t="s">
        <v>778</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652</v>
      </c>
    </row>
    <row r="196" spans="2:16" x14ac:dyDescent="0.25">
      <c r="O196">
        <f>+O195*365</f>
        <v>89425</v>
      </c>
      <c r="P196" t="s">
        <v>653</v>
      </c>
    </row>
    <row r="197" spans="2:16" x14ac:dyDescent="0.25">
      <c r="O197">
        <f>+O196/1000</f>
        <v>89.424999999999997</v>
      </c>
      <c r="P197" t="s">
        <v>646</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F153" zoomScale="115" zoomScaleNormal="115" workbookViewId="0">
      <selection activeCell="N164" sqref="N164:P170"/>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618</v>
      </c>
      <c r="D1">
        <v>119.96</v>
      </c>
      <c r="E1" t="s">
        <v>325</v>
      </c>
    </row>
    <row r="2" spans="3:21" x14ac:dyDescent="0.25">
      <c r="C2" t="s">
        <v>618</v>
      </c>
      <c r="D2">
        <v>142500</v>
      </c>
      <c r="E2" t="s">
        <v>635</v>
      </c>
      <c r="F2">
        <v>1.4250000000000001E-7</v>
      </c>
      <c r="G2" t="s">
        <v>636</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66" t="s">
        <v>613</v>
      </c>
      <c r="M7" s="601"/>
      <c r="N7" s="601"/>
      <c r="O7" s="601"/>
      <c r="P7" s="601"/>
      <c r="Q7" s="601"/>
      <c r="R7" s="601"/>
      <c r="S7" s="601"/>
      <c r="T7" s="601"/>
      <c r="U7" s="567"/>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06" t="s">
        <v>614</v>
      </c>
      <c r="O9" s="607"/>
      <c r="P9" s="608"/>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724</v>
      </c>
      <c r="P10" s="359" t="s">
        <v>659</v>
      </c>
      <c r="R10" s="602"/>
      <c r="S10" s="602"/>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615</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616</v>
      </c>
      <c r="O12" s="603"/>
      <c r="P12" s="360"/>
      <c r="R12" s="19"/>
      <c r="S12" s="605"/>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617</v>
      </c>
      <c r="O13" s="604"/>
      <c r="P13" s="362"/>
      <c r="R13" s="19"/>
      <c r="S13" s="602"/>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519</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516</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482</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727</v>
      </c>
      <c r="D22" s="452" t="s">
        <v>750</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728</v>
      </c>
      <c r="D23" s="453" t="s">
        <v>751</v>
      </c>
      <c r="E23" s="452" t="s">
        <v>9</v>
      </c>
      <c r="F23" s="452" t="s">
        <v>42</v>
      </c>
      <c r="G23" s="418"/>
      <c r="I23" s="341"/>
      <c r="N23" s="320"/>
      <c r="O23" s="320" t="str">
        <f>+C9</f>
        <v>MOIL</v>
      </c>
      <c r="P23" s="320"/>
      <c r="Q23" s="321"/>
      <c r="R23" s="320"/>
      <c r="T23" s="323"/>
      <c r="U23" s="72"/>
      <c r="V23" s="72"/>
    </row>
    <row r="24" spans="1:22" x14ac:dyDescent="0.25">
      <c r="A24" s="417"/>
      <c r="B24" s="417"/>
      <c r="C24" s="400" t="s">
        <v>729</v>
      </c>
      <c r="D24" s="453" t="s">
        <v>752</v>
      </c>
      <c r="E24" s="452" t="s">
        <v>9</v>
      </c>
      <c r="F24" s="452" t="s">
        <v>42</v>
      </c>
      <c r="G24" s="418"/>
      <c r="N24" s="22"/>
      <c r="O24" s="320" t="str">
        <f>+C8</f>
        <v>LOIL</v>
      </c>
      <c r="P24" s="22"/>
      <c r="Q24" s="22"/>
      <c r="R24" s="22"/>
      <c r="T24" s="323"/>
      <c r="U24" s="343"/>
      <c r="V24" s="343"/>
    </row>
    <row r="25" spans="1:22" x14ac:dyDescent="0.25">
      <c r="A25" s="417"/>
      <c r="B25" s="417"/>
      <c r="C25" s="427" t="s">
        <v>730</v>
      </c>
      <c r="D25" s="453" t="s">
        <v>753</v>
      </c>
      <c r="E25" s="16" t="s">
        <v>9</v>
      </c>
      <c r="F25" s="16" t="s">
        <v>42</v>
      </c>
      <c r="G25" s="418"/>
      <c r="T25" s="323"/>
      <c r="U25" s="72"/>
      <c r="V25" s="72"/>
    </row>
    <row r="26" spans="1:22" x14ac:dyDescent="0.25">
      <c r="A26" s="418"/>
      <c r="B26" s="418"/>
      <c r="C26" s="19" t="s">
        <v>731</v>
      </c>
      <c r="D26" s="19" t="s">
        <v>754</v>
      </c>
      <c r="E26" s="16" t="s">
        <v>9</v>
      </c>
      <c r="F26" s="16" t="s">
        <v>42</v>
      </c>
      <c r="G26" s="418"/>
    </row>
    <row r="27" spans="1:22" x14ac:dyDescent="0.25">
      <c r="A27" s="418"/>
      <c r="B27" s="418"/>
      <c r="C27" s="22" t="s">
        <v>759</v>
      </c>
      <c r="D27" s="22" t="s">
        <v>765</v>
      </c>
      <c r="E27" s="22" t="s">
        <v>9</v>
      </c>
      <c r="F27" s="320" t="s">
        <v>42</v>
      </c>
      <c r="G27" s="418"/>
    </row>
    <row r="28" spans="1:22" x14ac:dyDescent="0.25">
      <c r="A28" s="418"/>
      <c r="B28" s="418"/>
      <c r="C28" s="428" t="s">
        <v>747</v>
      </c>
      <c r="D28" s="428" t="s">
        <v>766</v>
      </c>
      <c r="E28" s="428" t="s">
        <v>9</v>
      </c>
      <c r="F28" s="320" t="s">
        <v>42</v>
      </c>
      <c r="G28" s="418"/>
      <c r="L28" s="566" t="s">
        <v>668</v>
      </c>
      <c r="M28" s="601"/>
      <c r="N28" s="601"/>
      <c r="O28" s="601"/>
      <c r="P28" s="601"/>
      <c r="Q28" s="601"/>
      <c r="R28" s="601"/>
      <c r="S28" s="601"/>
      <c r="T28" s="601"/>
      <c r="U28" s="567"/>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630</v>
      </c>
      <c r="O31" s="356" t="s">
        <v>250</v>
      </c>
      <c r="P31" s="356" t="s">
        <v>660</v>
      </c>
      <c r="R31" s="20" t="s">
        <v>715</v>
      </c>
      <c r="S31" s="20" t="s">
        <v>661</v>
      </c>
      <c r="U31" s="297"/>
    </row>
    <row r="32" spans="1:22" x14ac:dyDescent="0.25">
      <c r="A32" s="418"/>
      <c r="B32" s="418"/>
      <c r="C32" s="418"/>
      <c r="D32" s="418"/>
      <c r="E32" s="418"/>
      <c r="F32" s="418"/>
      <c r="G32" s="418"/>
      <c r="L32" s="148"/>
      <c r="N32" s="341" t="s">
        <v>631</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706</v>
      </c>
      <c r="O33" s="75">
        <v>667</v>
      </c>
      <c r="P33" s="371">
        <f>+O33*0.0036</f>
        <v>2.4011999999999998</v>
      </c>
      <c r="Q33" s="372" t="s">
        <v>9</v>
      </c>
      <c r="R33" s="323">
        <f>+ROUND(P33/P32,4)</f>
        <v>4.4000000000000003E-3</v>
      </c>
      <c r="S33" s="71" t="str">
        <f>+ROUND(O33/(365*O32),4)&amp;" Gwh per kbl oil"</f>
        <v>0,0075 Gwh per kbl oil</v>
      </c>
      <c r="U33" s="297"/>
      <c r="W33" t="s">
        <v>738</v>
      </c>
      <c r="X33" t="s">
        <v>739</v>
      </c>
    </row>
    <row r="34" spans="1:26" x14ac:dyDescent="0.25">
      <c r="A34" s="423" t="s">
        <v>20</v>
      </c>
      <c r="B34" s="423"/>
      <c r="C34" s="424"/>
      <c r="D34" s="424"/>
      <c r="E34" s="424"/>
      <c r="F34" s="418"/>
      <c r="G34" s="418"/>
      <c r="L34" s="148"/>
      <c r="N34" s="341" t="s">
        <v>632</v>
      </c>
      <c r="O34">
        <v>5.83</v>
      </c>
      <c r="P34" s="371">
        <f>+O34*0.041868</f>
        <v>0.24409044000000002</v>
      </c>
      <c r="Q34" s="372" t="s">
        <v>9</v>
      </c>
      <c r="R34" s="323">
        <f>+ROUND(P34/P32,4)</f>
        <v>5.0000000000000001E-4</v>
      </c>
      <c r="S34" s="71" t="str">
        <f>+ROUND(O34/(365*O32),4)&amp;" kt H2 per kbl oil"</f>
        <v>0,0001 kt H2 per kbl oil</v>
      </c>
      <c r="U34" s="297"/>
      <c r="W34" t="s">
        <v>1</v>
      </c>
      <c r="X34" t="s">
        <v>740</v>
      </c>
      <c r="Y34">
        <v>2019</v>
      </c>
    </row>
    <row r="35" spans="1:26" x14ac:dyDescent="0.25">
      <c r="A35" s="420" t="s">
        <v>21</v>
      </c>
      <c r="B35" s="421" t="s">
        <v>22</v>
      </c>
      <c r="C35" s="421" t="s">
        <v>2</v>
      </c>
      <c r="D35" s="421" t="s">
        <v>23</v>
      </c>
      <c r="E35" s="422" t="s">
        <v>24</v>
      </c>
      <c r="F35" s="418"/>
      <c r="G35" s="418"/>
      <c r="L35" s="148"/>
      <c r="N35" s="341"/>
      <c r="O35" s="72"/>
      <c r="U35" s="297"/>
      <c r="W35" t="s">
        <v>741</v>
      </c>
      <c r="X35" t="s">
        <v>733</v>
      </c>
      <c r="Y35">
        <v>0.24284476982969799</v>
      </c>
      <c r="Z35" s="450">
        <f>+Y35/$Y$40</f>
        <v>4.9624956990719797E-4</v>
      </c>
    </row>
    <row r="36" spans="1:26" x14ac:dyDescent="0.25">
      <c r="A36" s="425" t="s">
        <v>82</v>
      </c>
      <c r="B36" s="425"/>
      <c r="C36" s="417" t="s">
        <v>732</v>
      </c>
      <c r="D36" s="417" t="s">
        <v>779</v>
      </c>
      <c r="E36" s="417" t="s">
        <v>9</v>
      </c>
      <c r="F36" s="418"/>
      <c r="G36" s="418"/>
      <c r="L36" s="148"/>
      <c r="N36" s="440" t="s">
        <v>713</v>
      </c>
      <c r="O36" s="441"/>
      <c r="P36" s="441">
        <f>+O135</f>
        <v>1.4407199999999998</v>
      </c>
      <c r="Q36" s="438" t="s">
        <v>9</v>
      </c>
      <c r="R36" s="72">
        <f>+O135/P32</f>
        <v>2.6575482987367489E-3</v>
      </c>
      <c r="S36" t="s">
        <v>714</v>
      </c>
      <c r="U36" s="297"/>
      <c r="W36" t="s">
        <v>741</v>
      </c>
      <c r="X36" t="s">
        <v>734</v>
      </c>
      <c r="Y36">
        <v>2.1370339745013398</v>
      </c>
      <c r="Z36" s="450">
        <f t="shared" ref="Z36:Z38" si="0">+Y36/$Y$40</f>
        <v>4.366996215183337E-3</v>
      </c>
    </row>
    <row r="37" spans="1:26" x14ac:dyDescent="0.25">
      <c r="A37" s="417"/>
      <c r="B37" s="417"/>
      <c r="C37" t="s">
        <v>733</v>
      </c>
      <c r="D37" t="s">
        <v>780</v>
      </c>
      <c r="E37" t="s">
        <v>9</v>
      </c>
      <c r="F37" s="418"/>
      <c r="G37" s="418"/>
      <c r="L37" s="151"/>
      <c r="M37" s="152"/>
      <c r="N37" s="152"/>
      <c r="O37" s="152"/>
      <c r="P37" s="152"/>
      <c r="Q37" s="152"/>
      <c r="R37" s="152"/>
      <c r="S37" s="152"/>
      <c r="T37" s="152"/>
      <c r="U37" s="302"/>
      <c r="W37" t="s">
        <v>741</v>
      </c>
      <c r="X37" t="s">
        <v>732</v>
      </c>
      <c r="Y37">
        <v>485.68953965939698</v>
      </c>
      <c r="Z37" s="450">
        <f t="shared" si="0"/>
        <v>0.99249913981439797</v>
      </c>
    </row>
    <row r="38" spans="1:26" x14ac:dyDescent="0.25">
      <c r="A38" s="417"/>
      <c r="B38" s="418"/>
      <c r="C38" t="s">
        <v>734</v>
      </c>
      <c r="D38" t="s">
        <v>781</v>
      </c>
      <c r="E38" t="s">
        <v>9</v>
      </c>
      <c r="F38" s="418"/>
      <c r="G38" s="418"/>
      <c r="W38" t="s">
        <v>741</v>
      </c>
      <c r="X38" t="s">
        <v>735</v>
      </c>
      <c r="Y38">
        <v>1.29074340983606</v>
      </c>
      <c r="Z38" s="450">
        <f t="shared" si="0"/>
        <v>2.6376144005114295E-3</v>
      </c>
    </row>
    <row r="39" spans="1:26" x14ac:dyDescent="0.25">
      <c r="A39" s="417"/>
      <c r="B39" s="418"/>
      <c r="C39" s="71" t="s">
        <v>735</v>
      </c>
      <c r="D39" t="s">
        <v>782</v>
      </c>
      <c r="E39" t="s">
        <v>9</v>
      </c>
      <c r="F39" s="418"/>
      <c r="G39" s="418"/>
      <c r="N39" s="344" t="s">
        <v>633</v>
      </c>
      <c r="O39" s="345"/>
      <c r="P39" s="346"/>
    </row>
    <row r="40" spans="1:26" x14ac:dyDescent="0.25">
      <c r="C40" s="71" t="s">
        <v>757</v>
      </c>
      <c r="D40" s="71" t="s">
        <v>755</v>
      </c>
      <c r="E40" s="463" t="s">
        <v>9</v>
      </c>
      <c r="G40" s="418"/>
      <c r="N40" s="374" t="s">
        <v>11</v>
      </c>
      <c r="O40" s="340" t="s">
        <v>12</v>
      </c>
      <c r="P40" s="375" t="s">
        <v>175</v>
      </c>
      <c r="Y40">
        <f>+SUM(Y35:Y38)</f>
        <v>489.3601618135641</v>
      </c>
    </row>
    <row r="41" spans="1:26" x14ac:dyDescent="0.25">
      <c r="A41" s="417"/>
      <c r="B41" s="417"/>
      <c r="C41" s="71" t="s">
        <v>758</v>
      </c>
      <c r="D41" s="71" t="s">
        <v>756</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566" t="s">
        <v>667</v>
      </c>
      <c r="M48" s="601"/>
      <c r="N48" s="601"/>
      <c r="O48" s="601"/>
      <c r="P48" s="601"/>
      <c r="Q48" s="601"/>
      <c r="R48" s="601"/>
      <c r="S48" s="601"/>
      <c r="T48" s="601"/>
      <c r="U48" s="567"/>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663</v>
      </c>
      <c r="N50" s="356" t="s">
        <v>647</v>
      </c>
      <c r="O50" s="356" t="s">
        <v>642</v>
      </c>
      <c r="U50" s="297"/>
    </row>
    <row r="51" spans="2:21" x14ac:dyDescent="0.25">
      <c r="B51" s="1"/>
      <c r="C51" s="1"/>
      <c r="D51" s="1"/>
      <c r="E51" s="1"/>
      <c r="F51" s="1"/>
      <c r="G51" s="1"/>
      <c r="H51" s="1"/>
      <c r="I51" s="1"/>
      <c r="L51" s="148"/>
      <c r="M51" s="19" t="s">
        <v>607</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637</v>
      </c>
      <c r="N54" s="356" t="s">
        <v>647</v>
      </c>
      <c r="O54" s="356" t="s">
        <v>642</v>
      </c>
      <c r="P54" s="356" t="s">
        <v>664</v>
      </c>
      <c r="Q54" s="212" t="s">
        <v>664</v>
      </c>
      <c r="S54" s="353"/>
      <c r="T54" s="353"/>
      <c r="U54" s="354"/>
    </row>
    <row r="55" spans="2:21" x14ac:dyDescent="0.25">
      <c r="B55" s="1"/>
      <c r="C55" s="1"/>
      <c r="D55" s="1"/>
      <c r="E55" s="1"/>
      <c r="F55" s="1"/>
      <c r="G55" s="1"/>
      <c r="H55" s="1"/>
      <c r="I55" s="1"/>
      <c r="L55" s="148"/>
      <c r="M55" s="323" t="s">
        <v>85</v>
      </c>
      <c r="N55" s="66"/>
      <c r="O55" s="364">
        <v>2466</v>
      </c>
      <c r="P55" s="365">
        <f>+O55/$O$63</f>
        <v>0.30324643384161337</v>
      </c>
      <c r="Q55" s="446">
        <v>0.32100000000000001</v>
      </c>
      <c r="R55" s="323"/>
      <c r="S55" s="353"/>
      <c r="T55" s="323"/>
      <c r="U55" s="297"/>
    </row>
    <row r="56" spans="2:21" x14ac:dyDescent="0.25">
      <c r="B56" s="1"/>
      <c r="C56" s="1"/>
      <c r="D56" s="1"/>
      <c r="E56" s="1"/>
      <c r="F56" s="1"/>
      <c r="G56" s="1"/>
      <c r="H56" s="1"/>
      <c r="I56" s="1"/>
      <c r="L56" s="148"/>
      <c r="M56" s="323" t="s">
        <v>638</v>
      </c>
      <c r="N56" s="66"/>
      <c r="O56" s="364">
        <v>3084</v>
      </c>
      <c r="P56" s="365">
        <f>+O56/$O$63</f>
        <v>0.3792424987702902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8.8047220855878017E-2</v>
      </c>
      <c r="Q57" s="446">
        <v>0.08</v>
      </c>
      <c r="R57" s="323"/>
      <c r="S57" s="323"/>
      <c r="T57" s="323"/>
      <c r="U57" s="297"/>
    </row>
    <row r="58" spans="2:21" x14ac:dyDescent="0.25">
      <c r="B58" s="1"/>
      <c r="C58" s="1"/>
      <c r="D58" s="1"/>
      <c r="E58" s="1"/>
      <c r="F58" s="1"/>
      <c r="G58" s="1"/>
      <c r="H58" s="1"/>
      <c r="I58" s="1"/>
      <c r="L58" s="148"/>
      <c r="M58" s="323" t="s">
        <v>49</v>
      </c>
      <c r="N58" s="66"/>
      <c r="O58" s="364"/>
      <c r="P58" s="365">
        <f t="shared" ref="P58" si="1">+O58/$O$63</f>
        <v>0</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0.19367929168716183</v>
      </c>
      <c r="Q59" s="446">
        <v>0.20100000000000001</v>
      </c>
      <c r="R59" s="323"/>
      <c r="S59" s="72"/>
      <c r="T59" s="323"/>
      <c r="U59" s="297"/>
    </row>
    <row r="60" spans="2:21" x14ac:dyDescent="0.25">
      <c r="B60" s="1"/>
      <c r="C60" s="1"/>
      <c r="D60" s="1"/>
      <c r="E60" s="1"/>
      <c r="F60" s="1"/>
      <c r="G60" s="1"/>
      <c r="H60" s="1"/>
      <c r="I60" s="1"/>
      <c r="L60" s="148"/>
      <c r="M60" s="323" t="s">
        <v>725</v>
      </c>
      <c r="N60" s="66"/>
      <c r="O60" s="364"/>
      <c r="P60" s="365">
        <f>+O60/$O$63</f>
        <v>0</v>
      </c>
      <c r="Q60" s="446">
        <v>1E-3</v>
      </c>
      <c r="T60" s="323"/>
      <c r="U60" s="297"/>
    </row>
    <row r="61" spans="2:21" x14ac:dyDescent="0.25">
      <c r="B61" s="1"/>
      <c r="C61" s="1"/>
      <c r="D61" s="1"/>
      <c r="E61" s="1"/>
      <c r="F61" s="1"/>
      <c r="G61" s="1"/>
      <c r="H61" s="1"/>
      <c r="I61" s="1"/>
      <c r="L61" s="148"/>
      <c r="M61" s="323" t="s">
        <v>648</v>
      </c>
      <c r="N61" s="436"/>
      <c r="O61" s="364">
        <v>291</v>
      </c>
      <c r="P61" s="365">
        <f>+O61/$O$63</f>
        <v>3.578455484505657E-2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662</v>
      </c>
      <c r="N63" s="261"/>
      <c r="O63" s="367">
        <f>+SUM(O55:O61)</f>
        <v>8132</v>
      </c>
      <c r="P63" s="368">
        <f>+SUM(P55:P61)</f>
        <v>1</v>
      </c>
      <c r="Q63" s="369">
        <f>+SUM(Q55:Q61)</f>
        <v>1</v>
      </c>
      <c r="U63" s="297"/>
    </row>
    <row r="64" spans="2:21" x14ac:dyDescent="0.25">
      <c r="B64" s="1"/>
      <c r="C64" s="1"/>
      <c r="D64" s="1"/>
      <c r="E64" s="1"/>
      <c r="F64" s="1"/>
      <c r="G64" s="1"/>
      <c r="H64" s="1"/>
      <c r="I64" s="1"/>
      <c r="L64" s="148"/>
      <c r="M64" s="323" t="s">
        <v>569</v>
      </c>
      <c r="N64" s="367"/>
      <c r="O64" s="367">
        <f>24.39-O63</f>
        <v>-8107.61</v>
      </c>
      <c r="P64" s="365"/>
      <c r="S64" s="309"/>
      <c r="T64" s="309"/>
      <c r="U64" s="297"/>
    </row>
    <row r="65" spans="2:21" x14ac:dyDescent="0.25">
      <c r="B65" s="1"/>
      <c r="C65" s="1"/>
      <c r="D65" s="1"/>
      <c r="E65" s="1"/>
      <c r="F65" s="1"/>
      <c r="G65" s="1"/>
      <c r="H65" s="1"/>
      <c r="I65" s="1"/>
      <c r="L65" s="148"/>
      <c r="M65" s="323" t="s">
        <v>576</v>
      </c>
      <c r="N65" s="367"/>
      <c r="O65" s="367">
        <f>+O64+O63</f>
        <v>24.390000000000327</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640</v>
      </c>
      <c r="O70" s="339"/>
      <c r="P70" s="2"/>
    </row>
    <row r="71" spans="2:21" x14ac:dyDescent="0.25">
      <c r="B71" s="1"/>
      <c r="C71" s="1"/>
      <c r="D71" s="1"/>
      <c r="E71" s="1"/>
      <c r="F71" s="1"/>
      <c r="G71" s="1"/>
      <c r="H71" s="1"/>
      <c r="I71" s="1"/>
      <c r="N71" s="317" t="s">
        <v>11</v>
      </c>
      <c r="O71" s="327" t="s">
        <v>13</v>
      </c>
      <c r="P71" s="376" t="s">
        <v>553</v>
      </c>
      <c r="S71" s="309"/>
    </row>
    <row r="72" spans="2:21" x14ac:dyDescent="0.25">
      <c r="B72" s="1"/>
      <c r="C72" s="1"/>
      <c r="D72" s="1"/>
      <c r="E72" s="1"/>
      <c r="F72" s="1"/>
      <c r="G72" s="1"/>
      <c r="H72" s="1"/>
      <c r="I72" s="1"/>
      <c r="N72" s="352" t="str">
        <f>+C23</f>
        <v>REF2</v>
      </c>
      <c r="O72" s="1" t="s">
        <v>45</v>
      </c>
      <c r="P72" s="265">
        <f>+P55+P60</f>
        <v>0.30324643384161337</v>
      </c>
    </row>
    <row r="73" spans="2:21" x14ac:dyDescent="0.25">
      <c r="B73" s="1"/>
      <c r="C73" s="1"/>
      <c r="D73" s="1"/>
      <c r="E73" s="1"/>
      <c r="F73" s="1"/>
      <c r="G73" s="1"/>
      <c r="H73" s="1"/>
      <c r="I73" s="1"/>
      <c r="N73" s="1"/>
      <c r="O73" s="1" t="s">
        <v>47</v>
      </c>
      <c r="P73" s="265">
        <f>+P56</f>
        <v>0.3792424987702902</v>
      </c>
    </row>
    <row r="74" spans="2:21" x14ac:dyDescent="0.25">
      <c r="B74" s="1"/>
      <c r="C74" s="1"/>
      <c r="D74" s="1"/>
      <c r="E74" s="1"/>
      <c r="F74" s="1"/>
      <c r="G74" s="1"/>
      <c r="H74" s="1"/>
      <c r="I74" s="1"/>
      <c r="N74" s="1"/>
      <c r="O74" s="1" t="s">
        <v>48</v>
      </c>
      <c r="P74" s="265">
        <f>+P57</f>
        <v>8.8047220855878017E-2</v>
      </c>
    </row>
    <row r="75" spans="2:21" x14ac:dyDescent="0.25">
      <c r="B75" s="1"/>
      <c r="C75" s="1"/>
      <c r="D75" s="1"/>
      <c r="E75" s="1"/>
      <c r="F75" s="1"/>
      <c r="G75" s="1"/>
      <c r="H75" s="1"/>
      <c r="I75" s="1"/>
      <c r="N75" s="1"/>
      <c r="O75" s="1" t="s">
        <v>49</v>
      </c>
      <c r="P75" s="265">
        <f>+P58</f>
        <v>0</v>
      </c>
      <c r="R75" s="265"/>
    </row>
    <row r="76" spans="2:21" x14ac:dyDescent="0.25">
      <c r="B76" s="1"/>
      <c r="C76" s="1"/>
      <c r="D76" s="1"/>
      <c r="E76" s="1"/>
      <c r="F76" s="1"/>
      <c r="G76" s="1"/>
      <c r="H76" s="1"/>
      <c r="I76" s="1"/>
      <c r="N76" s="1"/>
      <c r="O76" s="1" t="s">
        <v>50</v>
      </c>
      <c r="P76" s="265">
        <f>+P59</f>
        <v>0.19367929168716183</v>
      </c>
    </row>
    <row r="77" spans="2:21" x14ac:dyDescent="0.25">
      <c r="B77" s="1"/>
      <c r="C77" s="1"/>
      <c r="D77" s="1"/>
      <c r="E77" s="1"/>
      <c r="F77" s="1"/>
      <c r="G77" s="1"/>
      <c r="H77" s="1"/>
      <c r="I77" s="1"/>
      <c r="N77" s="1"/>
      <c r="O77" s="1" t="s">
        <v>743</v>
      </c>
      <c r="P77" s="299">
        <f>+P61</f>
        <v>3.578455484505657E-2</v>
      </c>
    </row>
    <row r="78" spans="2:21" x14ac:dyDescent="0.25">
      <c r="B78" s="1"/>
      <c r="C78" s="1"/>
      <c r="D78" s="1"/>
      <c r="E78" s="1"/>
      <c r="F78" s="1"/>
      <c r="G78" s="1"/>
      <c r="H78" s="1"/>
      <c r="I78" s="1"/>
      <c r="O78" s="1" t="s">
        <v>519</v>
      </c>
      <c r="P78" s="265">
        <v>0</v>
      </c>
    </row>
    <row r="79" spans="2:21" x14ac:dyDescent="0.25">
      <c r="B79" s="1"/>
      <c r="C79" s="1"/>
      <c r="D79" s="1"/>
      <c r="E79" s="1"/>
      <c r="F79" s="1"/>
      <c r="G79" s="1"/>
      <c r="H79" s="1"/>
      <c r="I79" s="1"/>
      <c r="Q79" s="370">
        <f>++SUM(P72:P77)</f>
        <v>1</v>
      </c>
    </row>
    <row r="80" spans="2:21" x14ac:dyDescent="0.25">
      <c r="B80" s="1"/>
      <c r="C80" s="1"/>
      <c r="D80" s="1"/>
      <c r="E80" s="1"/>
      <c r="F80" s="1"/>
      <c r="G80" s="1"/>
      <c r="H80" s="1"/>
      <c r="I80" s="1"/>
    </row>
    <row r="81" spans="1:21" x14ac:dyDescent="0.25">
      <c r="B81" s="1"/>
      <c r="C81" s="1"/>
      <c r="D81" s="1"/>
      <c r="E81" s="1"/>
      <c r="F81" s="1"/>
      <c r="G81" s="1"/>
      <c r="H81" s="1"/>
      <c r="I81" s="1"/>
      <c r="L81" s="566" t="s">
        <v>669</v>
      </c>
      <c r="M81" s="601"/>
      <c r="N81" s="601"/>
      <c r="O81" s="601"/>
      <c r="P81" s="601"/>
      <c r="Q81" s="601"/>
      <c r="R81" s="601"/>
      <c r="S81" s="601"/>
      <c r="T81" s="601"/>
      <c r="U81" s="567"/>
    </row>
    <row r="82" spans="1:21" x14ac:dyDescent="0.25">
      <c r="B82" s="1"/>
      <c r="C82" s="1"/>
      <c r="D82" s="1"/>
      <c r="E82" s="1"/>
      <c r="F82" s="1"/>
      <c r="G82" s="1"/>
      <c r="H82" s="1"/>
      <c r="I82" s="1"/>
      <c r="L82" s="148"/>
      <c r="U82" s="297"/>
    </row>
    <row r="83" spans="1:21" x14ac:dyDescent="0.25">
      <c r="A83" t="s">
        <v>644</v>
      </c>
      <c r="B83" s="1"/>
      <c r="C83" s="1"/>
      <c r="D83" s="1"/>
      <c r="E83" s="1"/>
      <c r="F83" s="1"/>
      <c r="G83" s="1"/>
      <c r="H83" s="1"/>
      <c r="I83" s="1"/>
      <c r="L83" s="148"/>
      <c r="N83" s="152"/>
      <c r="O83" s="356" t="s">
        <v>250</v>
      </c>
      <c r="P83" s="356" t="s">
        <v>660</v>
      </c>
      <c r="T83" s="378"/>
      <c r="U83" s="297"/>
    </row>
    <row r="84" spans="1:21" x14ac:dyDescent="0.25">
      <c r="A84" t="s">
        <v>643</v>
      </c>
      <c r="B84" s="1"/>
      <c r="C84" s="1"/>
      <c r="D84" s="1"/>
      <c r="E84" s="1"/>
      <c r="F84" s="1"/>
      <c r="G84" s="1"/>
      <c r="H84" s="1"/>
      <c r="I84" s="1"/>
      <c r="L84" s="148"/>
      <c r="N84" s="323" t="s">
        <v>670</v>
      </c>
      <c r="O84">
        <f>+'4. Refinery''s Data'!D21</f>
        <v>250</v>
      </c>
      <c r="P84" s="364">
        <f>+O84*365*E10/1000</f>
        <v>555.45464279436999</v>
      </c>
      <c r="S84" s="122"/>
      <c r="T84" s="122"/>
      <c r="U84" s="297"/>
    </row>
    <row r="85" spans="1:21" x14ac:dyDescent="0.25">
      <c r="A85" t="s">
        <v>645</v>
      </c>
      <c r="B85" s="1"/>
      <c r="C85" s="1"/>
      <c r="D85" s="1"/>
      <c r="E85" s="1"/>
      <c r="F85" s="1"/>
      <c r="G85" s="1"/>
      <c r="H85" s="1"/>
      <c r="I85" s="1"/>
      <c r="L85" s="148"/>
      <c r="N85" s="323" t="s">
        <v>623</v>
      </c>
      <c r="O85">
        <v>218.6</v>
      </c>
      <c r="P85" s="367">
        <f>+O85*365*E10/1000</f>
        <v>485.68953965939704</v>
      </c>
      <c r="U85" s="297"/>
    </row>
    <row r="86" spans="1:21" x14ac:dyDescent="0.25">
      <c r="B86" s="1"/>
      <c r="C86" s="1"/>
      <c r="D86" s="1"/>
      <c r="E86" s="1"/>
      <c r="F86" s="1"/>
      <c r="G86" s="1"/>
      <c r="H86" s="1"/>
      <c r="I86" s="1"/>
      <c r="L86" s="148"/>
      <c r="N86" s="324" t="s">
        <v>624</v>
      </c>
      <c r="O86" s="379">
        <f>+O85/O84</f>
        <v>0.87439999999999996</v>
      </c>
      <c r="U86" s="297"/>
    </row>
    <row r="87" spans="1:21" x14ac:dyDescent="0.25">
      <c r="B87" s="1"/>
      <c r="C87" s="1"/>
      <c r="D87" s="1"/>
      <c r="E87" s="1"/>
      <c r="F87" s="1"/>
      <c r="G87" s="1"/>
      <c r="H87" s="1"/>
      <c r="I87" s="1"/>
      <c r="L87" s="148"/>
      <c r="N87" s="325" t="s">
        <v>625</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672</v>
      </c>
      <c r="O89" s="384"/>
      <c r="P89" s="384">
        <f>+O65/O51</f>
        <v>2.0105514796801851E-3</v>
      </c>
      <c r="U89" s="297"/>
    </row>
    <row r="90" spans="1:21" x14ac:dyDescent="0.25">
      <c r="B90" s="1"/>
      <c r="C90" s="1"/>
      <c r="D90" s="1"/>
      <c r="E90" s="1"/>
      <c r="F90" s="1"/>
      <c r="G90" s="1"/>
      <c r="H90" s="1"/>
      <c r="I90" s="1"/>
      <c r="L90" s="148"/>
      <c r="N90" s="323" t="s">
        <v>671</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673</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626</v>
      </c>
      <c r="Q96" s="330" t="s">
        <v>553</v>
      </c>
      <c r="R96" s="331" t="s">
        <v>175</v>
      </c>
    </row>
    <row r="97" spans="2:25" x14ac:dyDescent="0.25">
      <c r="B97" s="1"/>
      <c r="C97" s="1"/>
      <c r="D97" s="415"/>
      <c r="E97" s="1"/>
      <c r="F97" s="415"/>
      <c r="G97" s="1"/>
      <c r="H97" s="1"/>
      <c r="I97" s="1"/>
      <c r="N97" s="426" t="str">
        <f>+N72</f>
        <v>REF2</v>
      </c>
      <c r="O97" s="328" t="s">
        <v>627</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628</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66" t="s">
        <v>674</v>
      </c>
      <c r="M104" s="601"/>
      <c r="N104" s="601"/>
      <c r="O104" s="601"/>
      <c r="P104" s="601"/>
      <c r="Q104" s="601"/>
      <c r="R104" s="601"/>
      <c r="S104" s="601"/>
      <c r="T104" s="601"/>
      <c r="U104" s="567"/>
    </row>
    <row r="105" spans="2:25" x14ac:dyDescent="0.25">
      <c r="B105" s="1"/>
      <c r="C105" s="1"/>
      <c r="D105" s="1"/>
      <c r="E105" s="1"/>
      <c r="F105" s="1"/>
      <c r="G105" s="1"/>
      <c r="H105" s="1"/>
      <c r="I105" s="1"/>
      <c r="L105" s="148"/>
      <c r="U105" s="297"/>
      <c r="X105">
        <v>4.5</v>
      </c>
      <c r="Y105" t="s">
        <v>654</v>
      </c>
    </row>
    <row r="106" spans="2:25" x14ac:dyDescent="0.25">
      <c r="B106" s="1"/>
      <c r="C106" s="1"/>
      <c r="D106" s="1"/>
      <c r="E106" s="1"/>
      <c r="F106" s="1"/>
      <c r="G106" s="1"/>
      <c r="H106" s="1"/>
      <c r="I106" s="1"/>
      <c r="L106" s="148"/>
      <c r="U106" s="297"/>
      <c r="X106">
        <v>1</v>
      </c>
      <c r="Y106" t="s">
        <v>651</v>
      </c>
    </row>
    <row r="107" spans="2:25" x14ac:dyDescent="0.25">
      <c r="B107" s="1"/>
      <c r="C107" s="1"/>
      <c r="D107" s="1"/>
      <c r="E107" s="1"/>
      <c r="F107" s="1"/>
      <c r="G107" s="1"/>
      <c r="H107" s="1"/>
      <c r="I107" s="1"/>
      <c r="L107" s="148"/>
      <c r="N107" s="387"/>
      <c r="O107" s="392" t="s">
        <v>250</v>
      </c>
      <c r="P107" s="392" t="s">
        <v>660</v>
      </c>
      <c r="U107" s="297"/>
    </row>
    <row r="108" spans="2:25" x14ac:dyDescent="0.25">
      <c r="B108" s="1"/>
      <c r="C108" s="1"/>
      <c r="D108" s="1"/>
      <c r="E108" s="1"/>
      <c r="F108" s="1"/>
      <c r="G108" s="1"/>
      <c r="H108" s="1"/>
      <c r="I108" s="1"/>
      <c r="L108" s="148"/>
      <c r="N108" s="390" t="s">
        <v>676</v>
      </c>
      <c r="O108" s="389">
        <f>394.77/299.7</f>
        <v>1.3172172172172172</v>
      </c>
      <c r="P108" s="388">
        <f>+O108</f>
        <v>1.3172172172172172</v>
      </c>
      <c r="Q108" t="s">
        <v>677</v>
      </c>
      <c r="U108" s="297"/>
      <c r="X108">
        <f>+O34*1000000</f>
        <v>5830000</v>
      </c>
      <c r="Y108" t="s">
        <v>651</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679</v>
      </c>
      <c r="U110" s="297"/>
      <c r="X110">
        <f>+X108*X105</f>
        <v>26235000</v>
      </c>
      <c r="Y110" t="s">
        <v>655</v>
      </c>
    </row>
    <row r="111" spans="2:25" x14ac:dyDescent="0.25">
      <c r="B111" s="1"/>
      <c r="C111" s="1"/>
      <c r="D111" s="1"/>
      <c r="E111" s="1"/>
      <c r="F111" s="1"/>
      <c r="G111" s="1"/>
      <c r="H111" s="1"/>
      <c r="I111" s="1"/>
      <c r="L111" s="148"/>
      <c r="N111" s="323" t="s">
        <v>678</v>
      </c>
      <c r="O111" s="391">
        <f>79/(9*1000*24*365)</f>
        <v>1.002029426686961E-6</v>
      </c>
      <c r="P111" s="122">
        <f>+(O111/119.96)*1000000000</f>
        <v>8.3530295655798685</v>
      </c>
      <c r="Q111" t="s">
        <v>131</v>
      </c>
      <c r="U111" s="297"/>
      <c r="X111">
        <f>+X110*35.3147</f>
        <v>926481154.5</v>
      </c>
      <c r="Y111" t="s">
        <v>656</v>
      </c>
    </row>
    <row r="112" spans="2:25" x14ac:dyDescent="0.25">
      <c r="B112" s="1"/>
      <c r="C112" s="1"/>
      <c r="D112" s="1"/>
      <c r="E112" s="1"/>
      <c r="F112" s="1"/>
      <c r="G112" s="1"/>
      <c r="H112" s="1"/>
      <c r="I112" s="1"/>
      <c r="L112" s="148"/>
      <c r="U112" s="297"/>
      <c r="X112">
        <f>+X111/(1000000)</f>
        <v>926.4811545</v>
      </c>
      <c r="Y112" t="s">
        <v>657</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626</v>
      </c>
      <c r="Q116" s="340" t="s">
        <v>553</v>
      </c>
      <c r="R116" s="399" t="s">
        <v>175</v>
      </c>
    </row>
    <row r="117" spans="2:24" x14ac:dyDescent="0.25">
      <c r="B117" s="1"/>
      <c r="C117" s="1"/>
      <c r="D117" s="1"/>
      <c r="E117" s="1"/>
      <c r="F117" s="1"/>
      <c r="G117" s="1"/>
      <c r="H117" s="1"/>
      <c r="I117" s="1"/>
      <c r="N117" s="400" t="str">
        <f>+C24</f>
        <v>SMR-REF2</v>
      </c>
      <c r="O117" s="400" t="s">
        <v>627</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66" t="s">
        <v>680</v>
      </c>
      <c r="M128" s="601"/>
      <c r="N128" s="601"/>
      <c r="O128" s="601"/>
      <c r="P128" s="601"/>
      <c r="Q128" s="601"/>
      <c r="R128" s="601"/>
      <c r="S128" s="601"/>
      <c r="T128" s="601"/>
      <c r="U128" s="567"/>
      <c r="W128" t="s">
        <v>709</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681</v>
      </c>
    </row>
    <row r="130" spans="2:25" x14ac:dyDescent="0.25">
      <c r="B130" s="1"/>
      <c r="C130" s="1"/>
      <c r="D130" s="1" t="s">
        <v>698</v>
      </c>
      <c r="E130" s="1">
        <v>1561</v>
      </c>
      <c r="F130" s="1" t="s">
        <v>560</v>
      </c>
      <c r="G130" s="1"/>
      <c r="H130" s="1"/>
      <c r="I130" s="1"/>
      <c r="L130" s="148"/>
      <c r="M130" s="351" t="s">
        <v>681</v>
      </c>
      <c r="N130" s="356" t="s">
        <v>683</v>
      </c>
      <c r="O130" s="356" t="s">
        <v>660</v>
      </c>
      <c r="P130" s="152"/>
      <c r="Q130" s="152" t="s">
        <v>684</v>
      </c>
      <c r="R130" s="363"/>
      <c r="S130" s="20"/>
      <c r="T130" s="20"/>
      <c r="U130" s="297"/>
      <c r="W130" t="s">
        <v>263</v>
      </c>
      <c r="X130" s="122">
        <f>+Q131</f>
        <v>181.10027784183313</v>
      </c>
    </row>
    <row r="131" spans="2:25" x14ac:dyDescent="0.25">
      <c r="B131" s="1"/>
      <c r="C131" s="1"/>
      <c r="D131" s="1" t="s">
        <v>699</v>
      </c>
      <c r="E131" s="1">
        <v>874.27499999999998</v>
      </c>
      <c r="F131" s="1" t="s">
        <v>253</v>
      </c>
      <c r="G131" s="434" t="s">
        <v>736</v>
      </c>
      <c r="H131" s="1">
        <f>643+289</f>
        <v>932</v>
      </c>
      <c r="I131" s="1"/>
      <c r="L131" s="148"/>
      <c r="M131" s="323" t="s">
        <v>682</v>
      </c>
      <c r="N131" s="19">
        <v>58</v>
      </c>
      <c r="O131" s="261">
        <f>43+643*I132</f>
        <v>485.45016077170419</v>
      </c>
      <c r="P131" t="s">
        <v>9</v>
      </c>
      <c r="Q131" s="122">
        <f>O131/(85*24*365*0.0036/1000)</f>
        <v>181.10027784183313</v>
      </c>
      <c r="R131" s="71" t="s">
        <v>686</v>
      </c>
      <c r="U131" s="297"/>
      <c r="W131" t="s">
        <v>708</v>
      </c>
      <c r="X131" s="57">
        <f>+Q132</f>
        <v>83.520672675452204</v>
      </c>
    </row>
    <row r="132" spans="2:25" x14ac:dyDescent="0.25">
      <c r="B132" s="1"/>
      <c r="C132" s="1"/>
      <c r="D132" s="1" t="s">
        <v>700</v>
      </c>
      <c r="E132" s="1">
        <f>+E130-E131</f>
        <v>686.72500000000002</v>
      </c>
      <c r="F132" s="1" t="s">
        <v>253</v>
      </c>
      <c r="G132" s="434" t="s">
        <v>737</v>
      </c>
      <c r="H132" s="1">
        <v>642</v>
      </c>
      <c r="I132" s="449">
        <f>+H132/(H132+H133)</f>
        <v>0.68810289389067525</v>
      </c>
      <c r="L132" s="148"/>
      <c r="M132" s="323" t="s">
        <v>515</v>
      </c>
      <c r="N132" s="436">
        <v>33.799999999999997</v>
      </c>
      <c r="O132" s="261">
        <f>643*I133</f>
        <v>200.54983922829581</v>
      </c>
      <c r="P132" t="s">
        <v>9</v>
      </c>
      <c r="Q132" s="122">
        <f>+O132/(O33*0.0036)</f>
        <v>83.520672675452204</v>
      </c>
      <c r="R132" t="s">
        <v>685</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637</v>
      </c>
    </row>
    <row r="135" spans="2:25" x14ac:dyDescent="0.25">
      <c r="B135" s="1"/>
      <c r="C135" s="1"/>
      <c r="D135" s="1"/>
      <c r="E135" s="1"/>
      <c r="F135" s="1"/>
      <c r="G135" s="1"/>
      <c r="H135" s="1"/>
      <c r="I135" s="1"/>
      <c r="L135" s="148"/>
      <c r="M135" s="325" t="s">
        <v>705</v>
      </c>
      <c r="N135" s="438"/>
      <c r="O135" s="444">
        <f>+Q135*P33</f>
        <v>1.4407199999999998</v>
      </c>
      <c r="P135" s="438" t="s">
        <v>9</v>
      </c>
      <c r="Q135" s="434">
        <f>+(O138-O139)/O139</f>
        <v>0.6</v>
      </c>
      <c r="R135" t="s">
        <v>707</v>
      </c>
      <c r="U135" s="297"/>
      <c r="W135" t="s">
        <v>72</v>
      </c>
      <c r="X135">
        <v>1</v>
      </c>
    </row>
    <row r="136" spans="2:25" x14ac:dyDescent="0.25">
      <c r="B136" s="1"/>
      <c r="C136" s="1"/>
      <c r="D136" s="1"/>
      <c r="E136" s="1"/>
      <c r="F136" s="1"/>
      <c r="G136" s="1"/>
      <c r="H136" s="1"/>
      <c r="I136" s="1"/>
      <c r="L136" s="148"/>
      <c r="N136" s="1"/>
      <c r="O136" s="443"/>
      <c r="P136" s="1"/>
      <c r="Q136" s="1"/>
      <c r="U136" s="297"/>
      <c r="W136" t="s">
        <v>697</v>
      </c>
      <c r="X136">
        <f>+X135*Q135</f>
        <v>0.6</v>
      </c>
    </row>
    <row r="137" spans="2:25" x14ac:dyDescent="0.25">
      <c r="B137" s="1"/>
      <c r="C137" s="1"/>
      <c r="D137" s="1"/>
      <c r="E137" s="1"/>
      <c r="F137" s="1"/>
      <c r="G137" s="1"/>
      <c r="H137" s="1"/>
      <c r="I137" s="1"/>
      <c r="L137" s="148"/>
      <c r="N137" s="323" t="s">
        <v>687</v>
      </c>
      <c r="O137">
        <v>193</v>
      </c>
      <c r="P137" t="s">
        <v>675</v>
      </c>
      <c r="U137" s="297"/>
      <c r="X137">
        <f>+X136+X135</f>
        <v>1.6</v>
      </c>
    </row>
    <row r="138" spans="2:25" x14ac:dyDescent="0.25">
      <c r="B138" s="1"/>
      <c r="C138" s="1"/>
      <c r="D138" s="412"/>
      <c r="E138" s="1"/>
      <c r="F138" s="1"/>
      <c r="G138" s="1"/>
      <c r="H138" s="1"/>
      <c r="I138" s="1"/>
      <c r="L138" s="148"/>
      <c r="N138" s="323" t="s">
        <v>721</v>
      </c>
      <c r="O138" s="299">
        <v>0.6</v>
      </c>
      <c r="U138" s="297"/>
    </row>
    <row r="139" spans="2:25" x14ac:dyDescent="0.25">
      <c r="B139" s="1"/>
      <c r="C139" s="1"/>
      <c r="D139" s="412"/>
      <c r="E139" s="1"/>
      <c r="F139" s="1"/>
      <c r="G139" s="1"/>
      <c r="H139" s="1"/>
      <c r="I139" s="1"/>
      <c r="L139" s="148"/>
      <c r="N139" s="323" t="s">
        <v>722</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718</v>
      </c>
      <c r="X141">
        <v>0.375</v>
      </c>
      <c r="Y141" s="63">
        <f>+X141/X143</f>
        <v>0.625</v>
      </c>
    </row>
    <row r="142" spans="2:25" x14ac:dyDescent="0.25">
      <c r="B142" s="1"/>
      <c r="C142" s="1"/>
      <c r="D142" s="1"/>
      <c r="E142" s="1"/>
      <c r="F142" s="1"/>
      <c r="G142" s="1"/>
      <c r="H142" s="1"/>
      <c r="I142" s="1"/>
      <c r="W142" t="s">
        <v>720</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719</v>
      </c>
      <c r="X143">
        <v>0.6</v>
      </c>
    </row>
    <row r="144" spans="2:25" x14ac:dyDescent="0.25">
      <c r="B144" s="1"/>
      <c r="C144" s="1"/>
      <c r="D144" s="1"/>
      <c r="E144" s="1"/>
      <c r="F144" s="1"/>
      <c r="G144" s="1"/>
      <c r="H144" s="1"/>
      <c r="I144" s="1"/>
      <c r="N144" s="327" t="s">
        <v>11</v>
      </c>
      <c r="O144" s="327" t="s">
        <v>1</v>
      </c>
      <c r="P144" s="327" t="s">
        <v>626</v>
      </c>
      <c r="Q144" s="327" t="s">
        <v>553</v>
      </c>
      <c r="R144" s="393" t="s">
        <v>175</v>
      </c>
      <c r="S144" s="1"/>
    </row>
    <row r="145" spans="2:19" x14ac:dyDescent="0.25">
      <c r="B145" s="1"/>
      <c r="C145" s="1"/>
      <c r="D145" s="1"/>
      <c r="E145" s="1"/>
      <c r="F145" s="1"/>
      <c r="G145" s="1"/>
      <c r="H145" s="1"/>
      <c r="I145" s="1"/>
      <c r="N145" s="394" t="str">
        <f>+C25</f>
        <v>AUTO-REF2</v>
      </c>
      <c r="O145" s="394" t="s">
        <v>627</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633</v>
      </c>
      <c r="O149" s="339"/>
      <c r="P149" s="2"/>
      <c r="Q149" s="1"/>
      <c r="R149" s="1"/>
      <c r="S149" s="1"/>
    </row>
    <row r="150" spans="2:19" x14ac:dyDescent="0.25">
      <c r="B150" s="1"/>
      <c r="C150" s="1"/>
      <c r="D150" s="1"/>
      <c r="E150" s="1"/>
      <c r="F150" s="1"/>
      <c r="G150" s="1"/>
      <c r="H150" s="1"/>
      <c r="I150" s="1"/>
      <c r="N150" s="327" t="s">
        <v>11</v>
      </c>
      <c r="O150" s="327" t="s">
        <v>12</v>
      </c>
      <c r="P150" s="327" t="s">
        <v>553</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640</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66" t="s">
        <v>712</v>
      </c>
      <c r="M162" s="601"/>
      <c r="N162" s="601"/>
      <c r="O162" s="601"/>
      <c r="P162" s="601"/>
      <c r="Q162" s="601"/>
      <c r="R162" s="601"/>
      <c r="S162" s="601"/>
      <c r="T162" s="601"/>
      <c r="U162" s="567"/>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777</v>
      </c>
      <c r="O168" s="2"/>
      <c r="P168" s="2"/>
    </row>
    <row r="169" spans="2:21" x14ac:dyDescent="0.25">
      <c r="B169" s="1"/>
      <c r="C169" s="1"/>
      <c r="D169" s="1"/>
      <c r="E169" s="1"/>
      <c r="F169" s="1"/>
      <c r="G169" s="1"/>
      <c r="H169" s="1"/>
      <c r="I169" s="1"/>
      <c r="N169" s="461" t="s">
        <v>11</v>
      </c>
      <c r="O169" s="461" t="s">
        <v>13</v>
      </c>
      <c r="P169" s="461" t="s">
        <v>778</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652</v>
      </c>
    </row>
    <row r="196" spans="2:16" x14ac:dyDescent="0.25">
      <c r="O196">
        <f>+O195*365</f>
        <v>89425</v>
      </c>
      <c r="P196" t="s">
        <v>653</v>
      </c>
    </row>
    <row r="197" spans="2:16" x14ac:dyDescent="0.25">
      <c r="O197">
        <f>+O196/1000</f>
        <v>89.424999999999997</v>
      </c>
      <c r="P197" t="s">
        <v>646</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E76"/>
  <sheetViews>
    <sheetView showGridLines="0" topLeftCell="Z1" zoomScale="85" zoomScaleNormal="85" workbookViewId="0">
      <selection activeCell="D86" sqref="D86:D91"/>
    </sheetView>
  </sheetViews>
  <sheetFormatPr baseColWidth="10" defaultColWidth="9.140625" defaultRowHeight="15" x14ac:dyDescent="0.25"/>
  <cols>
    <col min="2" max="2" width="18.5703125" customWidth="1"/>
    <col min="3" max="3" width="20.28515625" customWidth="1"/>
    <col min="4" max="4" width="9.140625" customWidth="1"/>
    <col min="5" max="5" width="33.7109375" customWidth="1"/>
    <col min="6" max="6" width="27.140625" customWidth="1"/>
    <col min="7" max="7" width="17" customWidth="1"/>
    <col min="8" max="8" width="24.5703125" customWidth="1"/>
    <col min="9" max="9" width="27.28515625" style="292" customWidth="1"/>
    <col min="10" max="10" width="30.5703125" customWidth="1"/>
    <col min="11" max="11" width="11.85546875" customWidth="1"/>
    <col min="12" max="12" width="11" customWidth="1"/>
    <col min="24" max="24" width="14.140625" customWidth="1"/>
    <col min="26" max="26" width="13.5703125" customWidth="1"/>
    <col min="36" max="36" width="11" customWidth="1"/>
    <col min="42" max="42" width="22.140625" customWidth="1"/>
    <col min="45" max="45" width="22" customWidth="1"/>
    <col min="57" max="57" width="11" bestFit="1" customWidth="1"/>
  </cols>
  <sheetData>
    <row r="1" spans="5:57" x14ac:dyDescent="0.25">
      <c r="M1" s="122">
        <f>+'4.1 Ref_Cart'!E8</f>
        <v>6.0871741676095334</v>
      </c>
      <c r="N1" t="s">
        <v>915</v>
      </c>
      <c r="P1">
        <v>5.7</v>
      </c>
      <c r="Q1" t="s">
        <v>917</v>
      </c>
    </row>
    <row r="2" spans="5:57" x14ac:dyDescent="0.25">
      <c r="M2">
        <f>+M1/1000</f>
        <v>6.0871741676095338E-3</v>
      </c>
      <c r="N2" t="s">
        <v>916</v>
      </c>
      <c r="P2">
        <f>+P1/1000</f>
        <v>5.7000000000000002E-3</v>
      </c>
      <c r="Q2" t="s">
        <v>916</v>
      </c>
    </row>
    <row r="4" spans="5:57" ht="15.75" x14ac:dyDescent="0.25">
      <c r="K4" s="611" t="s">
        <v>913</v>
      </c>
      <c r="L4" s="611"/>
      <c r="M4" s="611"/>
      <c r="N4" s="611"/>
      <c r="O4" s="611"/>
      <c r="P4" s="611"/>
      <c r="Q4" s="611"/>
      <c r="R4" s="611"/>
      <c r="S4" s="611"/>
      <c r="T4" s="611"/>
      <c r="U4" s="51"/>
      <c r="V4" s="51"/>
      <c r="W4" s="51"/>
      <c r="Y4" s="611" t="s">
        <v>918</v>
      </c>
      <c r="Z4" s="611"/>
      <c r="AA4" s="611"/>
      <c r="AB4" s="611"/>
      <c r="AC4" s="611"/>
      <c r="AD4" s="611"/>
      <c r="AE4" s="611"/>
      <c r="AF4" s="611"/>
      <c r="AG4" s="611"/>
      <c r="AH4" s="611"/>
      <c r="AI4" s="51"/>
      <c r="AJ4" s="51"/>
      <c r="AR4" s="532" t="s">
        <v>918</v>
      </c>
      <c r="AS4" s="532"/>
      <c r="AT4" s="532"/>
      <c r="AU4" s="532"/>
      <c r="AV4" s="532"/>
      <c r="AW4" s="532"/>
      <c r="AX4" s="532"/>
      <c r="AY4" s="532"/>
      <c r="AZ4" s="532"/>
      <c r="BA4" s="532"/>
      <c r="BB4" s="533"/>
      <c r="BC4" s="533"/>
      <c r="BD4" s="533"/>
    </row>
    <row r="5" spans="5:57" ht="18.75" x14ac:dyDescent="0.25">
      <c r="E5" s="530" t="s">
        <v>796</v>
      </c>
      <c r="F5" s="530" t="s">
        <v>797</v>
      </c>
      <c r="G5" s="468" t="s">
        <v>798</v>
      </c>
      <c r="H5" s="530" t="s">
        <v>799</v>
      </c>
      <c r="I5" s="530" t="s">
        <v>800</v>
      </c>
      <c r="K5" s="515">
        <v>2020</v>
      </c>
      <c r="L5" s="516">
        <v>2023</v>
      </c>
      <c r="M5" s="516">
        <v>2025</v>
      </c>
      <c r="N5" s="516">
        <v>2027</v>
      </c>
      <c r="O5" s="516">
        <v>2030</v>
      </c>
      <c r="P5" s="516">
        <v>2033</v>
      </c>
      <c r="Q5" s="516">
        <v>2035</v>
      </c>
      <c r="R5" s="516">
        <v>2037</v>
      </c>
      <c r="S5" s="516">
        <v>2040</v>
      </c>
      <c r="T5" s="516">
        <v>2043</v>
      </c>
      <c r="U5" s="511">
        <v>2045</v>
      </c>
      <c r="V5" s="511">
        <v>2047</v>
      </c>
      <c r="W5" s="512">
        <v>2050</v>
      </c>
      <c r="X5" s="51" t="s">
        <v>914</v>
      </c>
      <c r="Y5" s="515">
        <v>2020</v>
      </c>
      <c r="Z5" s="516">
        <v>2023</v>
      </c>
      <c r="AA5" s="516">
        <v>2025</v>
      </c>
      <c r="AB5" s="516">
        <v>2027</v>
      </c>
      <c r="AC5" s="516">
        <v>2030</v>
      </c>
      <c r="AD5" s="516">
        <v>2033</v>
      </c>
      <c r="AE5" s="516">
        <v>2035</v>
      </c>
      <c r="AF5" s="516">
        <v>2037</v>
      </c>
      <c r="AG5" s="516">
        <v>2040</v>
      </c>
      <c r="AH5" s="516">
        <v>2043</v>
      </c>
      <c r="AI5" s="511">
        <v>2045</v>
      </c>
      <c r="AJ5" s="511">
        <v>2047</v>
      </c>
      <c r="AK5" s="508">
        <v>2050</v>
      </c>
      <c r="AL5" s="531" t="s">
        <v>919</v>
      </c>
      <c r="AP5" s="486" t="s">
        <v>936</v>
      </c>
      <c r="AQ5" t="s">
        <v>961</v>
      </c>
      <c r="AR5" s="504">
        <v>2020</v>
      </c>
      <c r="AS5" s="504">
        <v>2023</v>
      </c>
      <c r="AT5" s="504">
        <v>2025</v>
      </c>
      <c r="AU5" s="504">
        <v>2027</v>
      </c>
      <c r="AV5" s="504">
        <v>2030</v>
      </c>
      <c r="AW5" s="504">
        <v>2033</v>
      </c>
      <c r="AX5" s="504">
        <v>2035</v>
      </c>
      <c r="AY5" s="504">
        <v>2037</v>
      </c>
      <c r="AZ5" s="504">
        <v>2040</v>
      </c>
      <c r="BA5" s="504">
        <v>2043</v>
      </c>
      <c r="BB5" s="505">
        <v>2045</v>
      </c>
      <c r="BC5" s="505">
        <v>2047</v>
      </c>
      <c r="BD5" s="504">
        <v>2050</v>
      </c>
      <c r="BE5" s="531" t="s">
        <v>919</v>
      </c>
    </row>
    <row r="6" spans="5:57" ht="15.75" x14ac:dyDescent="0.25">
      <c r="E6" s="473" t="e" vm="1">
        <v>#VALUE!</v>
      </c>
      <c r="F6" s="474" t="s">
        <v>816</v>
      </c>
      <c r="G6" s="474" t="s">
        <v>837</v>
      </c>
      <c r="H6" s="474" t="s">
        <v>838</v>
      </c>
      <c r="I6" s="475" t="s">
        <v>839</v>
      </c>
      <c r="J6" s="517">
        <f>+C47</f>
        <v>28.68</v>
      </c>
      <c r="K6" s="517">
        <f>+AA47</f>
        <v>18483.601194567513</v>
      </c>
      <c r="L6" s="517">
        <f t="shared" ref="L6:W6" si="0">+AB47</f>
        <v>14640.064399328548</v>
      </c>
      <c r="M6" s="517">
        <f t="shared" si="0"/>
        <v>12077.70653583575</v>
      </c>
      <c r="N6" s="517">
        <f t="shared" si="0"/>
        <v>0</v>
      </c>
      <c r="O6" s="517">
        <f t="shared" si="0"/>
        <v>0</v>
      </c>
      <c r="P6" s="517">
        <f t="shared" si="0"/>
        <v>0</v>
      </c>
      <c r="Q6" s="517">
        <f t="shared" si="0"/>
        <v>0</v>
      </c>
      <c r="R6" s="517">
        <f t="shared" si="0"/>
        <v>0</v>
      </c>
      <c r="S6" s="517">
        <f t="shared" si="0"/>
        <v>0</v>
      </c>
      <c r="T6" s="517">
        <f t="shared" si="0"/>
        <v>0</v>
      </c>
      <c r="U6" s="514">
        <f t="shared" si="0"/>
        <v>0</v>
      </c>
      <c r="V6" s="514">
        <f t="shared" si="0"/>
        <v>0</v>
      </c>
      <c r="W6" s="514">
        <f t="shared" si="0"/>
        <v>0</v>
      </c>
      <c r="X6" s="514">
        <f>+SLOPE(K6:W6,K$5:W$5)</f>
        <v>-510.41980077296512</v>
      </c>
      <c r="Y6" s="518">
        <f>+K6*$P$2*365/1000</f>
        <v>38.455132285297715</v>
      </c>
      <c r="Z6" s="518">
        <f t="shared" ref="Z6:AA6" si="1">+L6*$P$2*365/1000</f>
        <v>30.458653982803046</v>
      </c>
      <c r="AA6" s="518">
        <f t="shared" si="1"/>
        <v>25.127668447806283</v>
      </c>
      <c r="AB6" s="518"/>
      <c r="AC6" s="518"/>
      <c r="AD6" s="518"/>
      <c r="AE6" s="518"/>
      <c r="AF6" s="518"/>
      <c r="AG6" s="518"/>
      <c r="AH6" s="518"/>
      <c r="AI6" s="518"/>
      <c r="AJ6" s="518"/>
      <c r="AK6" s="518"/>
      <c r="AL6" s="519">
        <f>+SLOPE(Y6:AK6,Y$5:AK$5)</f>
        <v>-2.6654927674982813</v>
      </c>
      <c r="AM6" s="518" t="s">
        <v>839</v>
      </c>
      <c r="AO6" s="75"/>
      <c r="AP6" s="543" t="s">
        <v>926</v>
      </c>
      <c r="AQ6" s="534">
        <f>+J6+J7</f>
        <v>43.6</v>
      </c>
      <c r="AR6" s="534">
        <f t="shared" ref="AR6:AY6" si="2">+Y6+Y7</f>
        <v>45.816389720978073</v>
      </c>
      <c r="AS6" s="535">
        <f t="shared" si="2"/>
        <v>36.93438053993998</v>
      </c>
      <c r="AT6" s="535">
        <f t="shared" si="2"/>
        <v>31.01304108591415</v>
      </c>
      <c r="AU6" s="535">
        <f t="shared" si="2"/>
        <v>5.2950187190789215</v>
      </c>
      <c r="AV6" s="535">
        <f t="shared" si="2"/>
        <v>4.4094878405355011</v>
      </c>
      <c r="AW6" s="535">
        <f t="shared" si="2"/>
        <v>3.5239569619919613</v>
      </c>
      <c r="AX6" s="535">
        <f t="shared" si="2"/>
        <v>2.9336030429630142</v>
      </c>
      <c r="AY6" s="535">
        <f t="shared" si="2"/>
        <v>2.3432491239340676</v>
      </c>
      <c r="AZ6" s="535"/>
      <c r="BA6" s="535"/>
      <c r="BB6" s="535"/>
      <c r="BC6" s="535"/>
      <c r="BD6" s="536"/>
      <c r="BE6">
        <f t="shared" ref="BE6:BE11" si="3">+SLOPE(AR6:BD6,AR$5:BD$5)</f>
        <v>-2.6851115732294639</v>
      </c>
    </row>
    <row r="7" spans="5:57" ht="15.75" x14ac:dyDescent="0.25">
      <c r="E7" s="473" t="e" vm="1">
        <v>#VALUE!</v>
      </c>
      <c r="F7" s="474" t="s">
        <v>816</v>
      </c>
      <c r="G7" s="474" t="s">
        <v>837</v>
      </c>
      <c r="H7" s="474" t="s">
        <v>838</v>
      </c>
      <c r="I7" s="475" t="s">
        <v>840</v>
      </c>
      <c r="J7" s="517">
        <f>+C39</f>
        <v>14.92</v>
      </c>
      <c r="K7" s="517">
        <f>+AA39</f>
        <v>3538.2155422640499</v>
      </c>
      <c r="L7" s="517">
        <f t="shared" ref="L7:W7" si="4">+AB39</f>
        <v>3112.5818587536342</v>
      </c>
      <c r="M7" s="517">
        <f t="shared" si="4"/>
        <v>2828.8260697466321</v>
      </c>
      <c r="N7" s="517">
        <f t="shared" si="4"/>
        <v>2545.0702807396883</v>
      </c>
      <c r="O7" s="517">
        <f t="shared" si="4"/>
        <v>2119.4365972292726</v>
      </c>
      <c r="P7" s="517">
        <f t="shared" si="4"/>
        <v>1693.8029137187987</v>
      </c>
      <c r="Q7" s="517">
        <f t="shared" si="4"/>
        <v>1410.0471247118548</v>
      </c>
      <c r="R7" s="517">
        <f t="shared" si="4"/>
        <v>1126.291335704911</v>
      </c>
      <c r="S7" s="517">
        <f t="shared" si="4"/>
        <v>0</v>
      </c>
      <c r="T7" s="517">
        <f t="shared" si="4"/>
        <v>0</v>
      </c>
      <c r="U7" s="514">
        <f t="shared" si="4"/>
        <v>0</v>
      </c>
      <c r="V7" s="514">
        <f t="shared" si="4"/>
        <v>0</v>
      </c>
      <c r="W7" s="514">
        <f t="shared" si="4"/>
        <v>0</v>
      </c>
      <c r="X7" s="514">
        <f t="shared" ref="X7:X25" si="5">+SLOPE(K7:W7,K$5:W$5)</f>
        <v>-134.16836701473517</v>
      </c>
      <c r="Y7" s="518">
        <f t="shared" ref="Y7:Y25" si="6">+K7*$P$2*365/1000</f>
        <v>7.361257435680356</v>
      </c>
      <c r="Z7" s="518">
        <f t="shared" ref="Z7:Z25" si="7">+L7*$P$2*365/1000</f>
        <v>6.4757265571369373</v>
      </c>
      <c r="AA7" s="518">
        <f t="shared" ref="AA7:AA25" si="8">+M7*$P$2*365/1000</f>
        <v>5.8853726381078681</v>
      </c>
      <c r="AB7" s="518">
        <f t="shared" ref="AB7:AB25" si="9">+N7*$P$2*365/1000</f>
        <v>5.2950187190789215</v>
      </c>
      <c r="AC7" s="518">
        <f t="shared" ref="AC7:AC25" si="10">+O7*$P$2*365/1000</f>
        <v>4.4094878405355011</v>
      </c>
      <c r="AD7" s="518">
        <f t="shared" ref="AD7:AD25" si="11">+P7*$P$2*365/1000</f>
        <v>3.5239569619919613</v>
      </c>
      <c r="AE7" s="518">
        <f t="shared" ref="AE7:AE25" si="12">+Q7*$P$2*365/1000</f>
        <v>2.9336030429630142</v>
      </c>
      <c r="AF7" s="518">
        <f t="shared" ref="AF7:AF25" si="13">+R7*$P$2*365/1000</f>
        <v>2.3432491239340676</v>
      </c>
      <c r="AG7" s="518"/>
      <c r="AH7" s="518"/>
      <c r="AI7" s="518"/>
      <c r="AJ7" s="518"/>
      <c r="AK7" s="518"/>
      <c r="AL7" s="519">
        <f t="shared" ref="AL7:AL25" si="14">+SLOPE(Y7:AK7,Y$5:AK$5)</f>
        <v>-0.29517695951448913</v>
      </c>
      <c r="AM7" t="s">
        <v>840</v>
      </c>
      <c r="AP7" s="544" t="s">
        <v>925</v>
      </c>
      <c r="AQ7" s="537">
        <f>+J8+J9+J10+J11+J12</f>
        <v>360.53999999999996</v>
      </c>
      <c r="AR7" s="537">
        <f t="shared" ref="AR7:BD7" si="15">+Y8+Y9+Y10+Y11+Y12</f>
        <v>301.36815227622213</v>
      </c>
      <c r="AS7" s="538">
        <f t="shared" si="15"/>
        <v>242.4264960500318</v>
      </c>
      <c r="AT7" s="538">
        <f t="shared" si="15"/>
        <v>171.85349200804063</v>
      </c>
      <c r="AU7" s="538">
        <f t="shared" si="15"/>
        <v>144.12763630355897</v>
      </c>
      <c r="AV7" s="538">
        <f t="shared" si="15"/>
        <v>105.8236587820916</v>
      </c>
      <c r="AW7" s="538">
        <f t="shared" si="15"/>
        <v>70.344739436893036</v>
      </c>
      <c r="AX7" s="538">
        <f t="shared" si="15"/>
        <v>40.133944941341369</v>
      </c>
      <c r="AY7" s="538">
        <f t="shared" si="15"/>
        <v>26.750010300979817</v>
      </c>
      <c r="AZ7" s="538">
        <f t="shared" si="15"/>
        <v>15.011164110721554</v>
      </c>
      <c r="BA7" s="538">
        <f t="shared" si="15"/>
        <v>11.223685114326383</v>
      </c>
      <c r="BB7" s="538">
        <f t="shared" si="15"/>
        <v>8.6986991167298644</v>
      </c>
      <c r="BC7" s="538">
        <f t="shared" si="15"/>
        <v>6.3213973707030426</v>
      </c>
      <c r="BD7" s="539">
        <f t="shared" si="15"/>
        <v>2.9625197140667652</v>
      </c>
      <c r="BE7">
        <f t="shared" si="3"/>
        <v>-9.382008134021282</v>
      </c>
    </row>
    <row r="8" spans="5:57" x14ac:dyDescent="0.25">
      <c r="E8" s="473" t="e" vm="2">
        <v>#VALUE!</v>
      </c>
      <c r="F8" s="474" t="s">
        <v>816</v>
      </c>
      <c r="G8" s="474" t="s">
        <v>850</v>
      </c>
      <c r="H8" s="474" t="s">
        <v>823</v>
      </c>
      <c r="I8" s="475" t="s">
        <v>851</v>
      </c>
      <c r="J8" s="517">
        <f>+C58</f>
        <v>3.84</v>
      </c>
      <c r="K8" s="517">
        <f>+AA58</f>
        <v>4827.9957140304614</v>
      </c>
      <c r="L8" s="517">
        <f t="shared" ref="L8:W8" si="16">+AB58</f>
        <v>2686.6182510862127</v>
      </c>
      <c r="M8" s="517">
        <f t="shared" si="16"/>
        <v>1259.0332757900469</v>
      </c>
      <c r="N8" s="517">
        <f t="shared" si="16"/>
        <v>0</v>
      </c>
      <c r="O8" s="517">
        <f t="shared" si="16"/>
        <v>0</v>
      </c>
      <c r="P8" s="517">
        <f t="shared" si="16"/>
        <v>0</v>
      </c>
      <c r="Q8" s="517">
        <f t="shared" si="16"/>
        <v>0</v>
      </c>
      <c r="R8" s="517">
        <f t="shared" si="16"/>
        <v>0</v>
      </c>
      <c r="S8" s="517">
        <f t="shared" si="16"/>
        <v>0</v>
      </c>
      <c r="T8" s="517">
        <f t="shared" si="16"/>
        <v>0</v>
      </c>
      <c r="U8" s="514">
        <f t="shared" si="16"/>
        <v>0</v>
      </c>
      <c r="V8" s="514">
        <f t="shared" si="16"/>
        <v>0</v>
      </c>
      <c r="W8" s="514">
        <f t="shared" si="16"/>
        <v>0</v>
      </c>
      <c r="X8" s="514">
        <f t="shared" si="5"/>
        <v>-104.31466857775084</v>
      </c>
      <c r="Y8" s="518">
        <f t="shared" si="6"/>
        <v>10.044645083040376</v>
      </c>
      <c r="Z8" s="518">
        <f t="shared" si="7"/>
        <v>5.5895092713848653</v>
      </c>
      <c r="AA8" s="518">
        <f t="shared" si="8"/>
        <v>2.6194187302811924</v>
      </c>
      <c r="AB8" s="518"/>
      <c r="AC8" s="518"/>
      <c r="AD8" s="518"/>
      <c r="AE8" s="518"/>
      <c r="AF8" s="518"/>
      <c r="AG8" s="518"/>
      <c r="AH8" s="518"/>
      <c r="AI8" s="518"/>
      <c r="AJ8" s="518"/>
      <c r="AK8" s="518"/>
      <c r="AL8" s="519">
        <f t="shared" si="14"/>
        <v>-1.4850452705518367</v>
      </c>
      <c r="AM8" t="s">
        <v>851</v>
      </c>
      <c r="AP8" s="545" t="s">
        <v>927</v>
      </c>
      <c r="AQ8" s="537">
        <f>+J13+J14+J15+J16+J17</f>
        <v>1300.8399999999997</v>
      </c>
      <c r="AR8" s="537">
        <f t="shared" ref="AR8:BD8" si="17">+Y13+Y14+Y15+Y16+Y17</f>
        <v>608.13099036155506</v>
      </c>
      <c r="AS8" s="538">
        <f t="shared" si="17"/>
        <v>522.49516194613284</v>
      </c>
      <c r="AT8" s="538">
        <f t="shared" si="17"/>
        <v>465.4046096691859</v>
      </c>
      <c r="AU8" s="538">
        <f t="shared" si="17"/>
        <v>408.31405739223914</v>
      </c>
      <c r="AV8" s="538">
        <f t="shared" si="17"/>
        <v>322.94891794545288</v>
      </c>
      <c r="AW8" s="538">
        <f t="shared" si="17"/>
        <v>238.8461909306553</v>
      </c>
      <c r="AX8" s="538">
        <f t="shared" si="17"/>
        <v>182.7777062541233</v>
      </c>
      <c r="AY8" s="538">
        <f t="shared" si="17"/>
        <v>108.5477198417107</v>
      </c>
      <c r="AZ8" s="538">
        <f t="shared" si="17"/>
        <v>81.980543736094816</v>
      </c>
      <c r="BA8" s="538">
        <f t="shared" si="17"/>
        <v>69.118940327005319</v>
      </c>
      <c r="BB8" s="538">
        <f t="shared" si="17"/>
        <v>57.053872779304349</v>
      </c>
      <c r="BC8" s="538">
        <f t="shared" si="17"/>
        <v>51.833914283484027</v>
      </c>
      <c r="BD8" s="539">
        <f t="shared" si="17"/>
        <v>40.640370330935419</v>
      </c>
      <c r="BE8">
        <f t="shared" si="3"/>
        <v>-19.949111557879402</v>
      </c>
    </row>
    <row r="9" spans="5:57" ht="30" x14ac:dyDescent="0.25">
      <c r="E9" s="473" t="e" vm="3">
        <v>#VALUE!</v>
      </c>
      <c r="F9" s="474" t="s">
        <v>816</v>
      </c>
      <c r="G9" s="474" t="s">
        <v>822</v>
      </c>
      <c r="H9" s="474" t="s">
        <v>823</v>
      </c>
      <c r="I9" s="475" t="s">
        <v>824</v>
      </c>
      <c r="J9" s="517">
        <f>+C48+C49+C50</f>
        <v>181.95999999999998</v>
      </c>
      <c r="K9" s="517">
        <f>+AA48+AA49+AA50</f>
        <v>57199.273556603264</v>
      </c>
      <c r="L9" s="517">
        <f t="shared" ref="L9:W9" si="18">+AB48+AB49+AB50</f>
        <v>48216.942760049453</v>
      </c>
      <c r="M9" s="517">
        <f t="shared" si="18"/>
        <v>42228.72222901287</v>
      </c>
      <c r="N9" s="517">
        <f t="shared" si="18"/>
        <v>36240.501697976375</v>
      </c>
      <c r="O9" s="517">
        <f t="shared" si="18"/>
        <v>27258.170901422563</v>
      </c>
      <c r="P9" s="517">
        <f t="shared" si="18"/>
        <v>18275.840104868665</v>
      </c>
      <c r="Q9" s="517">
        <f t="shared" si="18"/>
        <v>9120.5378289312648</v>
      </c>
      <c r="R9" s="517">
        <f t="shared" si="18"/>
        <v>8053.1278169640864</v>
      </c>
      <c r="S9" s="517">
        <f t="shared" si="18"/>
        <v>6452.0127990135225</v>
      </c>
      <c r="T9" s="517">
        <f t="shared" si="18"/>
        <v>4850.897781062813</v>
      </c>
      <c r="U9" s="514">
        <f t="shared" si="18"/>
        <v>3783.4877690957801</v>
      </c>
      <c r="V9" s="514">
        <f t="shared" si="18"/>
        <v>2787.0627374554751</v>
      </c>
      <c r="W9" s="514">
        <f t="shared" si="18"/>
        <v>1391.9565345775336</v>
      </c>
      <c r="X9" s="514">
        <f t="shared" si="5"/>
        <v>-1905.9730485977291</v>
      </c>
      <c r="Y9" s="518">
        <f t="shared" si="6"/>
        <v>119.00308863451311</v>
      </c>
      <c r="Z9" s="518">
        <f t="shared" si="7"/>
        <v>100.31534941228288</v>
      </c>
      <c r="AA9" s="518">
        <f t="shared" si="8"/>
        <v>87.856856597461288</v>
      </c>
      <c r="AB9" s="518">
        <f t="shared" si="9"/>
        <v>75.398363782639848</v>
      </c>
      <c r="AC9" s="518">
        <f t="shared" si="10"/>
        <v>56.710624560409649</v>
      </c>
      <c r="AD9" s="518">
        <f t="shared" si="11"/>
        <v>38.022885338179258</v>
      </c>
      <c r="AE9" s="518">
        <f t="shared" si="12"/>
        <v>18.975278953091497</v>
      </c>
      <c r="AF9" s="518">
        <f t="shared" si="13"/>
        <v>16.754532423193783</v>
      </c>
      <c r="AG9" s="518">
        <f t="shared" ref="AG9:AG25" si="19">+S9*$P$2*365/1000</f>
        <v>13.423412628347632</v>
      </c>
      <c r="AH9" s="518">
        <f t="shared" ref="AH9:AH25" si="20">+T9*$P$2*365/1000</f>
        <v>10.092292833501183</v>
      </c>
      <c r="AI9" s="518">
        <f t="shared" ref="AI9:AI25" si="21">+U9*$P$2*365/1000</f>
        <v>7.8715463036037701</v>
      </c>
      <c r="AJ9" s="518">
        <f t="shared" ref="AJ9:AJ25" si="22">+V9*$P$2*365/1000</f>
        <v>5.7984840252761156</v>
      </c>
      <c r="AK9" s="518">
        <f t="shared" ref="AK9:AK25" si="23">+W9*$P$2*365/1000</f>
        <v>2.8959655701885585</v>
      </c>
      <c r="AL9" s="519">
        <f t="shared" si="14"/>
        <v>-3.9653769276075757</v>
      </c>
      <c r="AM9" t="s">
        <v>824</v>
      </c>
      <c r="AP9" s="545" t="s">
        <v>928</v>
      </c>
      <c r="AQ9" s="537">
        <f>+J18</f>
        <v>7.3</v>
      </c>
      <c r="AR9" s="537">
        <f t="shared" ref="AR9:AZ9" si="24">+Y18</f>
        <v>3.8691863439810894</v>
      </c>
      <c r="AS9" s="538">
        <f t="shared" si="24"/>
        <v>3.4185516111034171</v>
      </c>
      <c r="AT9" s="538">
        <f t="shared" si="24"/>
        <v>3.1181284558516555</v>
      </c>
      <c r="AU9" s="538">
        <f t="shared" si="24"/>
        <v>2.8177053005998336</v>
      </c>
      <c r="AV9" s="538">
        <f t="shared" si="24"/>
        <v>2.3670705677222217</v>
      </c>
      <c r="AW9" s="538">
        <f t="shared" si="24"/>
        <v>1.9164358348445492</v>
      </c>
      <c r="AX9" s="538">
        <f t="shared" si="24"/>
        <v>1.616012679592727</v>
      </c>
      <c r="AY9" s="538">
        <f t="shared" si="24"/>
        <v>1.3155895243409652</v>
      </c>
      <c r="AZ9" s="538">
        <f t="shared" si="24"/>
        <v>0.86495479146329268</v>
      </c>
      <c r="BA9" s="538"/>
      <c r="BB9" s="538"/>
      <c r="BC9" s="538"/>
      <c r="BD9" s="539"/>
      <c r="BE9">
        <f t="shared" si="3"/>
        <v>-0.15021157762588969</v>
      </c>
    </row>
    <row r="10" spans="5:57" x14ac:dyDescent="0.25">
      <c r="E10" s="473" t="e" vm="3">
        <v>#VALUE!</v>
      </c>
      <c r="F10" s="474" t="s">
        <v>816</v>
      </c>
      <c r="G10" s="474" t="s">
        <v>825</v>
      </c>
      <c r="H10" s="474" t="s">
        <v>823</v>
      </c>
      <c r="I10" s="475" t="s">
        <v>826</v>
      </c>
      <c r="J10" s="517">
        <f>+C51+C52</f>
        <v>27.95</v>
      </c>
      <c r="K10" s="517">
        <f>+AA51+AA52</f>
        <v>28513.982927143341</v>
      </c>
      <c r="L10" s="517">
        <f t="shared" ref="L10:W10" si="25">+AB51+AB52</f>
        <v>20426.088212779025</v>
      </c>
      <c r="M10" s="517">
        <f t="shared" si="25"/>
        <v>0</v>
      </c>
      <c r="N10" s="517">
        <f t="shared" si="25"/>
        <v>0</v>
      </c>
      <c r="O10" s="517">
        <f t="shared" si="25"/>
        <v>0</v>
      </c>
      <c r="P10" s="517">
        <f t="shared" si="25"/>
        <v>0</v>
      </c>
      <c r="Q10" s="517">
        <f t="shared" si="25"/>
        <v>0</v>
      </c>
      <c r="R10" s="517">
        <f t="shared" si="25"/>
        <v>0</v>
      </c>
      <c r="S10" s="517">
        <f t="shared" si="25"/>
        <v>0</v>
      </c>
      <c r="T10" s="517">
        <f t="shared" si="25"/>
        <v>0</v>
      </c>
      <c r="U10" s="514">
        <f t="shared" si="25"/>
        <v>0</v>
      </c>
      <c r="V10" s="514">
        <f t="shared" si="25"/>
        <v>0</v>
      </c>
      <c r="W10" s="514">
        <f t="shared" si="25"/>
        <v>0</v>
      </c>
      <c r="X10" s="514">
        <f t="shared" si="5"/>
        <v>-598.59679934208043</v>
      </c>
      <c r="Y10" s="518">
        <f t="shared" si="6"/>
        <v>59.323341479921723</v>
      </c>
      <c r="Z10" s="518">
        <f t="shared" si="7"/>
        <v>42.496476526686763</v>
      </c>
      <c r="AA10" s="518"/>
      <c r="AB10" s="518"/>
      <c r="AC10" s="518"/>
      <c r="AD10" s="518"/>
      <c r="AE10" s="518"/>
      <c r="AF10" s="518"/>
      <c r="AG10" s="518"/>
      <c r="AH10" s="518"/>
      <c r="AI10" s="518"/>
      <c r="AJ10" s="518"/>
      <c r="AK10" s="518"/>
      <c r="AL10" s="519">
        <f t="shared" si="14"/>
        <v>-5.6089549844116533</v>
      </c>
      <c r="AM10" t="s">
        <v>826</v>
      </c>
      <c r="AP10" s="545" t="s">
        <v>930</v>
      </c>
      <c r="AQ10" s="537">
        <f>+J19+J21+J22</f>
        <v>179.83</v>
      </c>
      <c r="AR10" s="537">
        <f t="shared" ref="AR10:BC10" si="26">+Y19+Y21+Y22</f>
        <v>120.10488082771383</v>
      </c>
      <c r="AS10" s="538">
        <f t="shared" si="26"/>
        <v>102.2710976328155</v>
      </c>
      <c r="AT10" s="538">
        <f t="shared" si="26"/>
        <v>90.38190883621688</v>
      </c>
      <c r="AU10" s="538">
        <f t="shared" si="26"/>
        <v>78.492720039619002</v>
      </c>
      <c r="AV10" s="538">
        <f t="shared" si="26"/>
        <v>60.658936844720685</v>
      </c>
      <c r="AW10" s="538">
        <f t="shared" si="26"/>
        <v>42.82515364982315</v>
      </c>
      <c r="AX10" s="538">
        <f t="shared" si="26"/>
        <v>29.271790257160674</v>
      </c>
      <c r="AY10" s="538">
        <f t="shared" si="26"/>
        <v>19.864940326937376</v>
      </c>
      <c r="AZ10" s="538">
        <f t="shared" si="26"/>
        <v>13.68927126234288</v>
      </c>
      <c r="BA10" s="538">
        <f t="shared" si="26"/>
        <v>9.6070650611223698</v>
      </c>
      <c r="BB10" s="538">
        <f t="shared" si="26"/>
        <v>6.8855942603083893</v>
      </c>
      <c r="BC10" s="538">
        <f t="shared" si="26"/>
        <v>4.1641234594948973</v>
      </c>
      <c r="BD10" s="539"/>
      <c r="BE10">
        <f t="shared" si="3"/>
        <v>-4.4565773241322679</v>
      </c>
    </row>
    <row r="11" spans="5:57" ht="15.75" x14ac:dyDescent="0.25">
      <c r="E11" s="473" t="e" vm="3">
        <v>#VALUE!</v>
      </c>
      <c r="F11" s="474" t="s">
        <v>816</v>
      </c>
      <c r="G11" s="474" t="s">
        <v>827</v>
      </c>
      <c r="H11" s="474" t="s">
        <v>823</v>
      </c>
      <c r="I11" s="475" t="s">
        <v>828</v>
      </c>
      <c r="J11" s="517">
        <f>+C62+C63</f>
        <v>130.80000000000001</v>
      </c>
      <c r="K11" s="517">
        <f>+AA62+AA63</f>
        <v>48633.343378444086</v>
      </c>
      <c r="L11" s="517">
        <f t="shared" ref="L11:W11" si="27">+AB62+AB63</f>
        <v>40676.95037223761</v>
      </c>
      <c r="M11" s="517">
        <f t="shared" si="27"/>
        <v>35372.688368100266</v>
      </c>
      <c r="N11" s="517">
        <f t="shared" si="27"/>
        <v>30068.426363962935</v>
      </c>
      <c r="O11" s="517">
        <f t="shared" si="27"/>
        <v>22112.03335775646</v>
      </c>
      <c r="P11" s="517">
        <f t="shared" si="27"/>
        <v>14260.641422443092</v>
      </c>
      <c r="Q11" s="517">
        <f t="shared" si="27"/>
        <v>9041.2476984513924</v>
      </c>
      <c r="R11" s="517">
        <f t="shared" si="27"/>
        <v>3821.8539744596928</v>
      </c>
      <c r="S11" s="517">
        <f t="shared" si="27"/>
        <v>0</v>
      </c>
      <c r="T11" s="517">
        <f t="shared" si="27"/>
        <v>0</v>
      </c>
      <c r="U11" s="514">
        <f t="shared" si="27"/>
        <v>0</v>
      </c>
      <c r="V11" s="514">
        <f t="shared" si="27"/>
        <v>0</v>
      </c>
      <c r="W11" s="514">
        <f t="shared" si="27"/>
        <v>0</v>
      </c>
      <c r="X11" s="514">
        <f t="shared" si="5"/>
        <v>-1728.9462557126046</v>
      </c>
      <c r="Y11" s="518">
        <f t="shared" si="6"/>
        <v>101.18167089885293</v>
      </c>
      <c r="Z11" s="518">
        <f t="shared" si="7"/>
        <v>84.628395249440345</v>
      </c>
      <c r="AA11" s="518">
        <f t="shared" si="8"/>
        <v>73.5928781498326</v>
      </c>
      <c r="AB11" s="518">
        <f t="shared" si="9"/>
        <v>62.557361050224884</v>
      </c>
      <c r="AC11" s="518">
        <f t="shared" si="10"/>
        <v>46.004085400812315</v>
      </c>
      <c r="AD11" s="518">
        <f t="shared" si="11"/>
        <v>29.669264479392854</v>
      </c>
      <c r="AE11" s="518">
        <f t="shared" si="12"/>
        <v>18.810315836628124</v>
      </c>
      <c r="AF11" s="518">
        <f t="shared" si="13"/>
        <v>7.9513671938633914</v>
      </c>
      <c r="AG11" s="518">
        <f t="shared" si="19"/>
        <v>0</v>
      </c>
      <c r="AH11" s="518"/>
      <c r="AI11" s="518"/>
      <c r="AJ11" s="518"/>
      <c r="AK11" s="518"/>
      <c r="AL11" s="519">
        <f t="shared" si="14"/>
        <v>-5.2489972859455927</v>
      </c>
      <c r="AM11" t="s">
        <v>828</v>
      </c>
      <c r="AP11" s="546" t="s">
        <v>929</v>
      </c>
      <c r="AQ11" s="540">
        <f>+J23+J24+J25</f>
        <v>51.86</v>
      </c>
      <c r="AR11" s="540">
        <f t="shared" ref="AR11:BD11" si="28">+Y23+Y24+Y25</f>
        <v>22.745366925853645</v>
      </c>
      <c r="AS11" s="541">
        <f t="shared" si="28"/>
        <v>20.041242648559983</v>
      </c>
      <c r="AT11" s="541">
        <f t="shared" si="28"/>
        <v>18.238493130364368</v>
      </c>
      <c r="AU11" s="541">
        <f t="shared" si="28"/>
        <v>16.435743612168579</v>
      </c>
      <c r="AV11" s="541">
        <f t="shared" si="28"/>
        <v>13.731619334875035</v>
      </c>
      <c r="AW11" s="541">
        <f t="shared" si="28"/>
        <v>11.226900362824599</v>
      </c>
      <c r="AX11" s="541">
        <f t="shared" si="28"/>
        <v>9.6970968264457511</v>
      </c>
      <c r="AY11" s="541">
        <f t="shared" si="28"/>
        <v>8.1672932900669633</v>
      </c>
      <c r="AZ11" s="541">
        <f t="shared" si="28"/>
        <v>5.9100822889242215</v>
      </c>
      <c r="BA11" s="541">
        <f t="shared" si="28"/>
        <v>4.5094031449974228</v>
      </c>
      <c r="BB11" s="541">
        <f t="shared" si="28"/>
        <v>3.5362145742389126</v>
      </c>
      <c r="BC11" s="541">
        <f t="shared" si="28"/>
        <v>2.6600653984253664</v>
      </c>
      <c r="BD11" s="542">
        <f t="shared" si="28"/>
        <v>1.345841634704988</v>
      </c>
      <c r="BE11">
        <f t="shared" si="3"/>
        <v>-0.72707065395261417</v>
      </c>
    </row>
    <row r="12" spans="5:57" ht="15.75" x14ac:dyDescent="0.25">
      <c r="E12" s="473" t="e" vm="3">
        <v>#VALUE!</v>
      </c>
      <c r="F12" s="474" t="s">
        <v>816</v>
      </c>
      <c r="G12" s="474" t="s">
        <v>827</v>
      </c>
      <c r="H12" s="474" t="s">
        <v>823</v>
      </c>
      <c r="I12" s="475" t="s">
        <v>829</v>
      </c>
      <c r="J12" s="517">
        <f>+C56+C57</f>
        <v>15.989999999999998</v>
      </c>
      <c r="K12" s="517">
        <f>+AA56+AA57</f>
        <v>5679.11856760105</v>
      </c>
      <c r="L12" s="517">
        <f t="shared" ref="L12:W12" si="29">+AB56+AB57</f>
        <v>4516.5900457759853</v>
      </c>
      <c r="M12" s="517">
        <f t="shared" si="29"/>
        <v>3741.5710312259325</v>
      </c>
      <c r="N12" s="517">
        <f t="shared" si="29"/>
        <v>2966.5520166759088</v>
      </c>
      <c r="O12" s="517">
        <f t="shared" si="29"/>
        <v>1494.3277197162388</v>
      </c>
      <c r="P12" s="517">
        <f t="shared" si="29"/>
        <v>1274.9769859749649</v>
      </c>
      <c r="Q12" s="517">
        <f t="shared" si="29"/>
        <v>1128.7431634807726</v>
      </c>
      <c r="R12" s="517">
        <f t="shared" si="29"/>
        <v>982.50934098660946</v>
      </c>
      <c r="S12" s="517">
        <f t="shared" si="29"/>
        <v>763.15860724533559</v>
      </c>
      <c r="T12" s="517">
        <f t="shared" si="29"/>
        <v>543.80787350406172</v>
      </c>
      <c r="U12" s="514">
        <f t="shared" si="29"/>
        <v>397.57405100989854</v>
      </c>
      <c r="V12" s="514">
        <f t="shared" si="29"/>
        <v>251.34022851570626</v>
      </c>
      <c r="W12" s="514">
        <f t="shared" si="29"/>
        <v>31.989494774432387</v>
      </c>
      <c r="X12" s="514">
        <f t="shared" si="5"/>
        <v>-171.66604777525708</v>
      </c>
      <c r="Y12" s="518">
        <f t="shared" si="6"/>
        <v>11.815406179893985</v>
      </c>
      <c r="Z12" s="518">
        <f t="shared" si="7"/>
        <v>9.3967655902369387</v>
      </c>
      <c r="AA12" s="518">
        <f t="shared" si="8"/>
        <v>7.7843385304655532</v>
      </c>
      <c r="AB12" s="518">
        <f t="shared" si="9"/>
        <v>6.1719114706942282</v>
      </c>
      <c r="AC12" s="518">
        <f t="shared" si="10"/>
        <v>3.1089488208696352</v>
      </c>
      <c r="AD12" s="518">
        <f t="shared" si="11"/>
        <v>2.6525896193209144</v>
      </c>
      <c r="AE12" s="518">
        <f t="shared" si="12"/>
        <v>2.3483501516217475</v>
      </c>
      <c r="AF12" s="518">
        <f t="shared" si="13"/>
        <v>2.0441106839226411</v>
      </c>
      <c r="AG12" s="518">
        <f t="shared" si="19"/>
        <v>1.5877514823739207</v>
      </c>
      <c r="AH12" s="518">
        <f t="shared" si="20"/>
        <v>1.1313922808252004</v>
      </c>
      <c r="AI12" s="518">
        <f t="shared" si="21"/>
        <v>0.8271528131260939</v>
      </c>
      <c r="AJ12" s="518">
        <f t="shared" si="22"/>
        <v>0.52291334542692691</v>
      </c>
      <c r="AK12" s="518">
        <f t="shared" si="23"/>
        <v>6.6554143878206573E-2</v>
      </c>
      <c r="AL12" s="519">
        <f t="shared" si="14"/>
        <v>-0.35715121239642228</v>
      </c>
      <c r="AM12" t="s">
        <v>829</v>
      </c>
      <c r="AP12" s="524"/>
    </row>
    <row r="13" spans="5:57" x14ac:dyDescent="0.25">
      <c r="E13" s="473" t="e" vm="4">
        <v>#VALUE!</v>
      </c>
      <c r="F13" s="474" t="s">
        <v>816</v>
      </c>
      <c r="G13" s="474" t="s">
        <v>841</v>
      </c>
      <c r="H13" s="474" t="s">
        <v>823</v>
      </c>
      <c r="I13" s="475" t="s">
        <v>842</v>
      </c>
      <c r="J13" s="517">
        <f>+C64</f>
        <v>272.89999999999998</v>
      </c>
      <c r="K13" s="517">
        <f>+AA64</f>
        <v>101621.62162162177</v>
      </c>
      <c r="L13" s="517">
        <f t="shared" ref="L13:W13" si="30">+AB64</f>
        <v>84756.756756756455</v>
      </c>
      <c r="M13" s="517">
        <f t="shared" si="30"/>
        <v>73513.513513512909</v>
      </c>
      <c r="N13" s="517">
        <f t="shared" si="30"/>
        <v>62270.270270269364</v>
      </c>
      <c r="O13" s="517">
        <f t="shared" si="30"/>
        <v>45405.405405405909</v>
      </c>
      <c r="P13" s="517">
        <f t="shared" si="30"/>
        <v>28540.540540540591</v>
      </c>
      <c r="Q13" s="517">
        <f t="shared" si="30"/>
        <v>17297.297297297046</v>
      </c>
      <c r="R13" s="517">
        <f t="shared" si="30"/>
        <v>0</v>
      </c>
      <c r="S13" s="517">
        <f t="shared" si="30"/>
        <v>0</v>
      </c>
      <c r="T13" s="517">
        <f t="shared" si="30"/>
        <v>0</v>
      </c>
      <c r="U13" s="514">
        <f t="shared" si="30"/>
        <v>0</v>
      </c>
      <c r="V13" s="514">
        <f t="shared" si="30"/>
        <v>0</v>
      </c>
      <c r="W13" s="514">
        <f t="shared" si="30"/>
        <v>0</v>
      </c>
      <c r="X13" s="514">
        <f t="shared" si="5"/>
        <v>-3611.0416466288243</v>
      </c>
      <c r="Y13" s="518">
        <f t="shared" si="6"/>
        <v>211.4237837837841</v>
      </c>
      <c r="Z13" s="518">
        <f t="shared" si="7"/>
        <v>176.33643243243182</v>
      </c>
      <c r="AA13" s="518">
        <f t="shared" si="8"/>
        <v>152.94486486486363</v>
      </c>
      <c r="AB13" s="518">
        <f t="shared" si="9"/>
        <v>129.55329729729542</v>
      </c>
      <c r="AC13" s="518">
        <f t="shared" si="10"/>
        <v>94.465945945946999</v>
      </c>
      <c r="AD13" s="518">
        <f t="shared" si="11"/>
        <v>59.378594594594702</v>
      </c>
      <c r="AE13" s="518">
        <f t="shared" si="12"/>
        <v>35.9870270270265</v>
      </c>
      <c r="AF13" s="518"/>
      <c r="AG13" s="518"/>
      <c r="AH13" s="518"/>
      <c r="AI13" s="518"/>
      <c r="AJ13" s="518"/>
      <c r="AK13" s="518"/>
      <c r="AL13" s="519">
        <f t="shared" si="14"/>
        <v>-11.695783783783762</v>
      </c>
      <c r="AM13" t="s">
        <v>842</v>
      </c>
      <c r="AR13" s="291">
        <f>+SUM(AR6:BD11)</f>
        <v>5175.1741990991441</v>
      </c>
    </row>
    <row r="14" spans="5:57" ht="25.5" x14ac:dyDescent="0.25">
      <c r="E14" s="473" t="e" vm="4">
        <v>#VALUE!</v>
      </c>
      <c r="F14" s="474" t="s">
        <v>816</v>
      </c>
      <c r="G14" s="474" t="s">
        <v>843</v>
      </c>
      <c r="H14" s="474" t="s">
        <v>823</v>
      </c>
      <c r="I14" s="475" t="s">
        <v>844</v>
      </c>
      <c r="J14" s="517">
        <f>+C43+C42+C44</f>
        <v>697.95999999999992</v>
      </c>
      <c r="K14" s="517">
        <f>+AA43+AA42+AA44</f>
        <v>104196.74339982207</v>
      </c>
      <c r="L14" s="517">
        <f t="shared" ref="L14:W14" si="31">+AB43+AB42+AB44</f>
        <v>91549.650787922772</v>
      </c>
      <c r="M14" s="517">
        <f t="shared" si="31"/>
        <v>83118.25571332348</v>
      </c>
      <c r="N14" s="517">
        <f t="shared" si="31"/>
        <v>74686.860638724189</v>
      </c>
      <c r="O14" s="517">
        <f t="shared" si="31"/>
        <v>62039.768026825594</v>
      </c>
      <c r="P14" s="517">
        <f t="shared" si="31"/>
        <v>49392.675414926314</v>
      </c>
      <c r="Q14" s="517">
        <f t="shared" si="31"/>
        <v>40961.280340327015</v>
      </c>
      <c r="R14" s="517">
        <f t="shared" si="31"/>
        <v>29854.546512339461</v>
      </c>
      <c r="S14" s="517">
        <f t="shared" si="31"/>
        <v>27470.868534586669</v>
      </c>
      <c r="T14" s="517">
        <f t="shared" si="31"/>
        <v>25050.419885017211</v>
      </c>
      <c r="U14" s="514">
        <f t="shared" si="31"/>
        <v>23474.28389575053</v>
      </c>
      <c r="V14" s="514">
        <f t="shared" si="31"/>
        <v>21898.14790648385</v>
      </c>
      <c r="W14" s="514">
        <f t="shared" si="31"/>
        <v>19533.943922583712</v>
      </c>
      <c r="X14" s="514">
        <f t="shared" si="5"/>
        <v>-2945.9181727825594</v>
      </c>
      <c r="Y14" s="518">
        <f t="shared" si="6"/>
        <v>216.78132464332984</v>
      </c>
      <c r="Z14" s="518">
        <f t="shared" si="7"/>
        <v>190.46904846427333</v>
      </c>
      <c r="AA14" s="518">
        <f t="shared" si="8"/>
        <v>172.92753101156953</v>
      </c>
      <c r="AB14" s="518">
        <f t="shared" si="9"/>
        <v>155.38601355886567</v>
      </c>
      <c r="AC14" s="518">
        <f t="shared" si="10"/>
        <v>129.07373737981067</v>
      </c>
      <c r="AD14" s="518">
        <f t="shared" si="11"/>
        <v>102.7614612007542</v>
      </c>
      <c r="AE14" s="518">
        <f t="shared" si="12"/>
        <v>85.219943748050355</v>
      </c>
      <c r="AF14" s="518">
        <f t="shared" si="13"/>
        <v>62.112384018922256</v>
      </c>
      <c r="AG14" s="518">
        <f t="shared" si="19"/>
        <v>57.153141986207565</v>
      </c>
      <c r="AH14" s="518">
        <f t="shared" si="20"/>
        <v>52.117398570778313</v>
      </c>
      <c r="AI14" s="518">
        <f t="shared" si="21"/>
        <v>48.838247645108986</v>
      </c>
      <c r="AJ14" s="518">
        <f t="shared" si="22"/>
        <v>45.559096719439651</v>
      </c>
      <c r="AK14" s="518">
        <f t="shared" si="23"/>
        <v>40.640370330935419</v>
      </c>
      <c r="AL14" s="519">
        <f t="shared" si="14"/>
        <v>-6.1289827584741143</v>
      </c>
      <c r="AM14" t="s">
        <v>844</v>
      </c>
    </row>
    <row r="15" spans="5:57" x14ac:dyDescent="0.25">
      <c r="E15" s="473" t="e" vm="4">
        <v>#VALUE!</v>
      </c>
      <c r="F15" s="474" t="s">
        <v>816</v>
      </c>
      <c r="G15" s="474" t="s">
        <v>845</v>
      </c>
      <c r="H15" s="474" t="s">
        <v>823</v>
      </c>
      <c r="I15" s="475" t="s">
        <v>846</v>
      </c>
      <c r="J15" s="517">
        <f>+C45+C46</f>
        <v>236.24</v>
      </c>
      <c r="K15" s="517">
        <f>+AA45+AA46</f>
        <v>68166.815655914135</v>
      </c>
      <c r="L15" s="517">
        <f t="shared" ref="L15:W15" si="32">+AB45+AB46</f>
        <v>58703.848843057407</v>
      </c>
      <c r="M15" s="517">
        <f t="shared" si="32"/>
        <v>52395.20430115331</v>
      </c>
      <c r="N15" s="517">
        <f t="shared" si="32"/>
        <v>46086.559759249212</v>
      </c>
      <c r="O15" s="517">
        <f t="shared" si="32"/>
        <v>36623.592946392484</v>
      </c>
      <c r="P15" s="517">
        <f t="shared" si="32"/>
        <v>27160.626133535523</v>
      </c>
      <c r="Q15" s="517">
        <f t="shared" si="32"/>
        <v>20851.981591630494</v>
      </c>
      <c r="R15" s="517">
        <f t="shared" si="32"/>
        <v>14543.337049726397</v>
      </c>
      <c r="S15" s="517">
        <f t="shared" si="32"/>
        <v>5606.7655319848564</v>
      </c>
      <c r="T15" s="517">
        <f t="shared" si="32"/>
        <v>3290.1269175105263</v>
      </c>
      <c r="U15" s="514">
        <f t="shared" si="32"/>
        <v>0</v>
      </c>
      <c r="V15" s="514">
        <f t="shared" si="32"/>
        <v>0</v>
      </c>
      <c r="W15" s="514">
        <f t="shared" si="32"/>
        <v>0</v>
      </c>
      <c r="X15" s="514">
        <f t="shared" si="5"/>
        <v>-2467.6073326872774</v>
      </c>
      <c r="Y15" s="518">
        <f t="shared" si="6"/>
        <v>141.82105997212938</v>
      </c>
      <c r="Z15" s="518">
        <f t="shared" si="7"/>
        <v>122.13335751798094</v>
      </c>
      <c r="AA15" s="518">
        <f t="shared" si="8"/>
        <v>109.00822254854945</v>
      </c>
      <c r="AB15" s="518">
        <f t="shared" si="9"/>
        <v>95.883087579117998</v>
      </c>
      <c r="AC15" s="518">
        <f t="shared" si="10"/>
        <v>76.195385124969576</v>
      </c>
      <c r="AD15" s="518">
        <f t="shared" si="11"/>
        <v>56.507682670820657</v>
      </c>
      <c r="AE15" s="518">
        <f t="shared" si="12"/>
        <v>43.382547701387246</v>
      </c>
      <c r="AF15" s="518">
        <f t="shared" si="13"/>
        <v>30.257412731955768</v>
      </c>
      <c r="AG15" s="518">
        <f t="shared" si="19"/>
        <v>11.664875689294496</v>
      </c>
      <c r="AH15" s="518">
        <f t="shared" si="20"/>
        <v>6.8451090518806508</v>
      </c>
      <c r="AI15" s="518"/>
      <c r="AJ15" s="518"/>
      <c r="AK15" s="518"/>
      <c r="AL15" s="519">
        <f t="shared" si="14"/>
        <v>-6.183690388691935</v>
      </c>
      <c r="AM15" t="s">
        <v>846</v>
      </c>
      <c r="BE15">
        <f>15*BE11</f>
        <v>-10.906059809289212</v>
      </c>
    </row>
    <row r="16" spans="5:57" x14ac:dyDescent="0.25">
      <c r="E16" s="473" t="e" vm="4">
        <v>#VALUE!</v>
      </c>
      <c r="F16" s="474" t="s">
        <v>816</v>
      </c>
      <c r="G16" s="474" t="s">
        <v>845</v>
      </c>
      <c r="H16" s="474" t="s">
        <v>823</v>
      </c>
      <c r="I16" s="475" t="s">
        <v>847</v>
      </c>
      <c r="J16" s="517">
        <f>+C36</f>
        <v>89.87</v>
      </c>
      <c r="K16" s="517">
        <f>+AA36</f>
        <v>15609.574506649165</v>
      </c>
      <c r="L16" s="517">
        <f t="shared" ref="L16:W16" si="33">+AB36</f>
        <v>14210.290029251133</v>
      </c>
      <c r="M16" s="517">
        <f t="shared" si="33"/>
        <v>13277.433710985701</v>
      </c>
      <c r="N16" s="517">
        <f t="shared" si="33"/>
        <v>12344.577392720385</v>
      </c>
      <c r="O16" s="517">
        <f t="shared" si="33"/>
        <v>10945.292915322352</v>
      </c>
      <c r="P16" s="517">
        <f t="shared" si="33"/>
        <v>9546.0084379243199</v>
      </c>
      <c r="Q16" s="517">
        <f t="shared" si="33"/>
        <v>8613.1521196590038</v>
      </c>
      <c r="R16" s="517">
        <f t="shared" si="33"/>
        <v>7680.2958013936877</v>
      </c>
      <c r="S16" s="517">
        <f t="shared" si="33"/>
        <v>6281.0113239956554</v>
      </c>
      <c r="T16" s="517">
        <f t="shared" si="33"/>
        <v>4881.7268465976231</v>
      </c>
      <c r="U16" s="514">
        <f t="shared" si="33"/>
        <v>3948.870528332307</v>
      </c>
      <c r="V16" s="514">
        <f t="shared" si="33"/>
        <v>3016.0142100669909</v>
      </c>
      <c r="W16" s="514">
        <f t="shared" si="33"/>
        <v>0</v>
      </c>
      <c r="X16" s="514">
        <f t="shared" si="5"/>
        <v>-488.0037338569021</v>
      </c>
      <c r="Y16" s="518">
        <f t="shared" si="6"/>
        <v>32.475719761083589</v>
      </c>
      <c r="Z16" s="518">
        <f t="shared" si="7"/>
        <v>29.56450840585698</v>
      </c>
      <c r="AA16" s="518">
        <f t="shared" si="8"/>
        <v>27.623700835705748</v>
      </c>
      <c r="AB16" s="518">
        <f t="shared" si="9"/>
        <v>25.68289326555476</v>
      </c>
      <c r="AC16" s="518">
        <f t="shared" si="10"/>
        <v>22.771681910328155</v>
      </c>
      <c r="AD16" s="518">
        <f t="shared" si="11"/>
        <v>19.860470555101546</v>
      </c>
      <c r="AE16" s="518">
        <f t="shared" si="12"/>
        <v>17.919662984950559</v>
      </c>
      <c r="AF16" s="518">
        <f t="shared" si="13"/>
        <v>15.97885541479957</v>
      </c>
      <c r="AG16" s="518">
        <f t="shared" si="19"/>
        <v>13.067644059572961</v>
      </c>
      <c r="AH16" s="518">
        <f t="shared" si="20"/>
        <v>10.156432704346354</v>
      </c>
      <c r="AI16" s="518">
        <f t="shared" si="21"/>
        <v>8.2156251341953652</v>
      </c>
      <c r="AJ16" s="518">
        <f t="shared" si="22"/>
        <v>6.2748175640443753</v>
      </c>
      <c r="AK16" s="518"/>
      <c r="AL16" s="519">
        <f t="shared" si="14"/>
        <v>-0.97040378507552527</v>
      </c>
      <c r="AM16" t="s">
        <v>847</v>
      </c>
      <c r="BE16" s="291">
        <f>+AR11+BE15</f>
        <v>11.839307116564433</v>
      </c>
    </row>
    <row r="17" spans="5:57" x14ac:dyDescent="0.25">
      <c r="E17" s="473" t="e" vm="4">
        <v>#VALUE!</v>
      </c>
      <c r="F17" s="474" t="s">
        <v>816</v>
      </c>
      <c r="G17" s="474" t="s">
        <v>848</v>
      </c>
      <c r="H17" s="474" t="s">
        <v>823</v>
      </c>
      <c r="I17" s="475" t="s">
        <v>849</v>
      </c>
      <c r="J17" s="517">
        <f>+C37+C38</f>
        <v>3.87</v>
      </c>
      <c r="K17" s="517">
        <f>+AA37+AA38</f>
        <v>2705.6487388743917</v>
      </c>
      <c r="L17" s="517">
        <f t="shared" ref="L17:W17" si="34">+AB37+AB38</f>
        <v>1918.6806659888607</v>
      </c>
      <c r="M17" s="517">
        <f t="shared" si="34"/>
        <v>1394.035284065154</v>
      </c>
      <c r="N17" s="517">
        <f t="shared" si="34"/>
        <v>869.38990214144724</v>
      </c>
      <c r="O17" s="517">
        <f t="shared" si="34"/>
        <v>212.52948060442577</v>
      </c>
      <c r="P17" s="517">
        <f t="shared" si="34"/>
        <v>162.45225156654487</v>
      </c>
      <c r="Q17" s="517">
        <f t="shared" si="34"/>
        <v>129.06743220795761</v>
      </c>
      <c r="R17" s="517">
        <f t="shared" si="34"/>
        <v>95.682612849370344</v>
      </c>
      <c r="S17" s="517">
        <f t="shared" si="34"/>
        <v>45.605383811489446</v>
      </c>
      <c r="T17" s="517">
        <f t="shared" si="34"/>
        <v>0</v>
      </c>
      <c r="U17" s="514">
        <f t="shared" si="34"/>
        <v>0</v>
      </c>
      <c r="V17" s="514">
        <f t="shared" si="34"/>
        <v>0</v>
      </c>
      <c r="W17" s="514">
        <f t="shared" si="34"/>
        <v>0</v>
      </c>
      <c r="X17" s="514">
        <f t="shared" si="5"/>
        <v>-76.043176952103508</v>
      </c>
      <c r="Y17" s="518">
        <f t="shared" si="6"/>
        <v>5.6291022012281715</v>
      </c>
      <c r="Z17" s="518">
        <f t="shared" si="7"/>
        <v>3.9918151255898247</v>
      </c>
      <c r="AA17" s="518">
        <f t="shared" si="8"/>
        <v>2.9002904084975532</v>
      </c>
      <c r="AB17" s="518">
        <f t="shared" si="9"/>
        <v>1.8087656914052812</v>
      </c>
      <c r="AC17" s="518">
        <f t="shared" si="10"/>
        <v>0.44216758439750781</v>
      </c>
      <c r="AD17" s="518">
        <f t="shared" si="11"/>
        <v>0.33798190938419664</v>
      </c>
      <c r="AE17" s="518">
        <f t="shared" si="12"/>
        <v>0.26852479270865581</v>
      </c>
      <c r="AF17" s="518">
        <f t="shared" si="13"/>
        <v>0.19906767603311501</v>
      </c>
      <c r="AG17" s="518">
        <f t="shared" si="19"/>
        <v>9.4882001019803791E-2</v>
      </c>
      <c r="AH17" s="518"/>
      <c r="AI17" s="518"/>
      <c r="AJ17" s="518"/>
      <c r="AK17" s="518"/>
      <c r="AL17" s="519">
        <f t="shared" si="14"/>
        <v>-0.27175577479231794</v>
      </c>
      <c r="AM17" t="s">
        <v>849</v>
      </c>
      <c r="BD17" s="291"/>
    </row>
    <row r="18" spans="5:57" x14ac:dyDescent="0.25">
      <c r="E18" s="473" t="e" vm="5">
        <v>#VALUE!</v>
      </c>
      <c r="F18" s="474" t="s">
        <v>816</v>
      </c>
      <c r="G18" s="474" t="s">
        <v>852</v>
      </c>
      <c r="H18" s="474" t="s">
        <v>853</v>
      </c>
      <c r="I18" s="475" t="s">
        <v>852</v>
      </c>
      <c r="J18" s="517">
        <f>+C61</f>
        <v>7.3</v>
      </c>
      <c r="K18" s="517">
        <f>+AA61</f>
        <v>1859.7386897289543</v>
      </c>
      <c r="L18" s="517">
        <f t="shared" ref="L18:W18" si="35">+AB61</f>
        <v>1643.1394429720822</v>
      </c>
      <c r="M18" s="517">
        <f t="shared" si="35"/>
        <v>1498.7399451341771</v>
      </c>
      <c r="N18" s="517">
        <f t="shared" si="35"/>
        <v>1354.3404472962429</v>
      </c>
      <c r="O18" s="517">
        <f t="shared" si="35"/>
        <v>1137.7412005393999</v>
      </c>
      <c r="P18" s="517">
        <f t="shared" si="35"/>
        <v>921.14195378252771</v>
      </c>
      <c r="Q18" s="517">
        <f t="shared" si="35"/>
        <v>776.74245594459353</v>
      </c>
      <c r="R18" s="517">
        <f t="shared" si="35"/>
        <v>632.34295810668846</v>
      </c>
      <c r="S18" s="517">
        <f t="shared" si="35"/>
        <v>415.74371134981629</v>
      </c>
      <c r="T18" s="517">
        <f t="shared" si="35"/>
        <v>199.14446459294413</v>
      </c>
      <c r="U18" s="514">
        <f t="shared" si="35"/>
        <v>0</v>
      </c>
      <c r="V18" s="514">
        <f t="shared" si="35"/>
        <v>0</v>
      </c>
      <c r="W18" s="514">
        <f t="shared" si="35"/>
        <v>0</v>
      </c>
      <c r="X18" s="514">
        <f t="shared" si="5"/>
        <v>-67.642621362871054</v>
      </c>
      <c r="Y18" s="518">
        <f t="shared" si="6"/>
        <v>3.8691863439810894</v>
      </c>
      <c r="Z18" s="518">
        <f t="shared" si="7"/>
        <v>3.4185516111034171</v>
      </c>
      <c r="AA18" s="518">
        <f t="shared" si="8"/>
        <v>3.1181284558516555</v>
      </c>
      <c r="AB18" s="518">
        <f t="shared" si="9"/>
        <v>2.8177053005998336</v>
      </c>
      <c r="AC18" s="518">
        <f t="shared" si="10"/>
        <v>2.3670705677222217</v>
      </c>
      <c r="AD18" s="518">
        <f t="shared" si="11"/>
        <v>1.9164358348445492</v>
      </c>
      <c r="AE18" s="518">
        <f t="shared" si="12"/>
        <v>1.616012679592727</v>
      </c>
      <c r="AF18" s="518">
        <f t="shared" si="13"/>
        <v>1.3155895243409652</v>
      </c>
      <c r="AG18" s="518">
        <f t="shared" si="19"/>
        <v>0.86495479146329268</v>
      </c>
      <c r="AH18" s="518">
        <f t="shared" si="20"/>
        <v>0.41432005858562032</v>
      </c>
      <c r="AI18" s="518"/>
      <c r="AJ18" s="518"/>
      <c r="AK18" s="518"/>
      <c r="AL18" s="519">
        <f t="shared" si="14"/>
        <v>-0.15021157762588988</v>
      </c>
      <c r="AM18" t="s">
        <v>852</v>
      </c>
      <c r="BE18" s="528"/>
    </row>
    <row r="19" spans="5:57" x14ac:dyDescent="0.25">
      <c r="E19" s="473" t="e" vm="6">
        <v>#VALUE!</v>
      </c>
      <c r="F19" s="474" t="s">
        <v>816</v>
      </c>
      <c r="G19" s="474" t="s">
        <v>817</v>
      </c>
      <c r="H19" s="474" t="s">
        <v>818</v>
      </c>
      <c r="I19" s="475" t="s">
        <v>819</v>
      </c>
      <c r="J19" s="517">
        <f>+C41+C40</f>
        <v>30.759999999999998</v>
      </c>
      <c r="K19" s="517">
        <f>+AA41+AA40</f>
        <v>11630.082572906918</v>
      </c>
      <c r="L19" s="517">
        <f t="shared" ref="L19:V19" si="36">+AB41+AB40</f>
        <v>9640.5228169767361</v>
      </c>
      <c r="M19" s="517">
        <f t="shared" si="36"/>
        <v>8314.1496463567019</v>
      </c>
      <c r="N19" s="517">
        <f t="shared" si="36"/>
        <v>6987.7764757366676</v>
      </c>
      <c r="O19" s="517">
        <f t="shared" si="36"/>
        <v>4998.2167198064853</v>
      </c>
      <c r="P19" s="517">
        <f t="shared" si="36"/>
        <v>3008.6569638763322</v>
      </c>
      <c r="Q19" s="517">
        <f t="shared" si="36"/>
        <v>882.392134489608</v>
      </c>
      <c r="R19" s="517">
        <f t="shared" si="36"/>
        <v>749.16429738342413</v>
      </c>
      <c r="S19" s="517">
        <f t="shared" si="36"/>
        <v>549.32254172416287</v>
      </c>
      <c r="T19" s="517">
        <f t="shared" si="36"/>
        <v>349.48078606487252</v>
      </c>
      <c r="U19" s="514">
        <f t="shared" si="36"/>
        <v>216.25294895868865</v>
      </c>
      <c r="V19" s="514">
        <f t="shared" si="36"/>
        <v>83.025111852504779</v>
      </c>
      <c r="W19" s="514">
        <f>+AM41+AM40</f>
        <v>0</v>
      </c>
      <c r="X19" s="514">
        <f t="shared" si="5"/>
        <v>-400.346974884205</v>
      </c>
      <c r="Y19" s="518">
        <f t="shared" si="6"/>
        <v>24.196386792932845</v>
      </c>
      <c r="Z19" s="518">
        <f t="shared" si="7"/>
        <v>20.057107720720101</v>
      </c>
      <c r="AA19" s="518">
        <f t="shared" si="8"/>
        <v>17.297588339245117</v>
      </c>
      <c r="AB19" s="518">
        <f t="shared" si="9"/>
        <v>14.538068957770138</v>
      </c>
      <c r="AC19" s="518">
        <f t="shared" si="10"/>
        <v>10.398789885557393</v>
      </c>
      <c r="AD19" s="518">
        <f t="shared" si="11"/>
        <v>6.2595108133447104</v>
      </c>
      <c r="AE19" s="518">
        <f t="shared" si="12"/>
        <v>1.8358168358056295</v>
      </c>
      <c r="AF19" s="518">
        <f t="shared" si="13"/>
        <v>1.5586363207062142</v>
      </c>
      <c r="AG19" s="518">
        <f t="shared" si="19"/>
        <v>1.1428655480571208</v>
      </c>
      <c r="AH19" s="518">
        <f t="shared" si="20"/>
        <v>0.7270947754079673</v>
      </c>
      <c r="AI19" s="518">
        <f t="shared" si="21"/>
        <v>0.44991426030855169</v>
      </c>
      <c r="AJ19" s="518">
        <f t="shared" si="22"/>
        <v>0.1727337452091362</v>
      </c>
      <c r="AK19" s="518"/>
      <c r="AL19" s="519">
        <f t="shared" si="14"/>
        <v>-0.92350020111029185</v>
      </c>
      <c r="AM19" t="s">
        <v>819</v>
      </c>
    </row>
    <row r="20" spans="5:57" x14ac:dyDescent="0.25">
      <c r="E20" s="473" t="e" vm="6">
        <v>#VALUE!</v>
      </c>
      <c r="F20" s="474" t="s">
        <v>816</v>
      </c>
      <c r="G20" s="474" t="s">
        <v>820</v>
      </c>
      <c r="H20" s="474" t="s">
        <v>818</v>
      </c>
      <c r="I20" s="475" t="s">
        <v>821</v>
      </c>
      <c r="J20" s="517">
        <f>+C66</f>
        <v>5.59</v>
      </c>
      <c r="K20" s="517">
        <f>+AA66</f>
        <v>1493.6552899376111</v>
      </c>
      <c r="L20" s="517">
        <f t="shared" ref="L20:W20" si="37">+AB66</f>
        <v>1319.8699844136281</v>
      </c>
      <c r="M20" s="517">
        <f t="shared" si="37"/>
        <v>1204.0131140643207</v>
      </c>
      <c r="N20" s="517">
        <f t="shared" si="37"/>
        <v>1088.1562437149987</v>
      </c>
      <c r="O20" s="517">
        <f t="shared" si="37"/>
        <v>914.37093819101574</v>
      </c>
      <c r="P20" s="517">
        <f t="shared" si="37"/>
        <v>740.58563266703277</v>
      </c>
      <c r="Q20" s="517">
        <f t="shared" si="37"/>
        <v>624.72876231772534</v>
      </c>
      <c r="R20" s="517">
        <f t="shared" si="37"/>
        <v>508.87189196840336</v>
      </c>
      <c r="S20" s="517">
        <f t="shared" si="37"/>
        <v>335.08658644442039</v>
      </c>
      <c r="T20" s="517">
        <f t="shared" si="37"/>
        <v>161.30128092043742</v>
      </c>
      <c r="U20" s="514">
        <f t="shared" si="37"/>
        <v>45.444410571129993</v>
      </c>
      <c r="V20" s="514">
        <f t="shared" si="37"/>
        <v>0</v>
      </c>
      <c r="W20" s="514">
        <f t="shared" si="37"/>
        <v>0</v>
      </c>
      <c r="X20" s="514">
        <f t="shared" si="5"/>
        <v>-53.917833753955819</v>
      </c>
      <c r="Y20" s="518">
        <f t="shared" si="6"/>
        <v>3.1075498307151999</v>
      </c>
      <c r="Z20" s="518">
        <f t="shared" si="7"/>
        <v>2.7459895025725531</v>
      </c>
      <c r="AA20" s="518">
        <f t="shared" si="8"/>
        <v>2.5049492838108196</v>
      </c>
      <c r="AB20" s="518">
        <f t="shared" si="9"/>
        <v>2.263909065049055</v>
      </c>
      <c r="AC20" s="518">
        <f t="shared" si="10"/>
        <v>1.9023487369064083</v>
      </c>
      <c r="AD20" s="518">
        <f t="shared" si="11"/>
        <v>1.5407884087637616</v>
      </c>
      <c r="AE20" s="518">
        <f t="shared" si="12"/>
        <v>1.2997481900020276</v>
      </c>
      <c r="AF20" s="518">
        <f t="shared" si="13"/>
        <v>1.0587079712402634</v>
      </c>
      <c r="AG20" s="518">
        <f t="shared" si="19"/>
        <v>0.69714764309761668</v>
      </c>
      <c r="AH20" s="518">
        <f t="shared" si="20"/>
        <v>0.33558731495497007</v>
      </c>
      <c r="AI20" s="518">
        <f t="shared" si="21"/>
        <v>9.4547096193235938E-2</v>
      </c>
      <c r="AJ20" s="518"/>
      <c r="AK20" s="518"/>
      <c r="AL20" s="519">
        <f t="shared" si="14"/>
        <v>-0.12052010938087906</v>
      </c>
      <c r="AM20" t="s">
        <v>821</v>
      </c>
    </row>
    <row r="21" spans="5:57" x14ac:dyDescent="0.25">
      <c r="E21" s="473" t="e" vm="7">
        <v>#VALUE!</v>
      </c>
      <c r="F21" s="474" t="s">
        <v>816</v>
      </c>
      <c r="G21" s="474" t="s">
        <v>854</v>
      </c>
      <c r="H21" s="474" t="s">
        <v>818</v>
      </c>
      <c r="I21" s="475" t="s">
        <v>855</v>
      </c>
      <c r="J21" s="517">
        <f>+C68</f>
        <v>90.73</v>
      </c>
      <c r="K21" s="517">
        <f>+AA68</f>
        <v>17779.047619047575</v>
      </c>
      <c r="L21" s="517">
        <f t="shared" ref="L21:W21" si="38">+AB68</f>
        <v>16016.761904761894</v>
      </c>
      <c r="M21" s="517">
        <f t="shared" si="38"/>
        <v>14841.904761904618</v>
      </c>
      <c r="N21" s="517">
        <f t="shared" si="38"/>
        <v>13667.047619047575</v>
      </c>
      <c r="O21" s="517">
        <f t="shared" si="38"/>
        <v>11904.761904761894</v>
      </c>
      <c r="P21" s="517">
        <f t="shared" si="38"/>
        <v>10142.476190476213</v>
      </c>
      <c r="Q21" s="517">
        <f t="shared" si="38"/>
        <v>8967.6190476189367</v>
      </c>
      <c r="R21" s="517">
        <f t="shared" si="38"/>
        <v>7792.7619047618937</v>
      </c>
      <c r="S21" s="517">
        <f t="shared" si="38"/>
        <v>6030.4761904762127</v>
      </c>
      <c r="T21" s="517">
        <f t="shared" si="38"/>
        <v>4268.1904761905316</v>
      </c>
      <c r="U21" s="514">
        <f t="shared" si="38"/>
        <v>3093.3333333332557</v>
      </c>
      <c r="V21" s="514">
        <f t="shared" si="38"/>
        <v>1918.4761904762127</v>
      </c>
      <c r="W21" s="514">
        <f t="shared" si="38"/>
        <v>156.19047619053163</v>
      </c>
      <c r="X21" s="514">
        <f t="shared" si="5"/>
        <v>-587.42857142856838</v>
      </c>
      <c r="Y21" s="518">
        <f t="shared" si="6"/>
        <v>36.989308571428481</v>
      </c>
      <c r="Z21" s="518">
        <f t="shared" si="7"/>
        <v>33.322873142857119</v>
      </c>
      <c r="AA21" s="518">
        <f t="shared" si="8"/>
        <v>30.878582857142554</v>
      </c>
      <c r="AB21" s="518">
        <f t="shared" si="9"/>
        <v>28.434292571428479</v>
      </c>
      <c r="AC21" s="518">
        <f t="shared" si="10"/>
        <v>24.767857142857121</v>
      </c>
      <c r="AD21" s="518">
        <f t="shared" si="11"/>
        <v>21.10142171428576</v>
      </c>
      <c r="AE21" s="518">
        <f t="shared" si="12"/>
        <v>18.657131428571201</v>
      </c>
      <c r="AF21" s="518">
        <f t="shared" si="13"/>
        <v>16.212841142857119</v>
      </c>
      <c r="AG21" s="518">
        <f t="shared" si="19"/>
        <v>12.546405714285759</v>
      </c>
      <c r="AH21" s="518">
        <f t="shared" si="20"/>
        <v>8.8799702857144016</v>
      </c>
      <c r="AI21" s="518">
        <f t="shared" si="21"/>
        <v>6.435679999999838</v>
      </c>
      <c r="AJ21" s="518">
        <f t="shared" si="22"/>
        <v>3.9913897142857606</v>
      </c>
      <c r="AK21" s="518">
        <f t="shared" si="23"/>
        <v>0.32495428571440105</v>
      </c>
      <c r="AL21" s="519">
        <f t="shared" si="14"/>
        <v>-1.2221451428571364</v>
      </c>
      <c r="AM21" t="s">
        <v>855</v>
      </c>
    </row>
    <row r="22" spans="5:57" x14ac:dyDescent="0.25">
      <c r="E22" s="473" t="e" vm="7">
        <v>#VALUE!</v>
      </c>
      <c r="F22" s="474" t="s">
        <v>816</v>
      </c>
      <c r="G22" s="474" t="s">
        <v>856</v>
      </c>
      <c r="H22" s="474" t="s">
        <v>818</v>
      </c>
      <c r="I22" s="475" t="s">
        <v>857</v>
      </c>
      <c r="J22" s="517">
        <f>+C60+C59</f>
        <v>58.34</v>
      </c>
      <c r="K22" s="517">
        <f>+AA60+AA59</f>
        <v>28319.723846840905</v>
      </c>
      <c r="L22" s="517">
        <f t="shared" ref="L22:W22" si="39">+AB60+AB59</f>
        <v>23499.695635298383</v>
      </c>
      <c r="M22" s="517">
        <f t="shared" si="39"/>
        <v>20286.34349427023</v>
      </c>
      <c r="N22" s="517">
        <f t="shared" si="39"/>
        <v>17072.991353242192</v>
      </c>
      <c r="O22" s="517">
        <f t="shared" si="39"/>
        <v>12252.963141699671</v>
      </c>
      <c r="P22" s="517">
        <f t="shared" si="39"/>
        <v>7432.9349301574985</v>
      </c>
      <c r="Q22" s="517">
        <f t="shared" si="39"/>
        <v>4219.5827891294612</v>
      </c>
      <c r="R22" s="517">
        <f t="shared" si="39"/>
        <v>1006.2306481009582</v>
      </c>
      <c r="S22" s="517">
        <f t="shared" si="39"/>
        <v>0</v>
      </c>
      <c r="T22" s="517">
        <f t="shared" si="39"/>
        <v>0</v>
      </c>
      <c r="U22" s="514">
        <f t="shared" si="39"/>
        <v>0</v>
      </c>
      <c r="V22" s="514">
        <f t="shared" si="39"/>
        <v>0</v>
      </c>
      <c r="W22" s="514">
        <f t="shared" si="39"/>
        <v>0</v>
      </c>
      <c r="X22" s="514">
        <f t="shared" si="5"/>
        <v>-996.7596044194355</v>
      </c>
      <c r="Y22" s="518">
        <f t="shared" si="6"/>
        <v>58.919185463352498</v>
      </c>
      <c r="Z22" s="518">
        <f t="shared" si="7"/>
        <v>48.891116769238288</v>
      </c>
      <c r="AA22" s="518">
        <f t="shared" si="8"/>
        <v>42.205737639829209</v>
      </c>
      <c r="AB22" s="518">
        <f t="shared" si="9"/>
        <v>35.520358510420387</v>
      </c>
      <c r="AC22" s="518">
        <f t="shared" si="10"/>
        <v>25.492289816306165</v>
      </c>
      <c r="AD22" s="518">
        <f t="shared" si="11"/>
        <v>15.464221122192678</v>
      </c>
      <c r="AE22" s="518">
        <f t="shared" si="12"/>
        <v>8.7788419927838444</v>
      </c>
      <c r="AF22" s="518">
        <f t="shared" si="13"/>
        <v>2.0934628633740435</v>
      </c>
      <c r="AG22" s="518"/>
      <c r="AH22" s="518"/>
      <c r="AI22" s="518"/>
      <c r="AJ22" s="518"/>
      <c r="AK22" s="518"/>
      <c r="AL22" s="519">
        <f t="shared" si="14"/>
        <v>-3.3426895647045884</v>
      </c>
      <c r="AM22" t="s">
        <v>857</v>
      </c>
    </row>
    <row r="23" spans="5:57" x14ac:dyDescent="0.25">
      <c r="E23" s="473" t="e" vm="8">
        <v>#VALUE!</v>
      </c>
      <c r="F23" s="474" t="s">
        <v>816</v>
      </c>
      <c r="G23" s="474" t="s">
        <v>830</v>
      </c>
      <c r="H23" s="474" t="s">
        <v>831</v>
      </c>
      <c r="I23" s="475" t="s">
        <v>832</v>
      </c>
      <c r="J23" s="517">
        <f>+C53+C54+C55</f>
        <v>11.25</v>
      </c>
      <c r="K23" s="517">
        <f>+AA53+AA54+AA55</f>
        <v>3968.89577214374</v>
      </c>
      <c r="L23" s="517">
        <f t="shared" ref="L23:W23" si="40">+AB53+AB54+AB55</f>
        <v>3300.834962928031</v>
      </c>
      <c r="M23" s="517">
        <f t="shared" si="40"/>
        <v>2855.4610901176165</v>
      </c>
      <c r="N23" s="517">
        <f t="shared" si="40"/>
        <v>2410.0872173071148</v>
      </c>
      <c r="O23" s="517">
        <f t="shared" si="40"/>
        <v>1742.026408091464</v>
      </c>
      <c r="P23" s="517">
        <f t="shared" si="40"/>
        <v>1169.8104944504848</v>
      </c>
      <c r="Q23" s="517">
        <f t="shared" si="40"/>
        <v>855.62911470271138</v>
      </c>
      <c r="R23" s="517">
        <f t="shared" si="40"/>
        <v>541.44773495493791</v>
      </c>
      <c r="S23" s="517">
        <f t="shared" si="40"/>
        <v>88.197440591869963</v>
      </c>
      <c r="T23" s="517">
        <f t="shared" si="40"/>
        <v>46.642343160281598</v>
      </c>
      <c r="U23" s="514">
        <f t="shared" si="40"/>
        <v>18.938944872556021</v>
      </c>
      <c r="V23" s="514">
        <f t="shared" si="40"/>
        <v>0</v>
      </c>
      <c r="W23" s="514">
        <f t="shared" si="40"/>
        <v>0</v>
      </c>
      <c r="X23" s="514">
        <f t="shared" si="5"/>
        <v>-138.73852930552206</v>
      </c>
      <c r="Y23" s="518">
        <f t="shared" si="6"/>
        <v>8.2572876539450526</v>
      </c>
      <c r="Z23" s="518">
        <f t="shared" si="7"/>
        <v>6.8673871403717692</v>
      </c>
      <c r="AA23" s="518">
        <f t="shared" si="8"/>
        <v>5.9407867979897011</v>
      </c>
      <c r="AB23" s="518">
        <f t="shared" si="9"/>
        <v>5.0141864556074527</v>
      </c>
      <c r="AC23" s="518">
        <f t="shared" si="10"/>
        <v>3.6242859420342906</v>
      </c>
      <c r="AD23" s="518">
        <f t="shared" si="11"/>
        <v>2.4337907337042339</v>
      </c>
      <c r="AE23" s="518">
        <f t="shared" si="12"/>
        <v>1.780136373138991</v>
      </c>
      <c r="AF23" s="518">
        <f t="shared" si="13"/>
        <v>1.1264820125737482</v>
      </c>
      <c r="AG23" s="518">
        <f t="shared" si="19"/>
        <v>0.18349477515138546</v>
      </c>
      <c r="AH23" s="518">
        <f t="shared" si="20"/>
        <v>9.7039394944965857E-2</v>
      </c>
      <c r="AI23" s="518"/>
      <c r="AJ23" s="518"/>
      <c r="AK23" s="518"/>
      <c r="AL23" s="519">
        <f t="shared" si="14"/>
        <v>-0.37469510191372613</v>
      </c>
      <c r="AM23" t="s">
        <v>832</v>
      </c>
    </row>
    <row r="24" spans="5:57" x14ac:dyDescent="0.25">
      <c r="E24" s="473" t="e" vm="8">
        <v>#VALUE!</v>
      </c>
      <c r="F24" s="474" t="s">
        <v>816</v>
      </c>
      <c r="G24" s="474" t="s">
        <v>833</v>
      </c>
      <c r="H24" s="474" t="s">
        <v>831</v>
      </c>
      <c r="I24" s="475" t="s">
        <v>834</v>
      </c>
      <c r="J24" s="517">
        <f>+C65</f>
        <v>24.09</v>
      </c>
      <c r="K24" s="517">
        <f>+AA65</f>
        <v>3699.072721168428</v>
      </c>
      <c r="L24" s="517">
        <f t="shared" ref="L24:W24" si="41">+AB65</f>
        <v>3390.493496084353</v>
      </c>
      <c r="M24" s="517">
        <f t="shared" si="41"/>
        <v>3184.7740126949793</v>
      </c>
      <c r="N24" s="517">
        <f t="shared" si="41"/>
        <v>2979.0545293056057</v>
      </c>
      <c r="O24" s="517">
        <f t="shared" si="41"/>
        <v>2670.4753042215307</v>
      </c>
      <c r="P24" s="517">
        <f t="shared" si="41"/>
        <v>2361.8960791374557</v>
      </c>
      <c r="Q24" s="517">
        <f t="shared" si="41"/>
        <v>2156.1765957480529</v>
      </c>
      <c r="R24" s="517">
        <f t="shared" si="41"/>
        <v>1950.4571123586793</v>
      </c>
      <c r="S24" s="517">
        <f t="shared" si="41"/>
        <v>1641.8778872746043</v>
      </c>
      <c r="T24" s="517">
        <f t="shared" si="41"/>
        <v>1333.2986621905293</v>
      </c>
      <c r="U24" s="514">
        <f t="shared" si="41"/>
        <v>1127.5791788011556</v>
      </c>
      <c r="V24" s="514">
        <f t="shared" si="41"/>
        <v>921.85969541178201</v>
      </c>
      <c r="W24" s="514">
        <f t="shared" si="41"/>
        <v>613.28047032770701</v>
      </c>
      <c r="X24" s="514">
        <f t="shared" si="5"/>
        <v>-102.85974169469101</v>
      </c>
      <c r="Y24" s="518">
        <f t="shared" si="6"/>
        <v>7.6959207963909142</v>
      </c>
      <c r="Z24" s="518">
        <f t="shared" si="7"/>
        <v>7.0539217186034957</v>
      </c>
      <c r="AA24" s="518">
        <f t="shared" si="8"/>
        <v>6.6259223334119044</v>
      </c>
      <c r="AB24" s="518">
        <f t="shared" si="9"/>
        <v>6.1979229482203131</v>
      </c>
      <c r="AC24" s="518">
        <f t="shared" si="10"/>
        <v>5.5559238704328946</v>
      </c>
      <c r="AD24" s="518">
        <f t="shared" si="11"/>
        <v>4.9139247926454761</v>
      </c>
      <c r="AE24" s="518">
        <f t="shared" si="12"/>
        <v>4.4859254074538235</v>
      </c>
      <c r="AF24" s="518">
        <f t="shared" si="13"/>
        <v>4.0579260222622322</v>
      </c>
      <c r="AG24" s="518">
        <f t="shared" si="19"/>
        <v>3.4159269444748142</v>
      </c>
      <c r="AH24" s="518">
        <f t="shared" si="20"/>
        <v>2.7739278666873961</v>
      </c>
      <c r="AI24" s="518">
        <f t="shared" si="21"/>
        <v>2.3459284814958048</v>
      </c>
      <c r="AJ24" s="518">
        <f t="shared" si="22"/>
        <v>1.9179290963042124</v>
      </c>
      <c r="AK24" s="518">
        <f t="shared" si="23"/>
        <v>1.2759300185167946</v>
      </c>
      <c r="AL24" s="519">
        <f t="shared" si="14"/>
        <v>-0.21399969259580465</v>
      </c>
      <c r="AM24" t="s">
        <v>834</v>
      </c>
    </row>
    <row r="25" spans="5:57" x14ac:dyDescent="0.25">
      <c r="E25" s="473" t="e" vm="8">
        <v>#VALUE!</v>
      </c>
      <c r="F25" s="474" t="s">
        <v>816</v>
      </c>
      <c r="G25" s="474" t="s">
        <v>835</v>
      </c>
      <c r="H25" s="474" t="s">
        <v>831</v>
      </c>
      <c r="I25" s="480" t="s">
        <v>836</v>
      </c>
      <c r="J25" s="517">
        <f>+C67</f>
        <v>16.52</v>
      </c>
      <c r="K25" s="517">
        <f>+AA67</f>
        <v>3264.6760276460845</v>
      </c>
      <c r="L25" s="517">
        <f t="shared" ref="L25:W25" si="42">+AB67</f>
        <v>2941.5687525040703</v>
      </c>
      <c r="M25" s="517">
        <f t="shared" si="42"/>
        <v>2726.1639024094038</v>
      </c>
      <c r="N25" s="517">
        <f t="shared" si="42"/>
        <v>2510.7590523147373</v>
      </c>
      <c r="O25" s="517">
        <f t="shared" si="42"/>
        <v>2187.6517771727231</v>
      </c>
      <c r="P25" s="517">
        <f t="shared" si="42"/>
        <v>1864.5445020307088</v>
      </c>
      <c r="Q25" s="517">
        <f t="shared" si="42"/>
        <v>1649.1396519360424</v>
      </c>
      <c r="R25" s="517">
        <f t="shared" si="42"/>
        <v>1433.7348018413759</v>
      </c>
      <c r="S25" s="517">
        <f t="shared" si="42"/>
        <v>1110.6275266993616</v>
      </c>
      <c r="T25" s="517">
        <f t="shared" si="42"/>
        <v>787.52025155734736</v>
      </c>
      <c r="U25" s="514">
        <f t="shared" si="42"/>
        <v>572.11540146268089</v>
      </c>
      <c r="V25" s="514">
        <f t="shared" si="42"/>
        <v>356.71055136801442</v>
      </c>
      <c r="W25" s="514">
        <f t="shared" si="42"/>
        <v>33.603276226000162</v>
      </c>
      <c r="X25" s="514">
        <f t="shared" si="5"/>
        <v>-107.70242504733608</v>
      </c>
      <c r="Y25" s="518">
        <f t="shared" si="6"/>
        <v>6.7921584755176792</v>
      </c>
      <c r="Z25" s="518">
        <f t="shared" si="7"/>
        <v>6.1199337895847181</v>
      </c>
      <c r="AA25" s="518">
        <f t="shared" si="8"/>
        <v>5.6717839989627645</v>
      </c>
      <c r="AB25" s="518">
        <f t="shared" si="9"/>
        <v>5.2236342083408118</v>
      </c>
      <c r="AC25" s="518">
        <f t="shared" si="10"/>
        <v>4.5514095224078499</v>
      </c>
      <c r="AD25" s="518">
        <f t="shared" si="11"/>
        <v>3.8791848364748893</v>
      </c>
      <c r="AE25" s="518">
        <f t="shared" si="12"/>
        <v>3.4310350458529362</v>
      </c>
      <c r="AF25" s="518">
        <f t="shared" si="13"/>
        <v>2.9828852552309821</v>
      </c>
      <c r="AG25" s="518">
        <f t="shared" si="19"/>
        <v>2.310660569298022</v>
      </c>
      <c r="AH25" s="518">
        <f t="shared" si="20"/>
        <v>1.638435883365061</v>
      </c>
      <c r="AI25" s="518">
        <f t="shared" si="21"/>
        <v>1.1902860927431076</v>
      </c>
      <c r="AJ25" s="518">
        <f t="shared" si="22"/>
        <v>0.742136302121154</v>
      </c>
      <c r="AK25" s="518">
        <f t="shared" si="23"/>
        <v>6.9911616188193332E-2</v>
      </c>
      <c r="AL25" s="519">
        <f t="shared" si="14"/>
        <v>-0.22407489531098276</v>
      </c>
      <c r="AM25" t="s">
        <v>836</v>
      </c>
    </row>
    <row r="27" spans="5:57" ht="18" customHeight="1" x14ac:dyDescent="0.25">
      <c r="K27" s="57"/>
      <c r="AK27" s="75">
        <f>+SUM(Y6:AK25)-SUM(Y20:AK20)</f>
        <v>5175.9134734434429</v>
      </c>
    </row>
    <row r="28" spans="5:57" x14ac:dyDescent="0.25">
      <c r="K28" s="57"/>
    </row>
    <row r="30" spans="5:57" x14ac:dyDescent="0.25">
      <c r="F30">
        <v>5800</v>
      </c>
      <c r="G30" t="s">
        <v>433</v>
      </c>
    </row>
    <row r="31" spans="5:57" x14ac:dyDescent="0.25">
      <c r="F31" s="485">
        <v>5800000</v>
      </c>
      <c r="G31" t="s">
        <v>453</v>
      </c>
    </row>
    <row r="32" spans="5:57" x14ac:dyDescent="0.25">
      <c r="F32">
        <v>5.7</v>
      </c>
      <c r="G32" t="s">
        <v>871</v>
      </c>
    </row>
    <row r="33" spans="1:39" x14ac:dyDescent="0.25">
      <c r="F33">
        <v>1</v>
      </c>
      <c r="G33" t="s">
        <v>872</v>
      </c>
    </row>
    <row r="34" spans="1:39" ht="15.75" x14ac:dyDescent="0.25">
      <c r="J34" s="609" t="s">
        <v>873</v>
      </c>
      <c r="K34" s="609"/>
      <c r="L34" s="609"/>
      <c r="M34" s="609"/>
      <c r="N34" s="609"/>
      <c r="O34" s="609"/>
      <c r="P34" s="609"/>
      <c r="Q34" s="609"/>
      <c r="R34" s="609"/>
      <c r="S34" s="609"/>
      <c r="AA34" s="610" t="s">
        <v>873</v>
      </c>
      <c r="AB34" s="610"/>
      <c r="AC34" s="610"/>
      <c r="AD34" s="610"/>
      <c r="AE34" s="610"/>
      <c r="AF34" s="610"/>
      <c r="AG34" s="610"/>
      <c r="AH34" s="610"/>
      <c r="AI34" s="610"/>
      <c r="AJ34" s="610"/>
      <c r="AK34" s="51"/>
      <c r="AL34" s="51"/>
      <c r="AM34" s="51"/>
    </row>
    <row r="35" spans="1:39" x14ac:dyDescent="0.25">
      <c r="C35" s="486" t="s">
        <v>874</v>
      </c>
      <c r="D35" s="486" t="s">
        <v>875</v>
      </c>
      <c r="E35" s="486" t="s">
        <v>876</v>
      </c>
      <c r="F35" s="486" t="s">
        <v>877</v>
      </c>
      <c r="G35" s="486" t="s">
        <v>878</v>
      </c>
      <c r="H35" s="486" t="s">
        <v>879</v>
      </c>
      <c r="I35" s="487" t="s">
        <v>880</v>
      </c>
      <c r="J35" s="243">
        <v>2020</v>
      </c>
      <c r="K35" s="488">
        <v>2023</v>
      </c>
      <c r="L35" s="488">
        <v>2025</v>
      </c>
      <c r="M35" s="488">
        <v>2027</v>
      </c>
      <c r="N35" s="488">
        <v>2030</v>
      </c>
      <c r="O35" s="488">
        <v>2033</v>
      </c>
      <c r="P35" s="488">
        <v>2035</v>
      </c>
      <c r="Q35" s="488">
        <v>2037</v>
      </c>
      <c r="R35" s="488">
        <v>2040</v>
      </c>
      <c r="S35" s="488">
        <v>2043</v>
      </c>
      <c r="T35" s="488">
        <v>2045</v>
      </c>
      <c r="U35" s="488">
        <v>2047</v>
      </c>
      <c r="V35" s="489">
        <v>2050</v>
      </c>
      <c r="W35" s="504" t="s">
        <v>910</v>
      </c>
      <c r="X35" s="504" t="s">
        <v>911</v>
      </c>
      <c r="Y35" s="508" t="s">
        <v>912</v>
      </c>
      <c r="AA35" s="510">
        <v>2020</v>
      </c>
      <c r="AB35" s="511">
        <v>2023</v>
      </c>
      <c r="AC35" s="511">
        <v>2025</v>
      </c>
      <c r="AD35" s="511">
        <v>2027</v>
      </c>
      <c r="AE35" s="511">
        <v>2030</v>
      </c>
      <c r="AF35" s="511">
        <v>2033</v>
      </c>
      <c r="AG35" s="511">
        <v>2035</v>
      </c>
      <c r="AH35" s="511">
        <v>2037</v>
      </c>
      <c r="AI35" s="511">
        <v>2040</v>
      </c>
      <c r="AJ35" s="511">
        <v>2043</v>
      </c>
      <c r="AK35" s="511">
        <v>2045</v>
      </c>
      <c r="AL35" s="511">
        <v>2047</v>
      </c>
      <c r="AM35" s="512">
        <v>2050</v>
      </c>
    </row>
    <row r="36" spans="1:39" x14ac:dyDescent="0.25">
      <c r="A36" t="s">
        <v>881</v>
      </c>
      <c r="B36" t="s">
        <v>847</v>
      </c>
      <c r="C36" s="486">
        <v>89.87</v>
      </c>
      <c r="D36" s="490">
        <f t="shared" ref="D36:D68" si="43">+G36/C36</f>
        <v>1</v>
      </c>
      <c r="E36" s="490">
        <f t="shared" ref="E36:E68" si="44">100%-D36</f>
        <v>0</v>
      </c>
      <c r="F36" s="490" t="str">
        <f t="shared" ref="F36:F68" si="45">+IF(AND(D36&gt;0,E36&gt;0),"Oil and Gas",IF(D36&gt;0,"Oil","Gas"))</f>
        <v>Oil</v>
      </c>
      <c r="G36" s="491">
        <f>+C36</f>
        <v>89.87</v>
      </c>
      <c r="H36" s="121">
        <v>0</v>
      </c>
      <c r="I36" s="492">
        <f t="shared" ref="I36:I68" si="46">+E36*(G36*1000000*$F$30)/(1000000000)</f>
        <v>0</v>
      </c>
      <c r="J36" s="493">
        <v>9590.163934426233</v>
      </c>
      <c r="K36" s="494">
        <v>19016.393442622953</v>
      </c>
      <c r="L36" s="494">
        <v>16065.573770491805</v>
      </c>
      <c r="M36" s="494"/>
      <c r="N36" s="494">
        <v>11065.573770491806</v>
      </c>
      <c r="O36" s="494"/>
      <c r="P36" s="494">
        <v>7786.8852459016416</v>
      </c>
      <c r="Q36" s="494"/>
      <c r="R36" s="494">
        <v>5409.8360655737706</v>
      </c>
      <c r="S36" s="494"/>
      <c r="T36" s="494">
        <v>3852.4590163934445</v>
      </c>
      <c r="U36" s="494">
        <v>3114.7540983606559</v>
      </c>
      <c r="V36" s="495"/>
      <c r="W36" s="505">
        <f t="shared" ref="W36:W68" si="47">+SLOPE(J36:V36,$J$35:$V$35)</f>
        <v>-466.42815913267293</v>
      </c>
      <c r="X36" s="505">
        <f>+INTERCEPT(J36:V36,$J$35:$V$35)</f>
        <v>957794.45595464844</v>
      </c>
      <c r="Y36" s="509">
        <v>2048</v>
      </c>
      <c r="Z36" s="121" t="s">
        <v>847</v>
      </c>
      <c r="AA36" s="513">
        <f>+IF(AA$35&lt;$Y36,$W36*AA$35+$X36,0)</f>
        <v>15609.574506649165</v>
      </c>
      <c r="AB36" s="513">
        <f t="shared" ref="AB36:AM51" si="48">+IF(AB$35&lt;$Y36,$W36*AB$35+$X36,0)</f>
        <v>14210.290029251133</v>
      </c>
      <c r="AC36" s="513">
        <f t="shared" si="48"/>
        <v>13277.433710985701</v>
      </c>
      <c r="AD36" s="513">
        <f t="shared" si="48"/>
        <v>12344.577392720385</v>
      </c>
      <c r="AE36" s="513">
        <f t="shared" si="48"/>
        <v>10945.292915322352</v>
      </c>
      <c r="AF36" s="513">
        <f t="shared" si="48"/>
        <v>9546.0084379243199</v>
      </c>
      <c r="AG36" s="513">
        <f t="shared" si="48"/>
        <v>8613.1521196590038</v>
      </c>
      <c r="AH36" s="513">
        <f t="shared" si="48"/>
        <v>7680.2958013936877</v>
      </c>
      <c r="AI36" s="513">
        <f t="shared" si="48"/>
        <v>6281.0113239956554</v>
      </c>
      <c r="AJ36" s="513">
        <f t="shared" si="48"/>
        <v>4881.7268465976231</v>
      </c>
      <c r="AK36" s="513">
        <f t="shared" si="48"/>
        <v>3948.870528332307</v>
      </c>
      <c r="AL36" s="513">
        <f t="shared" si="48"/>
        <v>3016.0142100669909</v>
      </c>
      <c r="AM36" s="513">
        <f t="shared" si="48"/>
        <v>0</v>
      </c>
    </row>
    <row r="37" spans="1:39" x14ac:dyDescent="0.25">
      <c r="A37" t="s">
        <v>881</v>
      </c>
      <c r="B37" t="s">
        <v>849</v>
      </c>
      <c r="C37" s="486">
        <v>2.5</v>
      </c>
      <c r="D37" s="490">
        <f t="shared" si="43"/>
        <v>0.99529999999999996</v>
      </c>
      <c r="E37" s="490">
        <f t="shared" si="44"/>
        <v>4.7000000000000375E-3</v>
      </c>
      <c r="F37" s="490" t="str">
        <f t="shared" si="45"/>
        <v>Oil and Gas</v>
      </c>
      <c r="G37" s="491">
        <f>+C37*99.53%</f>
        <v>2.4882499999999999</v>
      </c>
      <c r="H37" s="121">
        <v>7.0000000000000007E-2</v>
      </c>
      <c r="I37" s="492">
        <f t="shared" si="46"/>
        <v>6.7829695000000537E-2</v>
      </c>
      <c r="J37" s="496">
        <v>2895.7055214723941</v>
      </c>
      <c r="K37" s="436">
        <v>1104.2944785276086</v>
      </c>
      <c r="L37" s="436">
        <v>638.03680981595244</v>
      </c>
      <c r="M37" s="436"/>
      <c r="N37" s="436">
        <v>245.39877300613625</v>
      </c>
      <c r="O37" s="436"/>
      <c r="P37" s="436"/>
      <c r="Q37" s="436"/>
      <c r="R37" s="436"/>
      <c r="S37" s="436"/>
      <c r="T37" s="436"/>
      <c r="U37" s="436"/>
      <c r="V37" s="497"/>
      <c r="W37" s="505">
        <f t="shared" si="47"/>
        <v>-245.6302812825559</v>
      </c>
      <c r="X37" s="505">
        <f t="shared" ref="X37:X68" si="49">+INTERCEPT(J37:V37,$J$35:$V$35)</f>
        <v>498499.36335223995</v>
      </c>
      <c r="Y37" s="504">
        <v>2029</v>
      </c>
      <c r="Z37" s="121" t="s">
        <v>849</v>
      </c>
      <c r="AA37" s="513">
        <f t="shared" ref="AA37:AM52" si="50">+IF(AA$35&lt;$Y37,$W37*AA$35+$X37,0)</f>
        <v>2326.1951614770223</v>
      </c>
      <c r="AB37" s="513">
        <f t="shared" si="48"/>
        <v>1589.3043176293722</v>
      </c>
      <c r="AC37" s="513">
        <f t="shared" si="48"/>
        <v>1098.0437550642528</v>
      </c>
      <c r="AD37" s="513">
        <f t="shared" si="48"/>
        <v>606.78319249913329</v>
      </c>
      <c r="AE37" s="513">
        <f t="shared" si="48"/>
        <v>0</v>
      </c>
      <c r="AF37" s="513">
        <f t="shared" si="48"/>
        <v>0</v>
      </c>
      <c r="AG37" s="513">
        <f t="shared" si="48"/>
        <v>0</v>
      </c>
      <c r="AH37" s="513">
        <f t="shared" si="48"/>
        <v>0</v>
      </c>
      <c r="AI37" s="513">
        <f t="shared" si="48"/>
        <v>0</v>
      </c>
      <c r="AJ37" s="513">
        <f t="shared" si="48"/>
        <v>0</v>
      </c>
      <c r="AK37" s="513">
        <f t="shared" si="48"/>
        <v>0</v>
      </c>
      <c r="AL37" s="513">
        <f t="shared" si="48"/>
        <v>0</v>
      </c>
      <c r="AM37" s="513">
        <f t="shared" si="48"/>
        <v>0</v>
      </c>
    </row>
    <row r="38" spans="1:39" x14ac:dyDescent="0.25">
      <c r="A38" t="s">
        <v>881</v>
      </c>
      <c r="B38" t="s">
        <v>882</v>
      </c>
      <c r="C38" s="486">
        <v>1.37</v>
      </c>
      <c r="D38" s="490">
        <f t="shared" si="43"/>
        <v>0.98879999999999979</v>
      </c>
      <c r="E38" s="490">
        <f t="shared" si="44"/>
        <v>1.120000000000021E-2</v>
      </c>
      <c r="F38" s="490" t="str">
        <f t="shared" si="45"/>
        <v>Oil and Gas</v>
      </c>
      <c r="G38" s="498">
        <f>+C38*98.88%</f>
        <v>1.3546559999999999</v>
      </c>
      <c r="H38" s="121">
        <v>1.5344000000000003E-2</v>
      </c>
      <c r="I38" s="492">
        <f t="shared" si="46"/>
        <v>8.7998453760001649E-2</v>
      </c>
      <c r="J38" s="496">
        <v>390.47502763283035</v>
      </c>
      <c r="K38" s="436">
        <v>344.4663650618204</v>
      </c>
      <c r="L38" s="436">
        <v>275.72230933347043</v>
      </c>
      <c r="M38" s="436"/>
      <c r="N38" s="436">
        <v>198.10040356784828</v>
      </c>
      <c r="O38" s="436"/>
      <c r="P38" s="436">
        <v>123.34138755365916</v>
      </c>
      <c r="Q38" s="436"/>
      <c r="R38" s="436">
        <v>59.918258232013045</v>
      </c>
      <c r="S38" s="436"/>
      <c r="T38" s="436"/>
      <c r="U38" s="436"/>
      <c r="V38" s="497"/>
      <c r="W38" s="505">
        <f t="shared" si="47"/>
        <v>-16.69240967929418</v>
      </c>
      <c r="X38" s="505">
        <f t="shared" si="49"/>
        <v>34098.121129571613</v>
      </c>
      <c r="Y38" s="504">
        <v>2041</v>
      </c>
      <c r="Z38" s="121" t="s">
        <v>882</v>
      </c>
      <c r="AA38" s="513">
        <f t="shared" si="50"/>
        <v>379.45357739736937</v>
      </c>
      <c r="AB38" s="513">
        <f t="shared" si="48"/>
        <v>329.37634835948847</v>
      </c>
      <c r="AC38" s="513">
        <f t="shared" si="48"/>
        <v>295.99152900090121</v>
      </c>
      <c r="AD38" s="513">
        <f t="shared" si="48"/>
        <v>262.60670964231394</v>
      </c>
      <c r="AE38" s="513">
        <f t="shared" si="48"/>
        <v>212.52948060442577</v>
      </c>
      <c r="AF38" s="513">
        <f t="shared" si="48"/>
        <v>162.45225156654487</v>
      </c>
      <c r="AG38" s="513">
        <f t="shared" si="48"/>
        <v>129.06743220795761</v>
      </c>
      <c r="AH38" s="513">
        <f t="shared" si="48"/>
        <v>95.682612849370344</v>
      </c>
      <c r="AI38" s="513">
        <f t="shared" si="48"/>
        <v>45.605383811489446</v>
      </c>
      <c r="AJ38" s="513">
        <f t="shared" si="48"/>
        <v>0</v>
      </c>
      <c r="AK38" s="513">
        <f t="shared" si="48"/>
        <v>0</v>
      </c>
      <c r="AL38" s="513">
        <f t="shared" si="48"/>
        <v>0</v>
      </c>
      <c r="AM38" s="513">
        <f t="shared" si="48"/>
        <v>0</v>
      </c>
    </row>
    <row r="39" spans="1:39" x14ac:dyDescent="0.25">
      <c r="A39" t="s">
        <v>881</v>
      </c>
      <c r="B39" t="s">
        <v>840</v>
      </c>
      <c r="C39" s="486">
        <v>14.92</v>
      </c>
      <c r="D39" s="490">
        <f t="shared" si="43"/>
        <v>0</v>
      </c>
      <c r="E39" s="490">
        <f t="shared" si="44"/>
        <v>1</v>
      </c>
      <c r="F39" s="490" t="str">
        <f t="shared" si="45"/>
        <v>Gas</v>
      </c>
      <c r="G39" s="491">
        <v>0</v>
      </c>
      <c r="H39" s="121">
        <v>89.54</v>
      </c>
      <c r="I39" s="492">
        <f t="shared" si="46"/>
        <v>0</v>
      </c>
      <c r="J39" s="496">
        <v>2688.1998197310859</v>
      </c>
      <c r="K39" s="436">
        <v>4033.9723277920784</v>
      </c>
      <c r="L39" s="436">
        <v>2897.3861007089963</v>
      </c>
      <c r="M39" s="436">
        <v>2545.9174665712671</v>
      </c>
      <c r="N39" s="436">
        <v>2313.091797764293</v>
      </c>
      <c r="O39" s="436">
        <v>1610.2660360352002</v>
      </c>
      <c r="P39" s="436">
        <v>1259.1319215365602</v>
      </c>
      <c r="Q39" s="436">
        <v>1026.306252729586</v>
      </c>
      <c r="R39" s="436"/>
      <c r="S39" s="436"/>
      <c r="T39" s="436"/>
      <c r="U39" s="436"/>
      <c r="V39" s="497"/>
      <c r="W39" s="505">
        <f t="shared" si="47"/>
        <v>-141.87789450348069</v>
      </c>
      <c r="X39" s="505">
        <f t="shared" si="49"/>
        <v>290131.56243929506</v>
      </c>
      <c r="Y39" s="504">
        <v>2039</v>
      </c>
      <c r="Z39" s="121" t="s">
        <v>840</v>
      </c>
      <c r="AA39" s="513">
        <f t="shared" si="50"/>
        <v>3538.2155422640499</v>
      </c>
      <c r="AB39" s="513">
        <f t="shared" si="48"/>
        <v>3112.5818587536342</v>
      </c>
      <c r="AC39" s="513">
        <f t="shared" si="48"/>
        <v>2828.8260697466321</v>
      </c>
      <c r="AD39" s="513">
        <f t="shared" si="48"/>
        <v>2545.0702807396883</v>
      </c>
      <c r="AE39" s="513">
        <f t="shared" si="48"/>
        <v>2119.4365972292726</v>
      </c>
      <c r="AF39" s="513">
        <f t="shared" si="48"/>
        <v>1693.8029137187987</v>
      </c>
      <c r="AG39" s="513">
        <f t="shared" si="48"/>
        <v>1410.0471247118548</v>
      </c>
      <c r="AH39" s="513">
        <f t="shared" si="48"/>
        <v>1126.291335704911</v>
      </c>
      <c r="AI39" s="513">
        <f t="shared" si="48"/>
        <v>0</v>
      </c>
      <c r="AJ39" s="513">
        <f t="shared" si="48"/>
        <v>0</v>
      </c>
      <c r="AK39" s="513">
        <f t="shared" si="48"/>
        <v>0</v>
      </c>
      <c r="AL39" s="513">
        <f t="shared" si="48"/>
        <v>0</v>
      </c>
      <c r="AM39" s="513">
        <f t="shared" si="48"/>
        <v>0</v>
      </c>
    </row>
    <row r="40" spans="1:39" x14ac:dyDescent="0.25">
      <c r="A40" t="s">
        <v>881</v>
      </c>
      <c r="B40" t="s">
        <v>819</v>
      </c>
      <c r="C40" s="486">
        <v>21.91</v>
      </c>
      <c r="D40" s="490">
        <f t="shared" si="43"/>
        <v>1</v>
      </c>
      <c r="E40" s="490">
        <f t="shared" si="44"/>
        <v>0</v>
      </c>
      <c r="F40" s="490" t="str">
        <f t="shared" si="45"/>
        <v>Oil</v>
      </c>
      <c r="G40" s="491">
        <f>+C40</f>
        <v>21.91</v>
      </c>
      <c r="H40" s="121">
        <v>0</v>
      </c>
      <c r="I40" s="492">
        <f t="shared" si="46"/>
        <v>0</v>
      </c>
      <c r="J40" s="496">
        <v>10465.971477086872</v>
      </c>
      <c r="K40" s="436"/>
      <c r="L40" s="436">
        <v>6174.2002020980708</v>
      </c>
      <c r="M40" s="436"/>
      <c r="N40" s="436">
        <v>2813.1217901305317</v>
      </c>
      <c r="O40" s="436"/>
      <c r="P40" s="436">
        <v>1643.4531684602007</v>
      </c>
      <c r="Q40" s="436"/>
      <c r="R40" s="436"/>
      <c r="S40" s="436"/>
      <c r="T40" s="436"/>
      <c r="U40" s="436"/>
      <c r="V40" s="497"/>
      <c r="W40" s="505">
        <f t="shared" si="47"/>
        <v>-596.57266675695109</v>
      </c>
      <c r="X40" s="505">
        <f t="shared" si="49"/>
        <v>1214825.2685091621</v>
      </c>
      <c r="Y40" s="504">
        <v>2035</v>
      </c>
      <c r="Z40" s="121" t="s">
        <v>819</v>
      </c>
      <c r="AA40" s="513">
        <f t="shared" si="50"/>
        <v>9748.4816601208877</v>
      </c>
      <c r="AB40" s="513">
        <f t="shared" si="48"/>
        <v>7958.7636598499957</v>
      </c>
      <c r="AC40" s="513">
        <f t="shared" si="48"/>
        <v>6765.6183263361454</v>
      </c>
      <c r="AD40" s="513">
        <f t="shared" si="48"/>
        <v>5572.4729928222951</v>
      </c>
      <c r="AE40" s="513">
        <f t="shared" si="48"/>
        <v>3782.7549925514031</v>
      </c>
      <c r="AF40" s="513">
        <f t="shared" si="48"/>
        <v>1993.0369922805112</v>
      </c>
      <c r="AG40" s="513">
        <f t="shared" si="48"/>
        <v>0</v>
      </c>
      <c r="AH40" s="513">
        <f t="shared" si="48"/>
        <v>0</v>
      </c>
      <c r="AI40" s="513">
        <f t="shared" si="48"/>
        <v>0</v>
      </c>
      <c r="AJ40" s="513">
        <f t="shared" si="48"/>
        <v>0</v>
      </c>
      <c r="AK40" s="513">
        <f t="shared" si="48"/>
        <v>0</v>
      </c>
      <c r="AL40" s="513">
        <f t="shared" si="48"/>
        <v>0</v>
      </c>
      <c r="AM40" s="513">
        <f t="shared" si="48"/>
        <v>0</v>
      </c>
    </row>
    <row r="41" spans="1:39" x14ac:dyDescent="0.25">
      <c r="A41" t="s">
        <v>881</v>
      </c>
      <c r="B41" t="s">
        <v>883</v>
      </c>
      <c r="C41" s="486">
        <v>8.85</v>
      </c>
      <c r="D41" s="490">
        <f t="shared" si="43"/>
        <v>1</v>
      </c>
      <c r="E41" s="490">
        <f t="shared" si="44"/>
        <v>0</v>
      </c>
      <c r="F41" s="490" t="str">
        <f t="shared" si="45"/>
        <v>Oil</v>
      </c>
      <c r="G41" s="491">
        <f>+C41</f>
        <v>8.85</v>
      </c>
      <c r="H41" s="121">
        <v>0</v>
      </c>
      <c r="I41" s="492">
        <f t="shared" si="46"/>
        <v>0</v>
      </c>
      <c r="J41" s="496">
        <v>1648.5786991601608</v>
      </c>
      <c r="K41" s="436">
        <v>2065.3937346384009</v>
      </c>
      <c r="L41" s="436">
        <v>1591.6354730287221</v>
      </c>
      <c r="M41" s="436"/>
      <c r="N41" s="436">
        <v>1118.8933568407438</v>
      </c>
      <c r="O41" s="436"/>
      <c r="P41" s="436">
        <v>750.03256876351679</v>
      </c>
      <c r="Q41" s="436"/>
      <c r="R41" s="436">
        <v>440.61628785575977</v>
      </c>
      <c r="S41" s="436"/>
      <c r="T41" s="436">
        <v>279.75265109735119</v>
      </c>
      <c r="U41" s="436">
        <v>163.4430828288796</v>
      </c>
      <c r="V41" s="497"/>
      <c r="W41" s="505">
        <f t="shared" si="47"/>
        <v>-66.613918553093967</v>
      </c>
      <c r="X41" s="505">
        <f t="shared" si="49"/>
        <v>136441.71639003584</v>
      </c>
      <c r="Y41" s="504">
        <v>2052</v>
      </c>
      <c r="Z41" s="121" t="s">
        <v>883</v>
      </c>
      <c r="AA41" s="513">
        <f t="shared" si="50"/>
        <v>1881.6009127860307</v>
      </c>
      <c r="AB41" s="513">
        <f t="shared" si="48"/>
        <v>1681.7591571267403</v>
      </c>
      <c r="AC41" s="513">
        <f t="shared" si="48"/>
        <v>1548.5313200205564</v>
      </c>
      <c r="AD41" s="513">
        <f t="shared" si="48"/>
        <v>1415.3034829143726</v>
      </c>
      <c r="AE41" s="513">
        <f t="shared" si="48"/>
        <v>1215.4617272550822</v>
      </c>
      <c r="AF41" s="513">
        <f t="shared" si="48"/>
        <v>1015.619971595821</v>
      </c>
      <c r="AG41" s="513">
        <f t="shared" si="48"/>
        <v>882.392134489608</v>
      </c>
      <c r="AH41" s="513">
        <f t="shared" si="48"/>
        <v>749.16429738342413</v>
      </c>
      <c r="AI41" s="513">
        <f t="shared" si="48"/>
        <v>549.32254172416287</v>
      </c>
      <c r="AJ41" s="513">
        <f t="shared" si="48"/>
        <v>349.48078606487252</v>
      </c>
      <c r="AK41" s="513">
        <f t="shared" si="48"/>
        <v>216.25294895868865</v>
      </c>
      <c r="AL41" s="513">
        <f t="shared" si="48"/>
        <v>83.025111852504779</v>
      </c>
      <c r="AM41" s="513">
        <v>0</v>
      </c>
    </row>
    <row r="42" spans="1:39" x14ac:dyDescent="0.25">
      <c r="A42" t="s">
        <v>881</v>
      </c>
      <c r="B42" t="s">
        <v>884</v>
      </c>
      <c r="C42" s="486">
        <v>153.29</v>
      </c>
      <c r="D42" s="490">
        <f t="shared" si="43"/>
        <v>1</v>
      </c>
      <c r="E42" s="490">
        <f t="shared" si="44"/>
        <v>0</v>
      </c>
      <c r="F42" s="490" t="str">
        <f t="shared" si="45"/>
        <v>Oil</v>
      </c>
      <c r="G42" s="491">
        <v>153.29</v>
      </c>
      <c r="H42" s="121">
        <v>0</v>
      </c>
      <c r="I42" s="492">
        <f t="shared" si="46"/>
        <v>0</v>
      </c>
      <c r="J42" s="496">
        <v>66124.661246612479</v>
      </c>
      <c r="K42" s="436"/>
      <c r="L42" s="436">
        <v>37723.577235772369</v>
      </c>
      <c r="M42" s="436"/>
      <c r="N42" s="436">
        <v>22764.227642276433</v>
      </c>
      <c r="O42" s="436"/>
      <c r="P42" s="436">
        <v>14092.140921409227</v>
      </c>
      <c r="Q42" s="436"/>
      <c r="R42" s="436"/>
      <c r="S42" s="436"/>
      <c r="T42" s="436"/>
      <c r="U42" s="436"/>
      <c r="V42" s="497"/>
      <c r="W42" s="505">
        <f t="shared" si="47"/>
        <v>-3421.1382113821137</v>
      </c>
      <c r="X42" s="505">
        <f t="shared" si="49"/>
        <v>6971533.8753387537</v>
      </c>
      <c r="Y42" s="504">
        <v>2036</v>
      </c>
      <c r="Z42" s="121" t="s">
        <v>884</v>
      </c>
      <c r="AA42" s="513">
        <f t="shared" si="50"/>
        <v>60834.688346884213</v>
      </c>
      <c r="AB42" s="513">
        <f t="shared" si="48"/>
        <v>50571.273712737486</v>
      </c>
      <c r="AC42" s="513">
        <f t="shared" si="48"/>
        <v>43728.997289973311</v>
      </c>
      <c r="AD42" s="513">
        <f t="shared" si="48"/>
        <v>36886.720867209136</v>
      </c>
      <c r="AE42" s="513">
        <f t="shared" si="48"/>
        <v>26623.30623306334</v>
      </c>
      <c r="AF42" s="513">
        <f t="shared" si="48"/>
        <v>16359.891598916613</v>
      </c>
      <c r="AG42" s="513">
        <f t="shared" si="48"/>
        <v>9517.6151761524379</v>
      </c>
      <c r="AH42" s="513">
        <f t="shared" si="48"/>
        <v>0</v>
      </c>
      <c r="AI42" s="513">
        <f t="shared" si="48"/>
        <v>0</v>
      </c>
      <c r="AJ42" s="513">
        <f t="shared" si="48"/>
        <v>0</v>
      </c>
      <c r="AK42" s="513">
        <f t="shared" si="48"/>
        <v>0</v>
      </c>
      <c r="AL42" s="513">
        <f t="shared" si="48"/>
        <v>0</v>
      </c>
      <c r="AM42" s="513">
        <f t="shared" si="48"/>
        <v>0</v>
      </c>
    </row>
    <row r="43" spans="1:39" x14ac:dyDescent="0.25">
      <c r="A43" t="s">
        <v>474</v>
      </c>
      <c r="B43" t="s">
        <v>885</v>
      </c>
      <c r="C43" s="486">
        <v>0.88</v>
      </c>
      <c r="D43" s="490">
        <f t="shared" si="43"/>
        <v>1</v>
      </c>
      <c r="E43" s="490">
        <f t="shared" si="44"/>
        <v>0</v>
      </c>
      <c r="F43" s="490" t="str">
        <f t="shared" si="45"/>
        <v>Oil</v>
      </c>
      <c r="G43" s="491">
        <v>0.88</v>
      </c>
      <c r="H43" s="121">
        <v>0</v>
      </c>
      <c r="I43" s="492">
        <f t="shared" si="46"/>
        <v>0</v>
      </c>
      <c r="J43" s="496">
        <v>139.28969359331495</v>
      </c>
      <c r="K43" s="436">
        <v>224.70055710306417</v>
      </c>
      <c r="L43" s="436">
        <v>158.94150417827314</v>
      </c>
      <c r="M43" s="436"/>
      <c r="N43" s="436">
        <v>115.27855153203359</v>
      </c>
      <c r="O43" s="436"/>
      <c r="P43" s="436">
        <v>78.133704735376114</v>
      </c>
      <c r="Q43" s="436">
        <v>68.920612813370553</v>
      </c>
      <c r="R43" s="436">
        <v>62.841225626741107</v>
      </c>
      <c r="S43" s="436"/>
      <c r="T43" s="436"/>
      <c r="U43" s="436"/>
      <c r="V43" s="497"/>
      <c r="W43" s="505">
        <f t="shared" si="47"/>
        <v>-6.4913312842186155</v>
      </c>
      <c r="X43" s="505">
        <f t="shared" si="49"/>
        <v>13298.560485475529</v>
      </c>
      <c r="Y43" s="504">
        <v>2042</v>
      </c>
      <c r="Z43" s="121" t="s">
        <v>885</v>
      </c>
      <c r="AA43" s="513">
        <f t="shared" si="50"/>
        <v>186.07129135392643</v>
      </c>
      <c r="AB43" s="513">
        <f t="shared" si="48"/>
        <v>166.59729750127008</v>
      </c>
      <c r="AC43" s="513">
        <f t="shared" si="48"/>
        <v>153.61463493283372</v>
      </c>
      <c r="AD43" s="513">
        <f t="shared" si="48"/>
        <v>140.63197236439555</v>
      </c>
      <c r="AE43" s="513">
        <f t="shared" si="48"/>
        <v>121.1579785117392</v>
      </c>
      <c r="AF43" s="513">
        <f t="shared" si="48"/>
        <v>101.68398465908467</v>
      </c>
      <c r="AG43" s="513">
        <f t="shared" si="48"/>
        <v>88.701322090646499</v>
      </c>
      <c r="AH43" s="513">
        <f t="shared" si="48"/>
        <v>75.718659522210146</v>
      </c>
      <c r="AI43" s="513">
        <f t="shared" si="48"/>
        <v>56.244665669553797</v>
      </c>
      <c r="AJ43" s="513">
        <f t="shared" si="48"/>
        <v>0</v>
      </c>
      <c r="AK43" s="513">
        <f t="shared" si="48"/>
        <v>0</v>
      </c>
      <c r="AL43" s="513">
        <f t="shared" si="48"/>
        <v>0</v>
      </c>
      <c r="AM43" s="513">
        <f t="shared" si="48"/>
        <v>0</v>
      </c>
    </row>
    <row r="44" spans="1:39" x14ac:dyDescent="0.25">
      <c r="A44" t="s">
        <v>474</v>
      </c>
      <c r="B44" t="s">
        <v>886</v>
      </c>
      <c r="C44" s="486">
        <v>543.79</v>
      </c>
      <c r="D44" s="490">
        <f t="shared" si="43"/>
        <v>1</v>
      </c>
      <c r="E44" s="490">
        <f t="shared" si="44"/>
        <v>0</v>
      </c>
      <c r="F44" s="490" t="str">
        <f t="shared" si="45"/>
        <v>Oil</v>
      </c>
      <c r="G44" s="491">
        <f>+C44</f>
        <v>543.79</v>
      </c>
      <c r="H44" s="121">
        <v>0</v>
      </c>
      <c r="I44" s="492">
        <f t="shared" si="46"/>
        <v>0</v>
      </c>
      <c r="J44" s="496">
        <v>46080.722145667336</v>
      </c>
      <c r="K44" s="436">
        <v>39727.331429446349</v>
      </c>
      <c r="L44" s="436"/>
      <c r="M44" s="436"/>
      <c r="N44" s="436">
        <v>32953.221629753898</v>
      </c>
      <c r="O44" s="436"/>
      <c r="P44" s="436"/>
      <c r="Q44" s="436"/>
      <c r="R44" s="436">
        <v>26312.58362790327</v>
      </c>
      <c r="S44" s="436"/>
      <c r="T44" s="436"/>
      <c r="U44" s="436"/>
      <c r="V44" s="497">
        <v>21157.776313249327</v>
      </c>
      <c r="W44" s="505">
        <f t="shared" si="47"/>
        <v>-788.06799463334039</v>
      </c>
      <c r="X44" s="505">
        <f t="shared" si="49"/>
        <v>1635073.3329209315</v>
      </c>
      <c r="Y44" s="504">
        <v>2099</v>
      </c>
      <c r="Z44" s="121" t="s">
        <v>886</v>
      </c>
      <c r="AA44" s="513">
        <f t="shared" si="50"/>
        <v>43175.983761583921</v>
      </c>
      <c r="AB44" s="513">
        <f t="shared" si="48"/>
        <v>40811.779777684016</v>
      </c>
      <c r="AC44" s="513">
        <f t="shared" si="48"/>
        <v>39235.643788417336</v>
      </c>
      <c r="AD44" s="513">
        <f t="shared" si="48"/>
        <v>37659.507799150655</v>
      </c>
      <c r="AE44" s="513">
        <f t="shared" si="48"/>
        <v>35295.303815250518</v>
      </c>
      <c r="AF44" s="513">
        <f t="shared" si="48"/>
        <v>32931.099831350613</v>
      </c>
      <c r="AG44" s="513">
        <f t="shared" si="48"/>
        <v>31354.963842083933</v>
      </c>
      <c r="AH44" s="513">
        <f t="shared" si="48"/>
        <v>29778.827852817252</v>
      </c>
      <c r="AI44" s="513">
        <f t="shared" si="48"/>
        <v>27414.623868917115</v>
      </c>
      <c r="AJ44" s="513">
        <f t="shared" si="48"/>
        <v>25050.419885017211</v>
      </c>
      <c r="AK44" s="513">
        <f t="shared" si="48"/>
        <v>23474.28389575053</v>
      </c>
      <c r="AL44" s="513">
        <f t="shared" si="48"/>
        <v>21898.14790648385</v>
      </c>
      <c r="AM44" s="513">
        <f t="shared" si="48"/>
        <v>19533.943922583712</v>
      </c>
    </row>
    <row r="45" spans="1:39" x14ac:dyDescent="0.25">
      <c r="A45" t="s">
        <v>474</v>
      </c>
      <c r="B45" t="s">
        <v>846</v>
      </c>
      <c r="C45" s="486">
        <v>146.25</v>
      </c>
      <c r="D45" s="490">
        <f t="shared" si="43"/>
        <v>1</v>
      </c>
      <c r="E45" s="490">
        <f t="shared" si="44"/>
        <v>0</v>
      </c>
      <c r="F45" s="490" t="str">
        <f t="shared" si="45"/>
        <v>Oil</v>
      </c>
      <c r="G45" s="491">
        <v>146.25</v>
      </c>
      <c r="H45" s="121">
        <v>0</v>
      </c>
      <c r="I45" s="492">
        <f t="shared" si="46"/>
        <v>0</v>
      </c>
      <c r="J45" s="496">
        <v>49014.692742976287</v>
      </c>
      <c r="K45" s="436"/>
      <c r="L45" s="436">
        <v>34761.491114861514</v>
      </c>
      <c r="M45" s="436"/>
      <c r="N45" s="436">
        <v>19155.415467090243</v>
      </c>
      <c r="O45" s="436">
        <v>16260.547999602895</v>
      </c>
      <c r="P45" s="436">
        <v>12169.165094807897</v>
      </c>
      <c r="Q45" s="436">
        <v>8406.8797776233405</v>
      </c>
      <c r="R45" s="436"/>
      <c r="S45" s="436"/>
      <c r="T45" s="436"/>
      <c r="U45" s="436"/>
      <c r="V45" s="497"/>
      <c r="W45" s="505">
        <f t="shared" si="47"/>
        <v>-2382.1093994608605</v>
      </c>
      <c r="X45" s="505">
        <f t="shared" si="49"/>
        <v>4858976.7796050403</v>
      </c>
      <c r="Y45" s="504">
        <v>2039</v>
      </c>
      <c r="Z45" s="121" t="s">
        <v>846</v>
      </c>
      <c r="AA45" s="513">
        <f t="shared" si="50"/>
        <v>47115.792694102041</v>
      </c>
      <c r="AB45" s="513">
        <f t="shared" si="48"/>
        <v>39969.46449571941</v>
      </c>
      <c r="AC45" s="513">
        <f t="shared" si="48"/>
        <v>35205.245696797967</v>
      </c>
      <c r="AD45" s="513">
        <f t="shared" si="48"/>
        <v>30441.026897876523</v>
      </c>
      <c r="AE45" s="513">
        <f t="shared" si="48"/>
        <v>23294.698699493892</v>
      </c>
      <c r="AF45" s="513">
        <f t="shared" si="48"/>
        <v>16148.370501111262</v>
      </c>
      <c r="AG45" s="513">
        <f t="shared" si="48"/>
        <v>11384.151702188887</v>
      </c>
      <c r="AH45" s="513">
        <f t="shared" si="48"/>
        <v>6619.9329032674432</v>
      </c>
      <c r="AI45" s="513">
        <f t="shared" si="48"/>
        <v>0</v>
      </c>
      <c r="AJ45" s="513">
        <f t="shared" si="48"/>
        <v>0</v>
      </c>
      <c r="AK45" s="513">
        <f t="shared" si="48"/>
        <v>0</v>
      </c>
      <c r="AL45" s="513">
        <f t="shared" si="48"/>
        <v>0</v>
      </c>
      <c r="AM45" s="513">
        <f t="shared" si="48"/>
        <v>0</v>
      </c>
    </row>
    <row r="46" spans="1:39" x14ac:dyDescent="0.25">
      <c r="A46" t="s">
        <v>474</v>
      </c>
      <c r="B46" t="s">
        <v>887</v>
      </c>
      <c r="C46" s="486">
        <v>89.99</v>
      </c>
      <c r="D46" s="490">
        <f t="shared" si="43"/>
        <v>1</v>
      </c>
      <c r="E46" s="490">
        <f t="shared" si="44"/>
        <v>0</v>
      </c>
      <c r="F46" s="490" t="str">
        <f t="shared" si="45"/>
        <v>Oil</v>
      </c>
      <c r="G46" s="491">
        <f>+C46</f>
        <v>89.99</v>
      </c>
      <c r="H46" s="121">
        <v>0</v>
      </c>
      <c r="I46" s="492">
        <f t="shared" si="46"/>
        <v>0</v>
      </c>
      <c r="J46" s="496">
        <v>19904.801688505846</v>
      </c>
      <c r="K46" s="436">
        <v>21393.017324773544</v>
      </c>
      <c r="L46" s="436">
        <v>17374.901064110454</v>
      </c>
      <c r="M46" s="436"/>
      <c r="N46" s="436">
        <v>11787.002022689294</v>
      </c>
      <c r="O46" s="436"/>
      <c r="P46" s="436">
        <v>8168.8066133145694</v>
      </c>
      <c r="Q46" s="436"/>
      <c r="R46" s="436">
        <v>5706.1823938088055</v>
      </c>
      <c r="S46" s="436">
        <v>4334.2713921378891</v>
      </c>
      <c r="T46" s="436"/>
      <c r="U46" s="436"/>
      <c r="V46" s="497"/>
      <c r="W46" s="505">
        <f t="shared" si="47"/>
        <v>-772.21287149137254</v>
      </c>
      <c r="X46" s="505">
        <f t="shared" si="49"/>
        <v>1580921.0233743847</v>
      </c>
      <c r="Y46" s="504">
        <v>2044</v>
      </c>
      <c r="Z46" s="121" t="s">
        <v>887</v>
      </c>
      <c r="AA46" s="513">
        <f t="shared" si="50"/>
        <v>21051.022961812094</v>
      </c>
      <c r="AB46" s="513">
        <f t="shared" si="48"/>
        <v>18734.384347337997</v>
      </c>
      <c r="AC46" s="513">
        <f t="shared" si="48"/>
        <v>17189.958604355343</v>
      </c>
      <c r="AD46" s="513">
        <f t="shared" si="48"/>
        <v>15645.532861372689</v>
      </c>
      <c r="AE46" s="513">
        <f t="shared" si="48"/>
        <v>13328.894246898592</v>
      </c>
      <c r="AF46" s="513">
        <f t="shared" si="48"/>
        <v>11012.255632424261</v>
      </c>
      <c r="AG46" s="513">
        <f t="shared" si="48"/>
        <v>9467.8298894416075</v>
      </c>
      <c r="AH46" s="513">
        <f t="shared" si="48"/>
        <v>7923.4041464589536</v>
      </c>
      <c r="AI46" s="513">
        <f t="shared" si="48"/>
        <v>5606.7655319848564</v>
      </c>
      <c r="AJ46" s="513">
        <f t="shared" si="48"/>
        <v>3290.1269175105263</v>
      </c>
      <c r="AK46" s="513">
        <f t="shared" si="48"/>
        <v>0</v>
      </c>
      <c r="AL46" s="513">
        <f t="shared" si="48"/>
        <v>0</v>
      </c>
      <c r="AM46" s="513">
        <f t="shared" si="48"/>
        <v>0</v>
      </c>
    </row>
    <row r="47" spans="1:39" x14ac:dyDescent="0.25">
      <c r="A47" t="s">
        <v>474</v>
      </c>
      <c r="B47" t="s">
        <v>839</v>
      </c>
      <c r="C47" s="499">
        <v>28.68</v>
      </c>
      <c r="D47" s="490">
        <f t="shared" si="43"/>
        <v>0</v>
      </c>
      <c r="E47" s="490">
        <f t="shared" si="44"/>
        <v>1</v>
      </c>
      <c r="F47" s="490" t="str">
        <f t="shared" si="45"/>
        <v>Gas</v>
      </c>
      <c r="G47" s="491">
        <v>0</v>
      </c>
      <c r="H47" s="121">
        <v>172.07</v>
      </c>
      <c r="I47" s="492">
        <f t="shared" si="46"/>
        <v>0</v>
      </c>
      <c r="J47" s="496">
        <v>18473.762408216862</v>
      </c>
      <c r="K47" s="436"/>
      <c r="L47" s="436">
        <v>12112.142288064424</v>
      </c>
      <c r="M47" s="436">
        <v>9490.7517064662534</v>
      </c>
      <c r="N47" s="436"/>
      <c r="O47" s="436"/>
      <c r="P47" s="436"/>
      <c r="Q47" s="436"/>
      <c r="R47" s="436"/>
      <c r="S47" s="436"/>
      <c r="T47" s="436"/>
      <c r="U47" s="436"/>
      <c r="V47" s="497"/>
      <c r="W47" s="505">
        <f t="shared" si="47"/>
        <v>-1281.1789317463179</v>
      </c>
      <c r="X47" s="505">
        <f t="shared" si="49"/>
        <v>2606465.0433221296</v>
      </c>
      <c r="Y47" s="506">
        <v>2027</v>
      </c>
      <c r="Z47" s="121" t="s">
        <v>839</v>
      </c>
      <c r="AA47" s="513">
        <f t="shared" si="50"/>
        <v>18483.601194567513</v>
      </c>
      <c r="AB47" s="513">
        <f t="shared" si="48"/>
        <v>14640.064399328548</v>
      </c>
      <c r="AC47" s="513">
        <f t="shared" si="48"/>
        <v>12077.70653583575</v>
      </c>
      <c r="AD47" s="513">
        <f t="shared" si="48"/>
        <v>0</v>
      </c>
      <c r="AE47" s="513">
        <f t="shared" si="48"/>
        <v>0</v>
      </c>
      <c r="AF47" s="513">
        <f t="shared" si="48"/>
        <v>0</v>
      </c>
      <c r="AG47" s="513">
        <f t="shared" si="48"/>
        <v>0</v>
      </c>
      <c r="AH47" s="513">
        <f t="shared" si="48"/>
        <v>0</v>
      </c>
      <c r="AI47" s="513">
        <f t="shared" si="48"/>
        <v>0</v>
      </c>
      <c r="AJ47" s="513">
        <f t="shared" si="48"/>
        <v>0</v>
      </c>
      <c r="AK47" s="513">
        <f t="shared" si="48"/>
        <v>0</v>
      </c>
      <c r="AL47" s="513">
        <f t="shared" si="48"/>
        <v>0</v>
      </c>
      <c r="AM47" s="513">
        <f t="shared" si="48"/>
        <v>0</v>
      </c>
    </row>
    <row r="48" spans="1:39" x14ac:dyDescent="0.25">
      <c r="A48" t="s">
        <v>474</v>
      </c>
      <c r="B48" t="s">
        <v>888</v>
      </c>
      <c r="C48" s="486">
        <v>86.96</v>
      </c>
      <c r="D48" s="490">
        <f t="shared" si="43"/>
        <v>0.31430000000000002</v>
      </c>
      <c r="E48" s="490">
        <f t="shared" si="44"/>
        <v>0.68569999999999998</v>
      </c>
      <c r="F48" s="490" t="str">
        <f t="shared" si="45"/>
        <v>Oil and Gas</v>
      </c>
      <c r="G48" s="491">
        <f>+C48*(100%-68.57%)</f>
        <v>27.331527999999999</v>
      </c>
      <c r="H48" s="121">
        <v>357.74</v>
      </c>
      <c r="I48" s="492">
        <f t="shared" si="46"/>
        <v>108.69912674768</v>
      </c>
      <c r="J48" s="496">
        <v>44548.767539958091</v>
      </c>
      <c r="K48" s="436">
        <v>31427.013687623752</v>
      </c>
      <c r="L48" s="436">
        <v>23791.787425751099</v>
      </c>
      <c r="M48" s="436"/>
      <c r="N48" s="436">
        <v>13036.815977502934</v>
      </c>
      <c r="O48" s="436"/>
      <c r="P48" s="436">
        <v>6368.0449941174884</v>
      </c>
      <c r="Q48" s="436"/>
      <c r="R48" s="436"/>
      <c r="S48" s="436"/>
      <c r="T48" s="436"/>
      <c r="U48" s="436"/>
      <c r="V48" s="497"/>
      <c r="W48" s="505">
        <f t="shared" si="47"/>
        <v>-2460.405259534517</v>
      </c>
      <c r="X48" s="505">
        <f t="shared" si="49"/>
        <v>5010091.7848976431</v>
      </c>
      <c r="Y48" s="504">
        <v>2035</v>
      </c>
      <c r="Z48" s="121" t="s">
        <v>888</v>
      </c>
      <c r="AA48" s="513">
        <f t="shared" si="50"/>
        <v>40073.16063791886</v>
      </c>
      <c r="AB48" s="513">
        <f t="shared" si="48"/>
        <v>32691.944859315641</v>
      </c>
      <c r="AC48" s="513">
        <f t="shared" si="48"/>
        <v>27771.134340246208</v>
      </c>
      <c r="AD48" s="513">
        <f t="shared" si="48"/>
        <v>22850.323821176775</v>
      </c>
      <c r="AE48" s="513">
        <f t="shared" si="48"/>
        <v>15469.108042573556</v>
      </c>
      <c r="AF48" s="513">
        <f t="shared" si="48"/>
        <v>8087.8922639703378</v>
      </c>
      <c r="AG48" s="513">
        <f t="shared" si="48"/>
        <v>0</v>
      </c>
      <c r="AH48" s="513">
        <f t="shared" si="48"/>
        <v>0</v>
      </c>
      <c r="AI48" s="513">
        <f t="shared" si="48"/>
        <v>0</v>
      </c>
      <c r="AJ48" s="513">
        <f t="shared" si="48"/>
        <v>0</v>
      </c>
      <c r="AK48" s="513">
        <f t="shared" si="48"/>
        <v>0</v>
      </c>
      <c r="AL48" s="513">
        <f t="shared" si="48"/>
        <v>0</v>
      </c>
      <c r="AM48" s="513">
        <f t="shared" si="48"/>
        <v>0</v>
      </c>
    </row>
    <row r="49" spans="1:39" x14ac:dyDescent="0.25">
      <c r="A49" t="s">
        <v>889</v>
      </c>
      <c r="B49" t="s">
        <v>890</v>
      </c>
      <c r="C49" s="486">
        <v>5.73</v>
      </c>
      <c r="D49" s="490">
        <f t="shared" si="43"/>
        <v>1</v>
      </c>
      <c r="E49" s="490">
        <f t="shared" si="44"/>
        <v>0</v>
      </c>
      <c r="F49" s="490" t="str">
        <f t="shared" si="45"/>
        <v>Oil</v>
      </c>
      <c r="G49" s="491">
        <f>+C49</f>
        <v>5.73</v>
      </c>
      <c r="H49" s="121">
        <v>0</v>
      </c>
      <c r="I49" s="492">
        <f t="shared" si="46"/>
        <v>0</v>
      </c>
      <c r="J49" s="496">
        <v>2264.0625</v>
      </c>
      <c r="K49" s="436">
        <v>1785.9375000000005</v>
      </c>
      <c r="L49" s="436">
        <v>1223.4375</v>
      </c>
      <c r="M49" s="436"/>
      <c r="N49" s="436">
        <v>689.0625</v>
      </c>
      <c r="O49" s="436"/>
      <c r="P49" s="436">
        <v>407.8125</v>
      </c>
      <c r="Q49" s="436"/>
      <c r="R49" s="436">
        <v>239.0625</v>
      </c>
      <c r="S49" s="436"/>
      <c r="T49" s="436">
        <v>140.625</v>
      </c>
      <c r="U49" s="436"/>
      <c r="V49" s="497">
        <v>98.4375</v>
      </c>
      <c r="W49" s="505">
        <f t="shared" si="47"/>
        <v>-68.669605024213084</v>
      </c>
      <c r="X49" s="505">
        <f t="shared" si="49"/>
        <v>140495.6965042373</v>
      </c>
      <c r="Y49" s="504">
        <v>2050</v>
      </c>
      <c r="Z49" s="121" t="s">
        <v>890</v>
      </c>
      <c r="AA49" s="513">
        <f t="shared" si="50"/>
        <v>1783.0943553268735</v>
      </c>
      <c r="AB49" s="513">
        <f t="shared" si="48"/>
        <v>1577.085540254222</v>
      </c>
      <c r="AC49" s="513">
        <f t="shared" si="48"/>
        <v>1439.7463302058168</v>
      </c>
      <c r="AD49" s="513">
        <f t="shared" si="48"/>
        <v>1302.4071201573825</v>
      </c>
      <c r="AE49" s="513">
        <f t="shared" si="48"/>
        <v>1096.398305084731</v>
      </c>
      <c r="AF49" s="513">
        <f t="shared" si="48"/>
        <v>890.38949001210858</v>
      </c>
      <c r="AG49" s="513">
        <f t="shared" si="48"/>
        <v>753.05027996367426</v>
      </c>
      <c r="AH49" s="513">
        <f t="shared" si="48"/>
        <v>615.71106991523993</v>
      </c>
      <c r="AI49" s="513">
        <f t="shared" si="48"/>
        <v>409.70225484261755</v>
      </c>
      <c r="AJ49" s="513">
        <f t="shared" si="48"/>
        <v>203.69343976996606</v>
      </c>
      <c r="AK49" s="513">
        <f t="shared" si="48"/>
        <v>66.354229721560841</v>
      </c>
      <c r="AL49" s="513">
        <v>0</v>
      </c>
      <c r="AM49" s="513">
        <f t="shared" si="48"/>
        <v>0</v>
      </c>
    </row>
    <row r="50" spans="1:39" x14ac:dyDescent="0.25">
      <c r="A50" t="s">
        <v>474</v>
      </c>
      <c r="B50" t="s">
        <v>891</v>
      </c>
      <c r="C50" s="486">
        <v>89.27</v>
      </c>
      <c r="D50" s="490">
        <f t="shared" si="43"/>
        <v>5.8400000000000001E-2</v>
      </c>
      <c r="E50" s="490">
        <f t="shared" si="44"/>
        <v>0.94159999999999999</v>
      </c>
      <c r="F50" s="490" t="str">
        <f t="shared" si="45"/>
        <v>Oil and Gas</v>
      </c>
      <c r="G50" s="491">
        <f>+C50*5.84%</f>
        <v>5.213368</v>
      </c>
      <c r="H50" s="121">
        <v>504.38</v>
      </c>
      <c r="I50" s="492">
        <f t="shared" si="46"/>
        <v>28.471662391040002</v>
      </c>
      <c r="J50" s="496">
        <v>10948.509485094852</v>
      </c>
      <c r="K50" s="436">
        <v>18536.585365853658</v>
      </c>
      <c r="L50" s="436">
        <v>15121.951219512197</v>
      </c>
      <c r="M50" s="436"/>
      <c r="N50" s="436">
        <v>10135.501355013552</v>
      </c>
      <c r="O50" s="436"/>
      <c r="P50" s="436">
        <v>6991.8699186991871</v>
      </c>
      <c r="Q50" s="436"/>
      <c r="R50" s="436">
        <v>4932.2493224932259</v>
      </c>
      <c r="S50" s="436"/>
      <c r="T50" s="436">
        <v>3360.4336043360454</v>
      </c>
      <c r="U50" s="436"/>
      <c r="V50" s="497">
        <v>2493.2249322493226</v>
      </c>
      <c r="W50" s="505">
        <f t="shared" si="47"/>
        <v>-465.03540095933653</v>
      </c>
      <c r="X50" s="505">
        <f t="shared" si="49"/>
        <v>954714.52850121737</v>
      </c>
      <c r="Y50" s="504">
        <v>2059</v>
      </c>
      <c r="Z50" s="121" t="s">
        <v>891</v>
      </c>
      <c r="AA50" s="513">
        <f t="shared" si="50"/>
        <v>15343.018563357531</v>
      </c>
      <c r="AB50" s="513">
        <f t="shared" si="48"/>
        <v>13947.91236047959</v>
      </c>
      <c r="AC50" s="513">
        <f t="shared" si="48"/>
        <v>13017.841558560845</v>
      </c>
      <c r="AD50" s="513">
        <f t="shared" si="48"/>
        <v>12087.770756642218</v>
      </c>
      <c r="AE50" s="513">
        <f t="shared" si="48"/>
        <v>10692.664553764276</v>
      </c>
      <c r="AF50" s="513">
        <f t="shared" si="48"/>
        <v>9297.5583508862182</v>
      </c>
      <c r="AG50" s="513">
        <f t="shared" si="48"/>
        <v>8367.4875489675906</v>
      </c>
      <c r="AH50" s="513">
        <f t="shared" si="48"/>
        <v>7437.4167470488464</v>
      </c>
      <c r="AI50" s="513">
        <f t="shared" si="48"/>
        <v>6042.3105441709049</v>
      </c>
      <c r="AJ50" s="513">
        <f t="shared" si="48"/>
        <v>4647.2043412928469</v>
      </c>
      <c r="AK50" s="513">
        <f t="shared" si="48"/>
        <v>3717.1335393742193</v>
      </c>
      <c r="AL50" s="513">
        <f t="shared" si="48"/>
        <v>2787.0627374554751</v>
      </c>
      <c r="AM50" s="513">
        <f t="shared" si="48"/>
        <v>1391.9565345775336</v>
      </c>
    </row>
    <row r="51" spans="1:39" x14ac:dyDescent="0.25">
      <c r="A51" t="s">
        <v>889</v>
      </c>
      <c r="B51" t="s">
        <v>892</v>
      </c>
      <c r="C51" s="486">
        <v>17.7</v>
      </c>
      <c r="D51" s="490">
        <f t="shared" si="43"/>
        <v>8.2299999999999998E-2</v>
      </c>
      <c r="E51" s="490">
        <f t="shared" si="44"/>
        <v>0.91769999999999996</v>
      </c>
      <c r="F51" s="490" t="str">
        <f t="shared" si="45"/>
        <v>Oil and Gas</v>
      </c>
      <c r="G51" s="491">
        <f>+C51*8.23%</f>
        <v>1.4567099999999999</v>
      </c>
      <c r="H51" s="121">
        <v>97.48</v>
      </c>
      <c r="I51" s="492">
        <f t="shared" si="46"/>
        <v>7.7535720485999997</v>
      </c>
      <c r="J51" s="496">
        <v>18542.472955633653</v>
      </c>
      <c r="K51" s="436"/>
      <c r="L51" s="436">
        <v>10048.403417448106</v>
      </c>
      <c r="M51" s="436"/>
      <c r="N51" s="436"/>
      <c r="O51" s="436"/>
      <c r="P51" s="436"/>
      <c r="Q51" s="436"/>
      <c r="R51" s="436"/>
      <c r="S51" s="436"/>
      <c r="T51" s="436"/>
      <c r="U51" s="436"/>
      <c r="V51" s="497"/>
      <c r="W51" s="505">
        <f t="shared" si="47"/>
        <v>-1698.8139076371094</v>
      </c>
      <c r="X51" s="505">
        <f t="shared" si="49"/>
        <v>3450146.5663825944</v>
      </c>
      <c r="Y51" s="504">
        <v>2025</v>
      </c>
      <c r="Z51" s="121" t="s">
        <v>892</v>
      </c>
      <c r="AA51" s="513">
        <f t="shared" si="50"/>
        <v>18542.47295563342</v>
      </c>
      <c r="AB51" s="513">
        <f t="shared" si="48"/>
        <v>13446.031232722104</v>
      </c>
      <c r="AC51" s="513">
        <f t="shared" si="48"/>
        <v>0</v>
      </c>
      <c r="AD51" s="513">
        <f t="shared" si="48"/>
        <v>0</v>
      </c>
      <c r="AE51" s="513">
        <f t="shared" si="48"/>
        <v>0</v>
      </c>
      <c r="AF51" s="513">
        <f t="shared" si="48"/>
        <v>0</v>
      </c>
      <c r="AG51" s="513">
        <f t="shared" si="48"/>
        <v>0</v>
      </c>
      <c r="AH51" s="513">
        <f t="shared" si="48"/>
        <v>0</v>
      </c>
      <c r="AI51" s="513">
        <f t="shared" si="48"/>
        <v>0</v>
      </c>
      <c r="AJ51" s="513">
        <f t="shared" si="48"/>
        <v>0</v>
      </c>
      <c r="AK51" s="513">
        <f t="shared" si="48"/>
        <v>0</v>
      </c>
      <c r="AL51" s="513">
        <f t="shared" si="48"/>
        <v>0</v>
      </c>
      <c r="AM51" s="513">
        <f t="shared" si="48"/>
        <v>0</v>
      </c>
    </row>
    <row r="52" spans="1:39" x14ac:dyDescent="0.25">
      <c r="A52" t="s">
        <v>474</v>
      </c>
      <c r="B52" t="s">
        <v>893</v>
      </c>
      <c r="C52" s="486">
        <v>10.25</v>
      </c>
      <c r="D52" s="490">
        <f t="shared" si="43"/>
        <v>0.02</v>
      </c>
      <c r="E52" s="490">
        <f t="shared" si="44"/>
        <v>0.98</v>
      </c>
      <c r="F52" s="490" t="str">
        <f t="shared" si="45"/>
        <v>Oil and Gas</v>
      </c>
      <c r="G52" s="491">
        <f>+C52*2%</f>
        <v>0.20500000000000002</v>
      </c>
      <c r="H52" s="121">
        <v>60.26</v>
      </c>
      <c r="I52" s="492">
        <f t="shared" si="46"/>
        <v>1.1652200000000001</v>
      </c>
      <c r="J52" s="496">
        <v>9971.5099715100077</v>
      </c>
      <c r="K52" s="436"/>
      <c r="L52" s="436">
        <v>4985.7549857549602</v>
      </c>
      <c r="M52" s="436"/>
      <c r="N52" s="436"/>
      <c r="O52" s="436"/>
      <c r="P52" s="436"/>
      <c r="Q52" s="436"/>
      <c r="R52" s="436"/>
      <c r="S52" s="436"/>
      <c r="T52" s="436"/>
      <c r="U52" s="436"/>
      <c r="V52" s="497"/>
      <c r="W52" s="505">
        <f t="shared" si="47"/>
        <v>-997.15099715100951</v>
      </c>
      <c r="X52" s="505">
        <f t="shared" si="49"/>
        <v>2024216.5242165492</v>
      </c>
      <c r="Y52" s="504">
        <v>2025</v>
      </c>
      <c r="Z52" s="121" t="s">
        <v>893</v>
      </c>
      <c r="AA52" s="513">
        <f t="shared" si="50"/>
        <v>9971.5099715099204</v>
      </c>
      <c r="AB52" s="513">
        <f t="shared" si="50"/>
        <v>6980.056980056921</v>
      </c>
      <c r="AC52" s="513">
        <f t="shared" si="50"/>
        <v>0</v>
      </c>
      <c r="AD52" s="513">
        <f t="shared" si="50"/>
        <v>0</v>
      </c>
      <c r="AE52" s="513">
        <f t="shared" si="50"/>
        <v>0</v>
      </c>
      <c r="AF52" s="513">
        <f t="shared" si="50"/>
        <v>0</v>
      </c>
      <c r="AG52" s="513">
        <f t="shared" si="50"/>
        <v>0</v>
      </c>
      <c r="AH52" s="513">
        <f t="shared" si="50"/>
        <v>0</v>
      </c>
      <c r="AI52" s="513">
        <f t="shared" si="50"/>
        <v>0</v>
      </c>
      <c r="AJ52" s="513">
        <f t="shared" si="50"/>
        <v>0</v>
      </c>
      <c r="AK52" s="513">
        <f t="shared" si="50"/>
        <v>0</v>
      </c>
      <c r="AL52" s="513">
        <f t="shared" si="50"/>
        <v>0</v>
      </c>
      <c r="AM52" s="513">
        <f t="shared" si="50"/>
        <v>0</v>
      </c>
    </row>
    <row r="53" spans="1:39" x14ac:dyDescent="0.25">
      <c r="A53" t="s">
        <v>889</v>
      </c>
      <c r="B53" t="s">
        <v>894</v>
      </c>
      <c r="C53" s="486">
        <v>1.1399999999999999</v>
      </c>
      <c r="D53" s="490">
        <f t="shared" si="43"/>
        <v>0.93119999999999992</v>
      </c>
      <c r="E53" s="490">
        <f t="shared" si="44"/>
        <v>6.8800000000000083E-2</v>
      </c>
      <c r="F53" s="490" t="str">
        <f t="shared" si="45"/>
        <v>Oil and Gas</v>
      </c>
      <c r="G53" s="491">
        <f>+C53*93.12%</f>
        <v>1.0615679999999998</v>
      </c>
      <c r="H53" s="121">
        <v>0.47</v>
      </c>
      <c r="I53" s="492">
        <f t="shared" si="46"/>
        <v>0.42360809472000044</v>
      </c>
      <c r="J53" s="496">
        <v>1011.5853658536586</v>
      </c>
      <c r="K53" s="436">
        <v>426.82926829268285</v>
      </c>
      <c r="L53" s="436">
        <v>273.17073170731692</v>
      </c>
      <c r="M53" s="436">
        <v>170.73170731707319</v>
      </c>
      <c r="N53" s="436">
        <v>110.97560975609758</v>
      </c>
      <c r="O53" s="436">
        <v>55.487804878048792</v>
      </c>
      <c r="P53" s="436"/>
      <c r="Q53" s="436"/>
      <c r="R53" s="436"/>
      <c r="S53" s="436"/>
      <c r="T53" s="436"/>
      <c r="U53" s="436"/>
      <c r="V53" s="497"/>
      <c r="W53" s="505">
        <f t="shared" si="47"/>
        <v>-65.59624653132758</v>
      </c>
      <c r="X53" s="505">
        <f t="shared" si="49"/>
        <v>133261.32430261426</v>
      </c>
      <c r="Y53" s="504">
        <v>2033</v>
      </c>
      <c r="Z53" s="121" t="s">
        <v>894</v>
      </c>
      <c r="AA53" s="513">
        <f t="shared" ref="AA53:AM53" si="51">+IF(AA$35&lt;$Y53,$W53*AA$35+$X53,0)</f>
        <v>756.90630933255306</v>
      </c>
      <c r="AB53" s="513">
        <f t="shared" si="51"/>
        <v>560.11756973856245</v>
      </c>
      <c r="AC53" s="513">
        <f t="shared" si="51"/>
        <v>428.92507667592145</v>
      </c>
      <c r="AD53" s="513">
        <f t="shared" si="51"/>
        <v>297.73258361325134</v>
      </c>
      <c r="AE53" s="513">
        <f t="shared" si="51"/>
        <v>100.94384401926072</v>
      </c>
      <c r="AF53" s="513">
        <f t="shared" si="51"/>
        <v>0</v>
      </c>
      <c r="AG53" s="513">
        <f t="shared" si="51"/>
        <v>0</v>
      </c>
      <c r="AH53" s="513">
        <f t="shared" si="51"/>
        <v>0</v>
      </c>
      <c r="AI53" s="513">
        <f t="shared" si="51"/>
        <v>0</v>
      </c>
      <c r="AJ53" s="513">
        <f t="shared" si="51"/>
        <v>0</v>
      </c>
      <c r="AK53" s="513">
        <f t="shared" si="51"/>
        <v>0</v>
      </c>
      <c r="AL53" s="513">
        <f t="shared" si="51"/>
        <v>0</v>
      </c>
      <c r="AM53" s="513">
        <f t="shared" si="51"/>
        <v>0</v>
      </c>
    </row>
    <row r="54" spans="1:39" x14ac:dyDescent="0.25">
      <c r="A54" t="s">
        <v>889</v>
      </c>
      <c r="B54" t="s">
        <v>895</v>
      </c>
      <c r="C54" s="486">
        <v>1.31</v>
      </c>
      <c r="D54" s="490">
        <f t="shared" si="43"/>
        <v>0.95340000000000003</v>
      </c>
      <c r="E54" s="490">
        <f t="shared" si="44"/>
        <v>4.6599999999999975E-2</v>
      </c>
      <c r="F54" s="490" t="str">
        <f t="shared" si="45"/>
        <v>Oil and Gas</v>
      </c>
      <c r="G54" s="491">
        <f>+C54*95.34%</f>
        <v>1.2489540000000001</v>
      </c>
      <c r="H54" s="121">
        <v>0.37</v>
      </c>
      <c r="I54" s="492">
        <f t="shared" si="46"/>
        <v>0.33756728711999989</v>
      </c>
      <c r="J54" s="496">
        <v>478.4770733757025</v>
      </c>
      <c r="K54" s="436"/>
      <c r="L54" s="436">
        <v>279.42512737013499</v>
      </c>
      <c r="M54" s="436"/>
      <c r="N54" s="436">
        <v>141.14055360050423</v>
      </c>
      <c r="O54" s="436"/>
      <c r="P54" s="436">
        <v>88.287199957980988</v>
      </c>
      <c r="Q54" s="436"/>
      <c r="R54" s="436">
        <v>56.323861547350248</v>
      </c>
      <c r="S54" s="436"/>
      <c r="T54" s="436">
        <v>35.752928200010388</v>
      </c>
      <c r="U54" s="436"/>
      <c r="V54" s="497">
        <v>22.784810126582215</v>
      </c>
      <c r="W54" s="505">
        <f t="shared" si="47"/>
        <v>-13.851699143862602</v>
      </c>
      <c r="X54" s="505">
        <f t="shared" si="49"/>
        <v>28345.663694071576</v>
      </c>
      <c r="Y54" s="504">
        <v>2053</v>
      </c>
      <c r="Z54" s="121" t="s">
        <v>895</v>
      </c>
      <c r="AA54" s="513">
        <f t="shared" ref="AA54:AK57" si="52">+IF(AA$35&lt;$Y54,$W54*AA$35+$X54,0)</f>
        <v>365.23142346912209</v>
      </c>
      <c r="AB54" s="513">
        <f t="shared" si="52"/>
        <v>323.67632603753373</v>
      </c>
      <c r="AC54" s="513">
        <f t="shared" si="52"/>
        <v>295.97292774980815</v>
      </c>
      <c r="AD54" s="513">
        <f t="shared" si="52"/>
        <v>268.26952946208257</v>
      </c>
      <c r="AE54" s="513">
        <f t="shared" si="52"/>
        <v>226.71443203049421</v>
      </c>
      <c r="AF54" s="513">
        <f t="shared" si="52"/>
        <v>185.15933459890584</v>
      </c>
      <c r="AG54" s="513">
        <f t="shared" si="52"/>
        <v>157.45593631118027</v>
      </c>
      <c r="AH54" s="513">
        <f t="shared" si="52"/>
        <v>129.75253802345469</v>
      </c>
      <c r="AI54" s="513">
        <f t="shared" si="52"/>
        <v>88.197440591869963</v>
      </c>
      <c r="AJ54" s="513">
        <f t="shared" si="52"/>
        <v>46.642343160281598</v>
      </c>
      <c r="AK54" s="513">
        <f t="shared" si="52"/>
        <v>18.938944872556021</v>
      </c>
      <c r="AL54" s="513">
        <v>0</v>
      </c>
      <c r="AM54" s="513">
        <v>0</v>
      </c>
    </row>
    <row r="55" spans="1:39" x14ac:dyDescent="0.25">
      <c r="A55" t="s">
        <v>474</v>
      </c>
      <c r="B55" t="s">
        <v>896</v>
      </c>
      <c r="C55" s="486">
        <v>8.8000000000000007</v>
      </c>
      <c r="D55" s="490">
        <f t="shared" si="43"/>
        <v>0.9466</v>
      </c>
      <c r="E55" s="490">
        <f t="shared" si="44"/>
        <v>5.3400000000000003E-2</v>
      </c>
      <c r="F55" s="490" t="str">
        <f t="shared" si="45"/>
        <v>Oil and Gas</v>
      </c>
      <c r="G55" s="491">
        <f>+C55*94.66%</f>
        <v>8.3300800000000006</v>
      </c>
      <c r="H55" s="121">
        <v>2.82</v>
      </c>
      <c r="I55" s="492">
        <f t="shared" si="46"/>
        <v>2.5799923776000004</v>
      </c>
      <c r="J55" s="496">
        <v>3015.5763239875378</v>
      </c>
      <c r="K55" s="436"/>
      <c r="L55" s="436">
        <v>2068.5358255451711</v>
      </c>
      <c r="M55" s="436"/>
      <c r="N55" s="436">
        <v>1096.5732087227407</v>
      </c>
      <c r="O55" s="436"/>
      <c r="P55" s="436">
        <v>747.66355140186806</v>
      </c>
      <c r="Q55" s="436">
        <v>573.20872274143221</v>
      </c>
      <c r="R55" s="436"/>
      <c r="S55" s="436"/>
      <c r="T55" s="436"/>
      <c r="U55" s="436"/>
      <c r="V55" s="497"/>
      <c r="W55" s="505">
        <f t="shared" si="47"/>
        <v>-143.23899073003355</v>
      </c>
      <c r="X55" s="505">
        <f t="shared" si="49"/>
        <v>292189.51931400981</v>
      </c>
      <c r="Y55" s="504">
        <v>2039</v>
      </c>
      <c r="Z55" s="121" t="s">
        <v>896</v>
      </c>
      <c r="AA55" s="513">
        <f t="shared" si="52"/>
        <v>2846.7580393420649</v>
      </c>
      <c r="AB55" s="513">
        <f t="shared" si="52"/>
        <v>2417.0410671519348</v>
      </c>
      <c r="AC55" s="513">
        <f t="shared" si="52"/>
        <v>2130.563085691887</v>
      </c>
      <c r="AD55" s="513">
        <f t="shared" si="52"/>
        <v>1844.0851042317809</v>
      </c>
      <c r="AE55" s="513">
        <f t="shared" si="52"/>
        <v>1414.368132041709</v>
      </c>
      <c r="AF55" s="513">
        <f t="shared" si="52"/>
        <v>984.651159851579</v>
      </c>
      <c r="AG55" s="513">
        <f t="shared" si="52"/>
        <v>698.17317839153111</v>
      </c>
      <c r="AH55" s="513">
        <f t="shared" si="52"/>
        <v>411.69519693148322</v>
      </c>
      <c r="AI55" s="513">
        <f t="shared" si="52"/>
        <v>0</v>
      </c>
      <c r="AJ55" s="513">
        <f t="shared" si="52"/>
        <v>0</v>
      </c>
      <c r="AK55" s="513">
        <f t="shared" si="52"/>
        <v>0</v>
      </c>
      <c r="AL55" s="513">
        <f t="shared" ref="AL55:AM68" si="53">+IF(AL$35&lt;$Y55,$W55*AL$35+$X55,0)</f>
        <v>0</v>
      </c>
      <c r="AM55" s="513">
        <f t="shared" si="53"/>
        <v>0</v>
      </c>
    </row>
    <row r="56" spans="1:39" x14ac:dyDescent="0.25">
      <c r="A56" t="s">
        <v>889</v>
      </c>
      <c r="B56" t="s">
        <v>897</v>
      </c>
      <c r="C56" s="486">
        <v>4.72</v>
      </c>
      <c r="D56" s="490">
        <f t="shared" si="43"/>
        <v>0.73699999999999999</v>
      </c>
      <c r="E56" s="490">
        <f t="shared" si="44"/>
        <v>0.26300000000000001</v>
      </c>
      <c r="F56" s="490" t="str">
        <f t="shared" si="45"/>
        <v>Oil and Gas</v>
      </c>
      <c r="G56" s="491">
        <f>+C56*73.7%</f>
        <v>3.47864</v>
      </c>
      <c r="H56" s="121">
        <v>7.45</v>
      </c>
      <c r="I56" s="492">
        <f t="shared" si="46"/>
        <v>5.3063174560000004</v>
      </c>
      <c r="J56" s="496">
        <v>3418.0511603375526</v>
      </c>
      <c r="K56" s="436">
        <v>2772.6133966244743</v>
      </c>
      <c r="L56" s="436">
        <v>1873.6814345991588</v>
      </c>
      <c r="M56" s="436">
        <v>773.00896624472807</v>
      </c>
      <c r="N56" s="436">
        <v>570.93881856540247</v>
      </c>
      <c r="O56" s="436"/>
      <c r="P56" s="436"/>
      <c r="Q56" s="436"/>
      <c r="R56" s="436"/>
      <c r="S56" s="436"/>
      <c r="T56" s="436"/>
      <c r="U56" s="436"/>
      <c r="V56" s="497"/>
      <c r="W56" s="505">
        <f t="shared" si="47"/>
        <v>-314.39259602793521</v>
      </c>
      <c r="X56" s="505">
        <f t="shared" si="49"/>
        <v>638526.66571184306</v>
      </c>
      <c r="Y56" s="504">
        <v>2030</v>
      </c>
      <c r="Z56" s="121" t="s">
        <v>897</v>
      </c>
      <c r="AA56" s="513">
        <f t="shared" si="52"/>
        <v>3453.621735413908</v>
      </c>
      <c r="AB56" s="513">
        <f t="shared" si="52"/>
        <v>2510.4439473301172</v>
      </c>
      <c r="AC56" s="513">
        <f t="shared" si="52"/>
        <v>1881.6587552742567</v>
      </c>
      <c r="AD56" s="513">
        <f t="shared" si="52"/>
        <v>1252.8735632183962</v>
      </c>
      <c r="AE56" s="513">
        <f t="shared" si="52"/>
        <v>0</v>
      </c>
      <c r="AF56" s="513">
        <f t="shared" si="52"/>
        <v>0</v>
      </c>
      <c r="AG56" s="513">
        <f t="shared" si="52"/>
        <v>0</v>
      </c>
      <c r="AH56" s="513">
        <f t="shared" si="52"/>
        <v>0</v>
      </c>
      <c r="AI56" s="513">
        <f t="shared" si="52"/>
        <v>0</v>
      </c>
      <c r="AJ56" s="513">
        <f t="shared" si="52"/>
        <v>0</v>
      </c>
      <c r="AK56" s="513">
        <f t="shared" si="52"/>
        <v>0</v>
      </c>
      <c r="AL56" s="513">
        <f t="shared" si="53"/>
        <v>0</v>
      </c>
      <c r="AM56" s="513">
        <f t="shared" si="53"/>
        <v>0</v>
      </c>
    </row>
    <row r="57" spans="1:39" x14ac:dyDescent="0.25">
      <c r="A57" t="s">
        <v>474</v>
      </c>
      <c r="B57" t="s">
        <v>898</v>
      </c>
      <c r="C57" s="486">
        <v>11.27</v>
      </c>
      <c r="D57" s="490">
        <f t="shared" si="43"/>
        <v>1</v>
      </c>
      <c r="E57" s="490">
        <f t="shared" si="44"/>
        <v>0</v>
      </c>
      <c r="F57" s="490" t="str">
        <f t="shared" si="45"/>
        <v>Oil</v>
      </c>
      <c r="G57" s="491">
        <v>11.27</v>
      </c>
      <c r="H57" s="121">
        <v>0</v>
      </c>
      <c r="I57" s="492">
        <f t="shared" si="46"/>
        <v>0</v>
      </c>
      <c r="J57" s="496">
        <v>2515.9744408945689</v>
      </c>
      <c r="K57" s="436">
        <v>2180.5111821086266</v>
      </c>
      <c r="L57" s="436">
        <v>1744.408945686901</v>
      </c>
      <c r="M57" s="436"/>
      <c r="N57" s="436">
        <v>1230.031948881789</v>
      </c>
      <c r="O57" s="436"/>
      <c r="P57" s="436">
        <v>861.02236421725229</v>
      </c>
      <c r="Q57" s="436"/>
      <c r="R57" s="436">
        <v>615.01597444089475</v>
      </c>
      <c r="S57" s="436"/>
      <c r="T57" s="436">
        <v>447.28434504792313</v>
      </c>
      <c r="U57" s="436"/>
      <c r="V57" s="497">
        <v>313.09904153354637</v>
      </c>
      <c r="W57" s="505">
        <f t="shared" si="47"/>
        <v>-73.116911247089405</v>
      </c>
      <c r="X57" s="505">
        <f t="shared" si="49"/>
        <v>149921.65755130773</v>
      </c>
      <c r="Y57" s="504">
        <v>2067</v>
      </c>
      <c r="Z57" s="121" t="s">
        <v>898</v>
      </c>
      <c r="AA57" s="513">
        <f t="shared" si="52"/>
        <v>2225.496832187142</v>
      </c>
      <c r="AB57" s="513">
        <f t="shared" si="52"/>
        <v>2006.1460984458681</v>
      </c>
      <c r="AC57" s="513">
        <f t="shared" si="52"/>
        <v>1859.9122759516758</v>
      </c>
      <c r="AD57" s="513">
        <f t="shared" si="52"/>
        <v>1713.6784534575127</v>
      </c>
      <c r="AE57" s="513">
        <f t="shared" si="52"/>
        <v>1494.3277197162388</v>
      </c>
      <c r="AF57" s="513">
        <f t="shared" si="52"/>
        <v>1274.9769859749649</v>
      </c>
      <c r="AG57" s="513">
        <f t="shared" si="52"/>
        <v>1128.7431634807726</v>
      </c>
      <c r="AH57" s="513">
        <f t="shared" si="52"/>
        <v>982.50934098660946</v>
      </c>
      <c r="AI57" s="513">
        <f t="shared" si="52"/>
        <v>763.15860724533559</v>
      </c>
      <c r="AJ57" s="513">
        <f t="shared" si="52"/>
        <v>543.80787350406172</v>
      </c>
      <c r="AK57" s="513">
        <f t="shared" si="52"/>
        <v>397.57405100989854</v>
      </c>
      <c r="AL57" s="513">
        <f t="shared" si="53"/>
        <v>251.34022851570626</v>
      </c>
      <c r="AM57" s="513">
        <f t="shared" si="53"/>
        <v>31.989494774432387</v>
      </c>
    </row>
    <row r="58" spans="1:39" x14ac:dyDescent="0.25">
      <c r="A58" t="s">
        <v>474</v>
      </c>
      <c r="B58" t="s">
        <v>851</v>
      </c>
      <c r="C58" s="486">
        <v>3.84</v>
      </c>
      <c r="D58" s="490">
        <f t="shared" si="43"/>
        <v>0</v>
      </c>
      <c r="E58" s="490">
        <f t="shared" si="44"/>
        <v>1</v>
      </c>
      <c r="F58" s="490" t="str">
        <f t="shared" si="45"/>
        <v>Gas</v>
      </c>
      <c r="G58" s="491"/>
      <c r="H58" s="121">
        <v>23.03</v>
      </c>
      <c r="I58" s="492">
        <f t="shared" si="46"/>
        <v>0</v>
      </c>
      <c r="J58" s="496">
        <v>5461.7834394904457</v>
      </c>
      <c r="K58" s="436">
        <v>1738.8535031847141</v>
      </c>
      <c r="L58" s="436">
        <v>936.30573248407654</v>
      </c>
      <c r="M58" s="436">
        <v>468.15286624203873</v>
      </c>
      <c r="N58" s="436"/>
      <c r="O58" s="436"/>
      <c r="P58" s="436"/>
      <c r="Q58" s="436"/>
      <c r="R58" s="436"/>
      <c r="S58" s="436"/>
      <c r="T58" s="436"/>
      <c r="U58" s="436"/>
      <c r="V58" s="497"/>
      <c r="W58" s="505">
        <f t="shared" si="47"/>
        <v>-713.79248764807414</v>
      </c>
      <c r="X58" s="505">
        <f t="shared" si="49"/>
        <v>1446688.8207631402</v>
      </c>
      <c r="Y58" s="504">
        <v>2028</v>
      </c>
      <c r="Z58" s="121" t="s">
        <v>851</v>
      </c>
      <c r="AA58" s="513">
        <f t="shared" ref="AA58:AC68" si="54">+IF(AA$35&lt;$Y58,$W58*AA$35+$X58,0)</f>
        <v>4827.9957140304614</v>
      </c>
      <c r="AB58" s="513">
        <f t="shared" si="54"/>
        <v>2686.6182510862127</v>
      </c>
      <c r="AC58" s="513">
        <f t="shared" si="54"/>
        <v>1259.0332757900469</v>
      </c>
      <c r="AD58" s="513">
        <v>0</v>
      </c>
      <c r="AE58" s="513">
        <f t="shared" ref="AE58:AK58" si="55">+IF(AE$35&lt;$Y58,$W58*AE$35+$X58,0)</f>
        <v>0</v>
      </c>
      <c r="AF58" s="513">
        <f t="shared" si="55"/>
        <v>0</v>
      </c>
      <c r="AG58" s="513">
        <f t="shared" si="55"/>
        <v>0</v>
      </c>
      <c r="AH58" s="513">
        <f t="shared" si="55"/>
        <v>0</v>
      </c>
      <c r="AI58" s="513">
        <f t="shared" si="55"/>
        <v>0</v>
      </c>
      <c r="AJ58" s="513">
        <f t="shared" si="55"/>
        <v>0</v>
      </c>
      <c r="AK58" s="513">
        <f t="shared" si="55"/>
        <v>0</v>
      </c>
      <c r="AL58" s="513">
        <f t="shared" si="53"/>
        <v>0</v>
      </c>
      <c r="AM58" s="513">
        <f t="shared" si="53"/>
        <v>0</v>
      </c>
    </row>
    <row r="59" spans="1:39" x14ac:dyDescent="0.25">
      <c r="A59" t="s">
        <v>474</v>
      </c>
      <c r="B59" t="s">
        <v>899</v>
      </c>
      <c r="C59" s="486">
        <v>14.92</v>
      </c>
      <c r="D59" s="490">
        <f t="shared" si="43"/>
        <v>0.99739999999999995</v>
      </c>
      <c r="E59" s="490">
        <f t="shared" si="44"/>
        <v>2.6000000000000467E-3</v>
      </c>
      <c r="F59" s="490" t="str">
        <f t="shared" si="45"/>
        <v>Oil and Gas</v>
      </c>
      <c r="G59" s="491">
        <f>+C59*99.74%</f>
        <v>14.881207999999999</v>
      </c>
      <c r="H59" s="121">
        <v>0.24</v>
      </c>
      <c r="I59" s="492">
        <f t="shared" si="46"/>
        <v>0.22440861664000403</v>
      </c>
      <c r="J59" s="496">
        <v>10378.588980143002</v>
      </c>
      <c r="K59" s="436"/>
      <c r="L59" s="436">
        <v>4118.367166227612</v>
      </c>
      <c r="M59" s="436"/>
      <c r="N59" s="436">
        <v>1302.5922564363664</v>
      </c>
      <c r="O59" s="436"/>
      <c r="P59" s="436">
        <v>695.4596772408313</v>
      </c>
      <c r="Q59" s="436"/>
      <c r="R59" s="436">
        <v>529.80762845062418</v>
      </c>
      <c r="S59" s="436"/>
      <c r="T59" s="436"/>
      <c r="U59" s="436"/>
      <c r="V59" s="497"/>
      <c r="W59" s="505">
        <f t="shared" si="47"/>
        <v>-462.40940384743078</v>
      </c>
      <c r="X59" s="505">
        <f t="shared" si="49"/>
        <v>942096.05295198411</v>
      </c>
      <c r="Y59" s="504">
        <v>2043</v>
      </c>
      <c r="Z59" s="121" t="s">
        <v>899</v>
      </c>
      <c r="AA59" s="513">
        <f t="shared" si="54"/>
        <v>8029.0571801739279</v>
      </c>
      <c r="AB59" s="513">
        <f t="shared" si="54"/>
        <v>6641.8289686316857</v>
      </c>
      <c r="AC59" s="513">
        <f t="shared" si="54"/>
        <v>5717.0101609367412</v>
      </c>
      <c r="AD59" s="513">
        <f t="shared" ref="AD59:AH68" si="56">+IF(AD$35&lt;$Y59,$W59*AD$35+$X59,0)</f>
        <v>4792.191353241913</v>
      </c>
      <c r="AE59" s="513">
        <f t="shared" si="56"/>
        <v>3404.9631416996708</v>
      </c>
      <c r="AF59" s="513">
        <f t="shared" si="56"/>
        <v>2017.7349301573122</v>
      </c>
      <c r="AG59" s="513">
        <f t="shared" si="56"/>
        <v>1092.9161224624841</v>
      </c>
      <c r="AH59" s="513">
        <f t="shared" si="56"/>
        <v>168.09731476765592</v>
      </c>
      <c r="AI59" s="513">
        <v>0</v>
      </c>
      <c r="AJ59" s="513">
        <f t="shared" ref="AJ59:AK68" si="57">+IF(AJ$35&lt;$Y59,$W59*AJ$35+$X59,0)</f>
        <v>0</v>
      </c>
      <c r="AK59" s="513">
        <f t="shared" si="57"/>
        <v>0</v>
      </c>
      <c r="AL59" s="513">
        <f t="shared" si="53"/>
        <v>0</v>
      </c>
      <c r="AM59" s="513">
        <f t="shared" si="53"/>
        <v>0</v>
      </c>
    </row>
    <row r="60" spans="1:39" x14ac:dyDescent="0.25">
      <c r="A60" t="s">
        <v>474</v>
      </c>
      <c r="B60" t="s">
        <v>857</v>
      </c>
      <c r="C60" s="486">
        <v>43.42</v>
      </c>
      <c r="D60" s="490">
        <f t="shared" si="43"/>
        <v>0.93490000000000006</v>
      </c>
      <c r="E60" s="490">
        <f t="shared" si="44"/>
        <v>6.5099999999999936E-2</v>
      </c>
      <c r="F60" s="490" t="str">
        <f t="shared" si="45"/>
        <v>Oil and Gas</v>
      </c>
      <c r="G60" s="491">
        <f>+C60*93.49%</f>
        <v>40.593358000000002</v>
      </c>
      <c r="H60" s="121">
        <v>16.96</v>
      </c>
      <c r="I60" s="492">
        <f t="shared" si="46"/>
        <v>15.327240113639984</v>
      </c>
      <c r="J60" s="496">
        <v>25106.666666666664</v>
      </c>
      <c r="K60" s="436"/>
      <c r="L60" s="436">
        <v>11573.333333333336</v>
      </c>
      <c r="M60" s="436"/>
      <c r="N60" s="436">
        <v>4200</v>
      </c>
      <c r="O60" s="436"/>
      <c r="P60" s="436">
        <v>2146.6666666666642</v>
      </c>
      <c r="Q60" s="436"/>
      <c r="R60" s="436">
        <v>1213.3333333333358</v>
      </c>
      <c r="S60" s="436"/>
      <c r="T60" s="436"/>
      <c r="U60" s="436"/>
      <c r="V60" s="497"/>
      <c r="W60" s="505">
        <f t="shared" si="47"/>
        <v>-1144.2666666666664</v>
      </c>
      <c r="X60" s="505">
        <f t="shared" si="49"/>
        <v>2331709.333333333</v>
      </c>
      <c r="Y60" s="504">
        <v>2042</v>
      </c>
      <c r="Z60" s="121" t="s">
        <v>857</v>
      </c>
      <c r="AA60" s="513">
        <f t="shared" si="54"/>
        <v>20290.666666666977</v>
      </c>
      <c r="AB60" s="513">
        <f t="shared" si="54"/>
        <v>16857.866666666698</v>
      </c>
      <c r="AC60" s="513">
        <f t="shared" si="54"/>
        <v>14569.333333333489</v>
      </c>
      <c r="AD60" s="513">
        <f t="shared" si="56"/>
        <v>12280.800000000279</v>
      </c>
      <c r="AE60" s="513">
        <f t="shared" si="56"/>
        <v>8848</v>
      </c>
      <c r="AF60" s="513">
        <f t="shared" si="56"/>
        <v>5415.2000000001863</v>
      </c>
      <c r="AG60" s="513">
        <f t="shared" si="56"/>
        <v>3126.6666666669771</v>
      </c>
      <c r="AH60" s="513">
        <f t="shared" si="56"/>
        <v>838.13333333330229</v>
      </c>
      <c r="AI60" s="513">
        <v>0</v>
      </c>
      <c r="AJ60" s="513">
        <f t="shared" si="57"/>
        <v>0</v>
      </c>
      <c r="AK60" s="513">
        <f t="shared" si="57"/>
        <v>0</v>
      </c>
      <c r="AL60" s="513">
        <f t="shared" si="53"/>
        <v>0</v>
      </c>
      <c r="AM60" s="513">
        <f t="shared" si="53"/>
        <v>0</v>
      </c>
    </row>
    <row r="61" spans="1:39" x14ac:dyDescent="0.25">
      <c r="A61" t="s">
        <v>474</v>
      </c>
      <c r="B61" t="s">
        <v>852</v>
      </c>
      <c r="C61" s="486">
        <v>7.3</v>
      </c>
      <c r="D61" s="490">
        <f t="shared" si="43"/>
        <v>0.89639999999999997</v>
      </c>
      <c r="E61" s="490">
        <f t="shared" si="44"/>
        <v>0.10360000000000003</v>
      </c>
      <c r="F61" s="490" t="str">
        <f t="shared" si="45"/>
        <v>Oil and Gas</v>
      </c>
      <c r="G61" s="491">
        <f>+C61*89.64%</f>
        <v>6.5437199999999995</v>
      </c>
      <c r="H61" s="121">
        <v>4.54</v>
      </c>
      <c r="I61" s="492">
        <f t="shared" si="46"/>
        <v>3.9319904736000009</v>
      </c>
      <c r="J61" s="496">
        <v>1984.4236760124613</v>
      </c>
      <c r="K61" s="436"/>
      <c r="L61" s="436">
        <v>1548.2866043613712</v>
      </c>
      <c r="M61" s="436"/>
      <c r="N61" s="436">
        <v>937.6947040498444</v>
      </c>
      <c r="O61" s="436"/>
      <c r="P61" s="436">
        <v>632.39875389408189</v>
      </c>
      <c r="Q61" s="436"/>
      <c r="R61" s="436">
        <v>414.33021806853685</v>
      </c>
      <c r="S61" s="436">
        <v>370.71651090342766</v>
      </c>
      <c r="T61" s="436"/>
      <c r="U61" s="436"/>
      <c r="V61" s="497"/>
      <c r="W61" s="505">
        <f t="shared" si="47"/>
        <v>-72.199748918956587</v>
      </c>
      <c r="X61" s="505">
        <f t="shared" si="49"/>
        <v>147703.23150602126</v>
      </c>
      <c r="Y61" s="504">
        <v>2044</v>
      </c>
      <c r="Z61" s="121" t="s">
        <v>852</v>
      </c>
      <c r="AA61" s="513">
        <f t="shared" si="54"/>
        <v>1859.7386897289543</v>
      </c>
      <c r="AB61" s="513">
        <f t="shared" si="54"/>
        <v>1643.1394429720822</v>
      </c>
      <c r="AC61" s="513">
        <f t="shared" si="54"/>
        <v>1498.7399451341771</v>
      </c>
      <c r="AD61" s="513">
        <f t="shared" si="56"/>
        <v>1354.3404472962429</v>
      </c>
      <c r="AE61" s="513">
        <f t="shared" si="56"/>
        <v>1137.7412005393999</v>
      </c>
      <c r="AF61" s="513">
        <f t="shared" si="56"/>
        <v>921.14195378252771</v>
      </c>
      <c r="AG61" s="513">
        <f t="shared" si="56"/>
        <v>776.74245594459353</v>
      </c>
      <c r="AH61" s="513">
        <f t="shared" si="56"/>
        <v>632.34295810668846</v>
      </c>
      <c r="AI61" s="513">
        <f>+IF(AI$35&lt;$Y61,$W61*AI$35+$X61,0)</f>
        <v>415.74371134981629</v>
      </c>
      <c r="AJ61" s="513">
        <f t="shared" si="57"/>
        <v>199.14446459294413</v>
      </c>
      <c r="AK61" s="513">
        <f t="shared" si="57"/>
        <v>0</v>
      </c>
      <c r="AL61" s="513">
        <f t="shared" si="53"/>
        <v>0</v>
      </c>
      <c r="AM61" s="513">
        <f t="shared" si="53"/>
        <v>0</v>
      </c>
    </row>
    <row r="62" spans="1:39" x14ac:dyDescent="0.25">
      <c r="A62" t="s">
        <v>474</v>
      </c>
      <c r="B62" t="s">
        <v>900</v>
      </c>
      <c r="C62" s="486">
        <v>130.22</v>
      </c>
      <c r="D62" s="490">
        <f t="shared" si="43"/>
        <v>0.63649999999999995</v>
      </c>
      <c r="E62" s="490">
        <f t="shared" si="44"/>
        <v>0.36350000000000005</v>
      </c>
      <c r="F62" s="490" t="str">
        <f t="shared" si="45"/>
        <v>Oil and Gas</v>
      </c>
      <c r="G62" s="491">
        <f>+C62*63.65%</f>
        <v>82.88503</v>
      </c>
      <c r="H62" s="121">
        <v>284</v>
      </c>
      <c r="I62" s="492">
        <f t="shared" si="46"/>
        <v>174.74650874900004</v>
      </c>
      <c r="J62" s="496">
        <v>56720.867208672084</v>
      </c>
      <c r="K62" s="436">
        <v>45149.051490514903</v>
      </c>
      <c r="L62" s="436">
        <v>33197.83197831978</v>
      </c>
      <c r="M62" s="436">
        <v>20298.102981029806</v>
      </c>
      <c r="N62" s="436">
        <v>14986.449864498638</v>
      </c>
      <c r="O62" s="436">
        <v>10433.604336043354</v>
      </c>
      <c r="P62" s="436">
        <v>7777.7777777777665</v>
      </c>
      <c r="Q62" s="436">
        <v>5880.7588075880631</v>
      </c>
      <c r="R62" s="436">
        <v>4363.1436314363091</v>
      </c>
      <c r="S62" s="436"/>
      <c r="T62" s="436"/>
      <c r="U62" s="436"/>
      <c r="V62" s="497"/>
      <c r="W62" s="505">
        <f t="shared" si="47"/>
        <v>-2609.6968619959425</v>
      </c>
      <c r="X62" s="505">
        <f t="shared" si="49"/>
        <v>5319774.3618601942</v>
      </c>
      <c r="Y62" s="504">
        <v>2043</v>
      </c>
      <c r="Z62" s="121" t="s">
        <v>900</v>
      </c>
      <c r="AA62" s="513">
        <f t="shared" si="54"/>
        <v>48186.700628390536</v>
      </c>
      <c r="AB62" s="513">
        <f t="shared" si="54"/>
        <v>40357.610042402521</v>
      </c>
      <c r="AC62" s="513">
        <f t="shared" si="54"/>
        <v>35138.216318410821</v>
      </c>
      <c r="AD62" s="513">
        <f t="shared" si="56"/>
        <v>29918.822594419122</v>
      </c>
      <c r="AE62" s="513">
        <f t="shared" si="56"/>
        <v>22089.732008431107</v>
      </c>
      <c r="AF62" s="513">
        <f t="shared" si="56"/>
        <v>14260.641422443092</v>
      </c>
      <c r="AG62" s="513">
        <f t="shared" si="56"/>
        <v>9041.2476984513924</v>
      </c>
      <c r="AH62" s="513">
        <f t="shared" si="56"/>
        <v>3821.8539744596928</v>
      </c>
      <c r="AI62" s="513">
        <v>0</v>
      </c>
      <c r="AJ62" s="513">
        <f t="shared" si="57"/>
        <v>0</v>
      </c>
      <c r="AK62" s="513">
        <f t="shared" si="57"/>
        <v>0</v>
      </c>
      <c r="AL62" s="513">
        <f t="shared" si="53"/>
        <v>0</v>
      </c>
      <c r="AM62" s="513">
        <f t="shared" si="53"/>
        <v>0</v>
      </c>
    </row>
    <row r="63" spans="1:39" x14ac:dyDescent="0.25">
      <c r="A63" t="s">
        <v>474</v>
      </c>
      <c r="B63" t="s">
        <v>901</v>
      </c>
      <c r="C63" s="486">
        <v>0.57999999999999996</v>
      </c>
      <c r="D63" s="490">
        <f t="shared" si="43"/>
        <v>1</v>
      </c>
      <c r="E63" s="490">
        <f t="shared" si="44"/>
        <v>0</v>
      </c>
      <c r="F63" s="490" t="str">
        <f t="shared" si="45"/>
        <v>Oil</v>
      </c>
      <c r="G63" s="491">
        <f>+C63</f>
        <v>0.57999999999999996</v>
      </c>
      <c r="H63" s="121">
        <v>0</v>
      </c>
      <c r="I63" s="492">
        <f t="shared" si="46"/>
        <v>0</v>
      </c>
      <c r="J63" s="496">
        <v>473.60248447204958</v>
      </c>
      <c r="K63" s="436">
        <v>349.37888198757764</v>
      </c>
      <c r="L63" s="436">
        <v>163.04347826086996</v>
      </c>
      <c r="M63" s="436">
        <v>108.695652173913</v>
      </c>
      <c r="N63" s="436">
        <v>77.639751552795133</v>
      </c>
      <c r="O63" s="436"/>
      <c r="P63" s="436"/>
      <c r="Q63" s="436"/>
      <c r="R63" s="436"/>
      <c r="S63" s="436"/>
      <c r="T63" s="436"/>
      <c r="U63" s="436"/>
      <c r="V63" s="497"/>
      <c r="W63" s="505">
        <f t="shared" si="47"/>
        <v>-42.434140072820718</v>
      </c>
      <c r="X63" s="505">
        <f t="shared" si="49"/>
        <v>86163.605697151404</v>
      </c>
      <c r="Y63" s="504">
        <v>2031</v>
      </c>
      <c r="Z63" s="121" t="s">
        <v>901</v>
      </c>
      <c r="AA63" s="513">
        <f t="shared" si="54"/>
        <v>446.64275005355012</v>
      </c>
      <c r="AB63" s="513">
        <f t="shared" si="54"/>
        <v>319.34032983508951</v>
      </c>
      <c r="AC63" s="513">
        <f t="shared" si="54"/>
        <v>234.47204968944425</v>
      </c>
      <c r="AD63" s="513">
        <f t="shared" si="56"/>
        <v>149.60376954381354</v>
      </c>
      <c r="AE63" s="513">
        <f t="shared" si="56"/>
        <v>22.30134932535293</v>
      </c>
      <c r="AF63" s="513">
        <f t="shared" si="56"/>
        <v>0</v>
      </c>
      <c r="AG63" s="513">
        <f t="shared" si="56"/>
        <v>0</v>
      </c>
      <c r="AH63" s="513">
        <f t="shared" si="56"/>
        <v>0</v>
      </c>
      <c r="AI63" s="513">
        <f t="shared" ref="AI63:AI68" si="58">+IF(AI$35&lt;$Y63,$W63*AI$35+$X63,0)</f>
        <v>0</v>
      </c>
      <c r="AJ63" s="513">
        <f t="shared" si="57"/>
        <v>0</v>
      </c>
      <c r="AK63" s="513">
        <f t="shared" si="57"/>
        <v>0</v>
      </c>
      <c r="AL63" s="513">
        <f t="shared" si="53"/>
        <v>0</v>
      </c>
      <c r="AM63" s="513">
        <f t="shared" si="53"/>
        <v>0</v>
      </c>
    </row>
    <row r="64" spans="1:39" x14ac:dyDescent="0.25">
      <c r="A64" t="s">
        <v>474</v>
      </c>
      <c r="B64" t="s">
        <v>842</v>
      </c>
      <c r="C64" s="486">
        <v>272.89999999999998</v>
      </c>
      <c r="D64" s="490">
        <f t="shared" si="43"/>
        <v>0.99776474899230505</v>
      </c>
      <c r="E64" s="490">
        <f t="shared" si="44"/>
        <v>2.2352510076949494E-3</v>
      </c>
      <c r="F64" s="490" t="str">
        <f t="shared" si="45"/>
        <v>Oil and Gas</v>
      </c>
      <c r="G64" s="491">
        <v>272.29000000000002</v>
      </c>
      <c r="H64" s="121">
        <v>0</v>
      </c>
      <c r="I64" s="492">
        <f t="shared" si="46"/>
        <v>3.5300916819344952</v>
      </c>
      <c r="J64" s="496">
        <v>106081.08108108109</v>
      </c>
      <c r="K64" s="436"/>
      <c r="L64" s="436">
        <v>70945.945945945947</v>
      </c>
      <c r="M64" s="436"/>
      <c r="N64" s="436">
        <v>37162.16216216216</v>
      </c>
      <c r="O64" s="436"/>
      <c r="P64" s="436">
        <v>23648.648648648639</v>
      </c>
      <c r="Q64" s="436"/>
      <c r="R64" s="436"/>
      <c r="S64" s="436"/>
      <c r="T64" s="436"/>
      <c r="U64" s="436"/>
      <c r="V64" s="497"/>
      <c r="W64" s="505">
        <f t="shared" si="47"/>
        <v>-5621.6216216216235</v>
      </c>
      <c r="X64" s="505">
        <f t="shared" si="49"/>
        <v>11457297.297297301</v>
      </c>
      <c r="Y64" s="504">
        <v>2036</v>
      </c>
      <c r="Z64" s="121" t="s">
        <v>842</v>
      </c>
      <c r="AA64" s="513">
        <f t="shared" si="54"/>
        <v>101621.62162162177</v>
      </c>
      <c r="AB64" s="513">
        <f t="shared" si="54"/>
        <v>84756.756756756455</v>
      </c>
      <c r="AC64" s="513">
        <f t="shared" si="54"/>
        <v>73513.513513512909</v>
      </c>
      <c r="AD64" s="513">
        <f t="shared" si="56"/>
        <v>62270.270270269364</v>
      </c>
      <c r="AE64" s="513">
        <f t="shared" si="56"/>
        <v>45405.405405405909</v>
      </c>
      <c r="AF64" s="513">
        <f t="shared" si="56"/>
        <v>28540.540540540591</v>
      </c>
      <c r="AG64" s="513">
        <f t="shared" si="56"/>
        <v>17297.297297297046</v>
      </c>
      <c r="AH64" s="513">
        <f t="shared" si="56"/>
        <v>0</v>
      </c>
      <c r="AI64" s="513">
        <f t="shared" si="58"/>
        <v>0</v>
      </c>
      <c r="AJ64" s="513">
        <f t="shared" si="57"/>
        <v>0</v>
      </c>
      <c r="AK64" s="513">
        <f t="shared" si="57"/>
        <v>0</v>
      </c>
      <c r="AL64" s="513">
        <f t="shared" si="53"/>
        <v>0</v>
      </c>
      <c r="AM64" s="513">
        <f t="shared" si="53"/>
        <v>0</v>
      </c>
    </row>
    <row r="65" spans="1:39" x14ac:dyDescent="0.25">
      <c r="A65" t="s">
        <v>474</v>
      </c>
      <c r="B65" t="s">
        <v>834</v>
      </c>
      <c r="C65" s="486">
        <v>24.09</v>
      </c>
      <c r="D65" s="490">
        <f t="shared" si="43"/>
        <v>1</v>
      </c>
      <c r="E65" s="490">
        <f t="shared" si="44"/>
        <v>0</v>
      </c>
      <c r="F65" s="490" t="str">
        <f t="shared" si="45"/>
        <v>Oil</v>
      </c>
      <c r="G65" s="491">
        <f>+C65</f>
        <v>24.09</v>
      </c>
      <c r="H65" s="121">
        <v>0</v>
      </c>
      <c r="I65" s="492">
        <f t="shared" si="46"/>
        <v>0</v>
      </c>
      <c r="J65" s="496">
        <v>3685.1509048868647</v>
      </c>
      <c r="K65" s="436">
        <v>3841.6159807970034</v>
      </c>
      <c r="L65" s="436">
        <v>3234.0636166995537</v>
      </c>
      <c r="M65" s="436"/>
      <c r="N65" s="436">
        <v>2400.88284952908</v>
      </c>
      <c r="O65" s="436"/>
      <c r="P65" s="436">
        <v>1796.8903625650128</v>
      </c>
      <c r="Q65" s="436"/>
      <c r="R65" s="436">
        <v>1422.2556737660816</v>
      </c>
      <c r="S65" s="436"/>
      <c r="T65" s="436">
        <v>1124.0735843555267</v>
      </c>
      <c r="U65" s="436"/>
      <c r="V65" s="497">
        <v>978.79669372173157</v>
      </c>
      <c r="W65" s="505">
        <f t="shared" si="47"/>
        <v>-102.85974169469129</v>
      </c>
      <c r="X65" s="505">
        <f t="shared" si="49"/>
        <v>211475.75094444485</v>
      </c>
      <c r="Y65" s="504">
        <v>2064</v>
      </c>
      <c r="Z65" s="121" t="s">
        <v>834</v>
      </c>
      <c r="AA65" s="513">
        <f t="shared" si="54"/>
        <v>3699.072721168428</v>
      </c>
      <c r="AB65" s="513">
        <f t="shared" si="54"/>
        <v>3390.493496084353</v>
      </c>
      <c r="AC65" s="513">
        <f t="shared" si="54"/>
        <v>3184.7740126949793</v>
      </c>
      <c r="AD65" s="513">
        <f t="shared" si="56"/>
        <v>2979.0545293056057</v>
      </c>
      <c r="AE65" s="513">
        <f t="shared" si="56"/>
        <v>2670.4753042215307</v>
      </c>
      <c r="AF65" s="513">
        <f t="shared" si="56"/>
        <v>2361.8960791374557</v>
      </c>
      <c r="AG65" s="513">
        <f t="shared" si="56"/>
        <v>2156.1765957480529</v>
      </c>
      <c r="AH65" s="513">
        <f t="shared" si="56"/>
        <v>1950.4571123586793</v>
      </c>
      <c r="AI65" s="513">
        <f t="shared" si="58"/>
        <v>1641.8778872746043</v>
      </c>
      <c r="AJ65" s="513">
        <f t="shared" si="57"/>
        <v>1333.2986621905293</v>
      </c>
      <c r="AK65" s="513">
        <f t="shared" si="57"/>
        <v>1127.5791788011556</v>
      </c>
      <c r="AL65" s="513">
        <f t="shared" si="53"/>
        <v>921.85969541178201</v>
      </c>
      <c r="AM65" s="513">
        <f t="shared" si="53"/>
        <v>613.28047032770701</v>
      </c>
    </row>
    <row r="66" spans="1:39" x14ac:dyDescent="0.25">
      <c r="A66" t="s">
        <v>474</v>
      </c>
      <c r="B66" t="s">
        <v>902</v>
      </c>
      <c r="C66" s="486">
        <v>5.59</v>
      </c>
      <c r="D66" s="490">
        <f t="shared" si="43"/>
        <v>1</v>
      </c>
      <c r="E66" s="490">
        <f t="shared" si="44"/>
        <v>0</v>
      </c>
      <c r="F66" s="490" t="str">
        <f t="shared" si="45"/>
        <v>Oil</v>
      </c>
      <c r="G66" s="491">
        <f>+C66</f>
        <v>5.59</v>
      </c>
      <c r="H66" s="121">
        <v>0</v>
      </c>
      <c r="I66" s="492">
        <f t="shared" si="46"/>
        <v>0</v>
      </c>
      <c r="J66" s="496">
        <v>1369.449727815309</v>
      </c>
      <c r="K66" s="436">
        <v>1555.5355151833155</v>
      </c>
      <c r="L66" s="436">
        <v>1215.2021709188698</v>
      </c>
      <c r="M66" s="436"/>
      <c r="N66" s="436"/>
      <c r="O66" s="436">
        <v>733.31229094248101</v>
      </c>
      <c r="P66" s="436">
        <v>436.58588574801706</v>
      </c>
      <c r="Q66" s="436"/>
      <c r="R66" s="436">
        <v>268.17160752935069</v>
      </c>
      <c r="S66" s="436"/>
      <c r="T66" s="436">
        <v>185.1265822784826</v>
      </c>
      <c r="U66" s="436"/>
      <c r="V66" s="497"/>
      <c r="W66" s="505">
        <f t="shared" si="47"/>
        <v>-57.928435174659477</v>
      </c>
      <c r="X66" s="505">
        <f t="shared" si="49"/>
        <v>118509.09434274976</v>
      </c>
      <c r="Y66" s="504">
        <v>2047</v>
      </c>
      <c r="Z66" s="121" t="s">
        <v>902</v>
      </c>
      <c r="AA66" s="513">
        <f t="shared" si="54"/>
        <v>1493.6552899376111</v>
      </c>
      <c r="AB66" s="513">
        <f t="shared" si="54"/>
        <v>1319.8699844136281</v>
      </c>
      <c r="AC66" s="513">
        <f t="shared" si="54"/>
        <v>1204.0131140643207</v>
      </c>
      <c r="AD66" s="513">
        <f t="shared" si="56"/>
        <v>1088.1562437149987</v>
      </c>
      <c r="AE66" s="513">
        <f t="shared" si="56"/>
        <v>914.37093819101574</v>
      </c>
      <c r="AF66" s="513">
        <f t="shared" si="56"/>
        <v>740.58563266703277</v>
      </c>
      <c r="AG66" s="513">
        <f t="shared" si="56"/>
        <v>624.72876231772534</v>
      </c>
      <c r="AH66" s="513">
        <f t="shared" si="56"/>
        <v>508.87189196840336</v>
      </c>
      <c r="AI66" s="513">
        <f t="shared" si="58"/>
        <v>335.08658644442039</v>
      </c>
      <c r="AJ66" s="513">
        <f t="shared" si="57"/>
        <v>161.30128092043742</v>
      </c>
      <c r="AK66" s="513">
        <f t="shared" si="57"/>
        <v>45.444410571129993</v>
      </c>
      <c r="AL66" s="513">
        <f t="shared" si="53"/>
        <v>0</v>
      </c>
      <c r="AM66" s="513">
        <f t="shared" si="53"/>
        <v>0</v>
      </c>
    </row>
    <row r="67" spans="1:39" x14ac:dyDescent="0.25">
      <c r="A67" t="s">
        <v>474</v>
      </c>
      <c r="B67" t="s">
        <v>836</v>
      </c>
      <c r="C67" s="486">
        <v>16.52</v>
      </c>
      <c r="D67" s="490">
        <f t="shared" si="43"/>
        <v>0.98069999999999991</v>
      </c>
      <c r="E67" s="490">
        <f t="shared" si="44"/>
        <v>1.9300000000000095E-2</v>
      </c>
      <c r="F67" s="490" t="str">
        <f t="shared" si="45"/>
        <v>Oil and Gas</v>
      </c>
      <c r="G67" s="500">
        <f>+C67*98.07%</f>
        <v>16.201163999999999</v>
      </c>
      <c r="H67" s="121">
        <v>1.91</v>
      </c>
      <c r="I67" s="492">
        <f t="shared" si="46"/>
        <v>1.8135582981600087</v>
      </c>
      <c r="J67" s="496">
        <v>3788.1619937694686</v>
      </c>
      <c r="K67" s="436"/>
      <c r="L67" s="436">
        <v>2847.1394346734687</v>
      </c>
      <c r="M67" s="436"/>
      <c r="N67" s="436">
        <v>1707.0015780737667</v>
      </c>
      <c r="O67" s="436"/>
      <c r="P67" s="436">
        <v>1164.8637378271615</v>
      </c>
      <c r="Q67" s="436"/>
      <c r="R67" s="436">
        <v>871.94708138118222</v>
      </c>
      <c r="S67" s="436"/>
      <c r="T67" s="436">
        <v>679.11137276064619</v>
      </c>
      <c r="U67" s="436"/>
      <c r="V67" s="497">
        <v>485.75236506651345</v>
      </c>
      <c r="W67" s="505">
        <f t="shared" si="47"/>
        <v>-107.70242504733639</v>
      </c>
      <c r="X67" s="505">
        <f t="shared" si="49"/>
        <v>220823.57462326559</v>
      </c>
      <c r="Y67" s="504">
        <v>2060</v>
      </c>
      <c r="Z67" s="121" t="s">
        <v>836</v>
      </c>
      <c r="AA67" s="513">
        <f t="shared" si="54"/>
        <v>3264.6760276460845</v>
      </c>
      <c r="AB67" s="513">
        <f t="shared" si="54"/>
        <v>2941.5687525040703</v>
      </c>
      <c r="AC67" s="513">
        <f t="shared" si="54"/>
        <v>2726.1639024094038</v>
      </c>
      <c r="AD67" s="513">
        <f t="shared" si="56"/>
        <v>2510.7590523147373</v>
      </c>
      <c r="AE67" s="513">
        <f t="shared" si="56"/>
        <v>2187.6517771727231</v>
      </c>
      <c r="AF67" s="513">
        <f t="shared" si="56"/>
        <v>1864.5445020307088</v>
      </c>
      <c r="AG67" s="513">
        <f t="shared" si="56"/>
        <v>1649.1396519360424</v>
      </c>
      <c r="AH67" s="513">
        <f t="shared" si="56"/>
        <v>1433.7348018413759</v>
      </c>
      <c r="AI67" s="513">
        <f t="shared" si="58"/>
        <v>1110.6275266993616</v>
      </c>
      <c r="AJ67" s="513">
        <f t="shared" si="57"/>
        <v>787.52025155734736</v>
      </c>
      <c r="AK67" s="513">
        <f t="shared" si="57"/>
        <v>572.11540146268089</v>
      </c>
      <c r="AL67" s="513">
        <f t="shared" si="53"/>
        <v>356.71055136801442</v>
      </c>
      <c r="AM67" s="513">
        <f t="shared" si="53"/>
        <v>33.603276226000162</v>
      </c>
    </row>
    <row r="68" spans="1:39" x14ac:dyDescent="0.25">
      <c r="A68" t="s">
        <v>474</v>
      </c>
      <c r="B68" t="s">
        <v>903</v>
      </c>
      <c r="C68" s="486">
        <v>90.73</v>
      </c>
      <c r="D68" s="490">
        <f t="shared" si="43"/>
        <v>0.98150000000000004</v>
      </c>
      <c r="E68" s="490">
        <f t="shared" si="44"/>
        <v>1.8499999999999961E-2</v>
      </c>
      <c r="F68" s="490" t="str">
        <f t="shared" si="45"/>
        <v>Oil and Gas</v>
      </c>
      <c r="G68" s="491">
        <f>+C68*98.15%</f>
        <v>89.051495000000003</v>
      </c>
      <c r="H68" s="121">
        <v>10.09</v>
      </c>
      <c r="I68" s="492">
        <f t="shared" si="46"/>
        <v>9.5552254134999792</v>
      </c>
      <c r="J68" s="501">
        <v>19200.000000000004</v>
      </c>
      <c r="K68" s="502"/>
      <c r="L68" s="502">
        <v>16106.66666666667</v>
      </c>
      <c r="M68" s="502"/>
      <c r="N68" s="502">
        <v>10560.000000000004</v>
      </c>
      <c r="O68" s="502"/>
      <c r="P68" s="502">
        <v>6666.6666666666679</v>
      </c>
      <c r="Q68" s="502"/>
      <c r="R68" s="502">
        <v>4640.0000000000036</v>
      </c>
      <c r="S68" s="502"/>
      <c r="T68" s="502">
        <v>3306.6666666666679</v>
      </c>
      <c r="U68" s="502"/>
      <c r="V68" s="503">
        <v>2293.3333333333358</v>
      </c>
      <c r="W68" s="505">
        <f t="shared" si="47"/>
        <v>-587.42857142857144</v>
      </c>
      <c r="X68" s="505">
        <f t="shared" si="49"/>
        <v>1204384.7619047619</v>
      </c>
      <c r="Y68" s="504">
        <v>2061</v>
      </c>
      <c r="Z68" s="121" t="s">
        <v>903</v>
      </c>
      <c r="AA68" s="513">
        <f t="shared" si="54"/>
        <v>17779.047619047575</v>
      </c>
      <c r="AB68" s="513">
        <f t="shared" si="54"/>
        <v>16016.761904761894</v>
      </c>
      <c r="AC68" s="513">
        <f t="shared" si="54"/>
        <v>14841.904761904618</v>
      </c>
      <c r="AD68" s="513">
        <f t="shared" si="56"/>
        <v>13667.047619047575</v>
      </c>
      <c r="AE68" s="513">
        <f t="shared" si="56"/>
        <v>11904.761904761894</v>
      </c>
      <c r="AF68" s="513">
        <f t="shared" si="56"/>
        <v>10142.476190476213</v>
      </c>
      <c r="AG68" s="513">
        <f t="shared" si="56"/>
        <v>8967.6190476189367</v>
      </c>
      <c r="AH68" s="513">
        <f t="shared" si="56"/>
        <v>7792.7619047618937</v>
      </c>
      <c r="AI68" s="513">
        <f t="shared" si="58"/>
        <v>6030.4761904762127</v>
      </c>
      <c r="AJ68" s="513">
        <f t="shared" si="57"/>
        <v>4268.1904761905316</v>
      </c>
      <c r="AK68" s="513">
        <f t="shared" si="57"/>
        <v>3093.3333333332557</v>
      </c>
      <c r="AL68" s="513">
        <f t="shared" si="53"/>
        <v>1918.4761904762127</v>
      </c>
      <c r="AM68" s="513">
        <f t="shared" si="53"/>
        <v>156.19047619053163</v>
      </c>
    </row>
    <row r="71" spans="1:39" x14ac:dyDescent="0.25">
      <c r="C71" t="s">
        <v>904</v>
      </c>
      <c r="D71">
        <f>+D62*J62*F30/1000000</f>
        <v>209.39642547425473</v>
      </c>
      <c r="E71" t="s">
        <v>436</v>
      </c>
      <c r="I71" s="292" t="s">
        <v>905</v>
      </c>
      <c r="J71" s="283">
        <f>+SUMPRODUCT(J36:J68,$D$36:$D$68)</f>
        <v>439792.99238419964</v>
      </c>
      <c r="K71" s="283"/>
      <c r="L71" s="283">
        <f t="shared" ref="L71:V71" si="59">+SUMPRODUCT(L36:L68,$D$36:$D$68)</f>
        <v>262319.60734102631</v>
      </c>
      <c r="M71" s="283">
        <f t="shared" si="59"/>
        <v>13757.131173575406</v>
      </c>
      <c r="N71" s="283">
        <f t="shared" si="59"/>
        <v>177719.56713711005</v>
      </c>
      <c r="O71" s="283">
        <f t="shared" si="59"/>
        <v>23686.519694339411</v>
      </c>
      <c r="P71" s="283">
        <f t="shared" si="59"/>
        <v>91014.112604275302</v>
      </c>
      <c r="Q71" s="283">
        <f t="shared" si="59"/>
        <v>12761.502748413553</v>
      </c>
      <c r="R71" s="283">
        <f t="shared" si="59"/>
        <v>51098.155553823701</v>
      </c>
      <c r="S71" s="283">
        <f t="shared" si="59"/>
        <v>4666.581672511722</v>
      </c>
      <c r="T71" s="283">
        <f t="shared" si="59"/>
        <v>10171.155200011544</v>
      </c>
      <c r="U71" s="283">
        <f t="shared" si="59"/>
        <v>3278.1971811895355</v>
      </c>
      <c r="V71" s="283">
        <f t="shared" si="59"/>
        <v>25442.72093361005</v>
      </c>
    </row>
    <row r="72" spans="1:39" x14ac:dyDescent="0.25">
      <c r="C72" t="s">
        <v>906</v>
      </c>
      <c r="D72">
        <f>+(E48*J48)*F30/1000000</f>
        <v>177.17312143246573</v>
      </c>
      <c r="E72" t="s">
        <v>436</v>
      </c>
      <c r="I72" s="292" t="s">
        <v>907</v>
      </c>
      <c r="J72" s="283">
        <f>+SUMPRODUCT(J36:J68,$E$36:$E$68)</f>
        <v>118588.79500053711</v>
      </c>
      <c r="K72" s="283"/>
      <c r="L72" s="283">
        <f t="shared" ref="L72:V72" si="60">+SUMPRODUCT(L36:L68,$E$36:$E$68)</f>
        <v>74750.74327270432</v>
      </c>
      <c r="M72" s="283">
        <f t="shared" si="60"/>
        <v>20098.230172469674</v>
      </c>
      <c r="N72" s="283">
        <f t="shared" si="60"/>
        <v>27155.221206378876</v>
      </c>
      <c r="O72" s="283">
        <f t="shared" si="60"/>
        <v>5406.6987731625695</v>
      </c>
      <c r="P72" s="283">
        <f t="shared" si="60"/>
        <v>15487.636727635963</v>
      </c>
      <c r="Q72" s="283">
        <f t="shared" si="60"/>
        <v>3194.5714250822398</v>
      </c>
      <c r="R72" s="283">
        <f t="shared" si="60"/>
        <v>6459.4631376235538</v>
      </c>
      <c r="S72" s="283">
        <f t="shared" si="60"/>
        <v>38.406230529595113</v>
      </c>
      <c r="T72" s="283">
        <f t="shared" si="60"/>
        <v>3240.1305511245546</v>
      </c>
      <c r="U72" s="283">
        <f t="shared" si="60"/>
        <v>0</v>
      </c>
      <c r="V72" s="283">
        <f t="shared" si="60"/>
        <v>2400.4840556703116</v>
      </c>
    </row>
    <row r="73" spans="1:39" x14ac:dyDescent="0.25">
      <c r="C73" t="s">
        <v>890</v>
      </c>
      <c r="D73">
        <f>+(E49*J49)*F30/1000000</f>
        <v>0</v>
      </c>
      <c r="E73" t="s">
        <v>436</v>
      </c>
      <c r="I73" s="292" t="s">
        <v>908</v>
      </c>
      <c r="J73" s="75">
        <f>+J72*$F$30/1000000</f>
        <v>687.81501100311516</v>
      </c>
      <c r="K73" s="75"/>
      <c r="L73" s="75">
        <f t="shared" ref="L73" si="61">+L72*$F$30/1000000</f>
        <v>433.55431098168503</v>
      </c>
    </row>
    <row r="74" spans="1:39" x14ac:dyDescent="0.25">
      <c r="C74" t="s">
        <v>891</v>
      </c>
      <c r="D74">
        <f>+(E50*J50)*F30/1000000</f>
        <v>59.792875880758814</v>
      </c>
      <c r="E74" t="s">
        <v>436</v>
      </c>
    </row>
    <row r="76" spans="1:39" x14ac:dyDescent="0.25">
      <c r="I76" s="292" t="s">
        <v>909</v>
      </c>
    </row>
  </sheetData>
  <autoFilter ref="B35:H35" xr:uid="{00000000-0001-0000-0000-000000000000}">
    <sortState xmlns:xlrd2="http://schemas.microsoft.com/office/spreadsheetml/2017/richdata2" ref="B36:H69">
      <sortCondition ref="B35"/>
    </sortState>
  </autoFilter>
  <mergeCells count="4">
    <mergeCell ref="J34:S34"/>
    <mergeCell ref="AA34:AJ34"/>
    <mergeCell ref="K4:T4"/>
    <mergeCell ref="Y4:AH4"/>
  </mergeCells>
  <conditionalFormatting sqref="F36:F68">
    <cfRule type="containsText" dxfId="38" priority="3" operator="containsText" text="Oil and Gas">
      <formula>NOT(ISERROR(SEARCH("Oil and Gas",F36)))</formula>
    </cfRule>
    <cfRule type="containsText" dxfId="37" priority="4" operator="containsText" text="Oil">
      <formula>NOT(ISERROR(SEARCH("Oil",F36)))</formula>
    </cfRule>
    <cfRule type="containsText" dxfId="36" priority="5" operator="containsText" text="Gas">
      <formula>NOT(ISERROR(SEARCH("Gas",F36)))</formula>
    </cfRule>
  </conditionalFormatting>
  <conditionalFormatting sqref="H6:H25">
    <cfRule type="containsBlanks" dxfId="35" priority="2">
      <formula>LEN(TRIM(H6))=0</formula>
    </cfRule>
  </conditionalFormatting>
  <conditionalFormatting sqref="AP6">
    <cfRule type="containsBlanks" dxfId="34" priority="1">
      <formula>LEN(TRIM(AP6))=0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topLeftCell="G1" zoomScaleNormal="100" workbookViewId="0">
      <selection activeCell="D86" sqref="D86:D91"/>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612" t="s">
        <v>784</v>
      </c>
      <c r="E2" s="612"/>
      <c r="F2" s="612"/>
      <c r="G2" s="612"/>
      <c r="H2" s="612"/>
    </row>
    <row r="3" spans="1:23" ht="15.75" thickTop="1" x14ac:dyDescent="0.25">
      <c r="D3" s="468"/>
      <c r="E3" s="613" t="s">
        <v>785</v>
      </c>
      <c r="F3" s="613"/>
      <c r="G3" s="613" t="s">
        <v>786</v>
      </c>
      <c r="H3" s="613"/>
    </row>
    <row r="4" spans="1:23" x14ac:dyDescent="0.25">
      <c r="A4" t="s">
        <v>787</v>
      </c>
      <c r="D4" s="16"/>
      <c r="E4" s="16" t="s">
        <v>788</v>
      </c>
      <c r="F4" s="16" t="s">
        <v>789</v>
      </c>
      <c r="G4" s="16" t="s">
        <v>788</v>
      </c>
      <c r="H4" s="16" t="s">
        <v>789</v>
      </c>
    </row>
    <row r="5" spans="1:23" x14ac:dyDescent="0.25">
      <c r="A5" t="s">
        <v>216</v>
      </c>
      <c r="B5">
        <v>15</v>
      </c>
      <c r="D5" s="320" t="s">
        <v>790</v>
      </c>
      <c r="E5" s="469">
        <v>0</v>
      </c>
      <c r="F5" s="16"/>
      <c r="G5" s="469">
        <v>0</v>
      </c>
      <c r="H5" s="16">
        <v>10</v>
      </c>
    </row>
    <row r="6" spans="1:23" x14ac:dyDescent="0.25">
      <c r="D6" s="320" t="s">
        <v>791</v>
      </c>
      <c r="E6" s="16"/>
      <c r="F6" s="16">
        <v>18</v>
      </c>
      <c r="G6" s="16">
        <v>10</v>
      </c>
      <c r="H6" s="16">
        <v>22.3</v>
      </c>
    </row>
    <row r="7" spans="1:23" x14ac:dyDescent="0.25">
      <c r="D7" s="320" t="s">
        <v>792</v>
      </c>
      <c r="E7" s="16">
        <v>18.100000000000001</v>
      </c>
      <c r="F7" s="16">
        <v>32</v>
      </c>
      <c r="G7" s="16">
        <v>22.3</v>
      </c>
      <c r="H7" s="16">
        <v>31.1</v>
      </c>
    </row>
    <row r="8" spans="1:23" x14ac:dyDescent="0.25">
      <c r="D8" s="320" t="s">
        <v>793</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614" t="s">
        <v>794</v>
      </c>
      <c r="O11" s="614"/>
      <c r="P11" s="614"/>
      <c r="Q11" s="614"/>
      <c r="R11" s="614"/>
      <c r="S11" s="614"/>
      <c r="T11" s="614"/>
      <c r="U11" s="614"/>
      <c r="V11" s="121"/>
      <c r="W11" s="121"/>
    </row>
    <row r="12" spans="1:23" ht="30" x14ac:dyDescent="0.25">
      <c r="A12" t="s">
        <v>795</v>
      </c>
      <c r="C12" s="470" t="s">
        <v>796</v>
      </c>
      <c r="D12" s="470" t="s">
        <v>797</v>
      </c>
      <c r="E12" s="470" t="s">
        <v>798</v>
      </c>
      <c r="F12" s="470" t="s">
        <v>799</v>
      </c>
      <c r="G12" s="470" t="s">
        <v>800</v>
      </c>
      <c r="H12" s="471" t="s">
        <v>801</v>
      </c>
      <c r="I12" s="471"/>
      <c r="J12" s="471" t="s">
        <v>802</v>
      </c>
      <c r="K12" s="472" t="s">
        <v>803</v>
      </c>
      <c r="L12" s="472" t="s">
        <v>804</v>
      </c>
      <c r="M12" s="472" t="s">
        <v>805</v>
      </c>
      <c r="N12" s="470" t="s">
        <v>806</v>
      </c>
      <c r="O12" s="470" t="s">
        <v>807</v>
      </c>
      <c r="P12" s="470" t="s">
        <v>808</v>
      </c>
      <c r="Q12" s="470" t="s">
        <v>809</v>
      </c>
      <c r="R12" s="470" t="s">
        <v>810</v>
      </c>
      <c r="S12" s="470" t="s">
        <v>811</v>
      </c>
      <c r="T12" s="470" t="s">
        <v>812</v>
      </c>
      <c r="U12" s="470" t="s">
        <v>813</v>
      </c>
      <c r="V12" s="470" t="s">
        <v>814</v>
      </c>
      <c r="W12" s="472" t="s">
        <v>815</v>
      </c>
    </row>
    <row r="13" spans="1:23" x14ac:dyDescent="0.25">
      <c r="C13" s="473" t="e" vm="1">
        <v>#VALUE!</v>
      </c>
      <c r="D13" s="474" t="s">
        <v>816</v>
      </c>
      <c r="E13" s="474" t="s">
        <v>837</v>
      </c>
      <c r="F13" s="474" t="s">
        <v>838</v>
      </c>
      <c r="G13" s="475" t="s">
        <v>839</v>
      </c>
      <c r="H13" s="473" t="s">
        <v>666</v>
      </c>
      <c r="I13" s="476" t="s">
        <v>51</v>
      </c>
      <c r="J13" s="476" t="str">
        <f>+IF(I13="Gas","Doesn't Apply",IF(H13&lt;$F$5,$D$5,IF(H13&lt;$F$6,$D$6,IF(H13&lt;$F$7,$D$7,IF(H13&gt;$E$8,$D$8,"Doesn't Apply")))))</f>
        <v>Doesn't Apply</v>
      </c>
      <c r="K13" s="477">
        <f t="shared" ref="K13:K32" si="0">+SUM(O13:U13)-T13</f>
        <v>162.95282191780822</v>
      </c>
      <c r="L13" s="477">
        <f t="shared" ref="L13:L32" si="1">+P13+O13+R13+Q13</f>
        <v>6.7568767123287659</v>
      </c>
      <c r="M13" s="477">
        <f t="shared" ref="M13:M32" si="2">+S13-T13+U13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816</v>
      </c>
      <c r="E14" s="474" t="s">
        <v>837</v>
      </c>
      <c r="F14" s="474" t="s">
        <v>838</v>
      </c>
      <c r="G14" s="475" t="s">
        <v>840</v>
      </c>
      <c r="H14" s="473" t="s">
        <v>666</v>
      </c>
      <c r="I14" s="476" t="s">
        <v>51</v>
      </c>
      <c r="J14" s="476" t="str">
        <f>+IF(I14="Gas","Doesn't Apply",IF(H14&lt;$F$5,$D$5,IF(H14&lt;$F$6,$D$6,IF(H14&lt;$F$7,$D$7,IF(H14&gt;$E$8,$D$8,"Doesn't Apply")))))</f>
        <v>Doesn't Apply</v>
      </c>
      <c r="K14" s="477">
        <f t="shared" si="0"/>
        <v>23.174410958904112</v>
      </c>
      <c r="L14" s="477">
        <f t="shared" si="1"/>
        <v>0.14397260273972604</v>
      </c>
      <c r="M14" s="477">
        <f t="shared" si="2"/>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816</v>
      </c>
      <c r="E15" s="474" t="s">
        <v>850</v>
      </c>
      <c r="F15" s="474" t="s">
        <v>823</v>
      </c>
      <c r="G15" s="475" t="s">
        <v>851</v>
      </c>
      <c r="H15" s="473" t="s">
        <v>666</v>
      </c>
      <c r="I15" s="476" t="s">
        <v>51</v>
      </c>
      <c r="J15" s="476" t="str">
        <f>+IF(I15="Gas","Doesn't Apply",IF(H15&lt;$F$5,$D$5,IF(H15&lt;$F$6,$D$6,IF(H15&lt;$F$7,$D$7,IF(H15&gt;$E$8,$D$8,"Doesn't Apply")))))</f>
        <v>Doesn't Apply</v>
      </c>
      <c r="K15" s="477">
        <f t="shared" si="0"/>
        <v>35.569315068493154</v>
      </c>
      <c r="L15" s="477">
        <f t="shared" si="1"/>
        <v>0</v>
      </c>
      <c r="M15" s="477">
        <f t="shared" si="2"/>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816</v>
      </c>
      <c r="E16" s="474" t="s">
        <v>822</v>
      </c>
      <c r="F16" s="474" t="s">
        <v>823</v>
      </c>
      <c r="G16" s="475" t="s">
        <v>824</v>
      </c>
      <c r="H16" s="473">
        <v>48</v>
      </c>
      <c r="I16" s="476"/>
      <c r="J16" s="476" t="str">
        <f t="shared" ref="J16:J22" si="4">+IF(G16="Gas","Doesn't Apply",IF(H16&lt;$F$5,$D$5,IF(H16&lt;$F$6,$D$6,IF(H16&lt;$F$7,$D$7,IF(H16&gt;$E$8,$D$8,"Doesn't Apply")))))</f>
        <v>Light Oil</v>
      </c>
      <c r="K16" s="477">
        <f t="shared" si="0"/>
        <v>649.48632876712327</v>
      </c>
      <c r="L16" s="477">
        <f t="shared" si="1"/>
        <v>436.89753424657533</v>
      </c>
      <c r="M16" s="477">
        <f t="shared" si="2"/>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816</v>
      </c>
      <c r="E17" s="474" t="s">
        <v>825</v>
      </c>
      <c r="F17" s="474" t="s">
        <v>823</v>
      </c>
      <c r="G17" s="475" t="s">
        <v>826</v>
      </c>
      <c r="H17" s="473">
        <v>52</v>
      </c>
      <c r="I17" s="476"/>
      <c r="J17" s="476" t="str">
        <f t="shared" si="4"/>
        <v>Light Oil</v>
      </c>
      <c r="K17" s="477">
        <f t="shared" si="0"/>
        <v>277.3735890410959</v>
      </c>
      <c r="L17" s="477">
        <f t="shared" si="1"/>
        <v>82.001808219178074</v>
      </c>
      <c r="M17" s="477">
        <f t="shared" si="2"/>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816</v>
      </c>
      <c r="E18" s="474" t="s">
        <v>827</v>
      </c>
      <c r="F18" s="474" t="s">
        <v>823</v>
      </c>
      <c r="G18" s="475" t="s">
        <v>828</v>
      </c>
      <c r="H18" s="473">
        <v>46</v>
      </c>
      <c r="I18" s="476"/>
      <c r="J18" s="476" t="str">
        <f t="shared" si="4"/>
        <v>Light Oil</v>
      </c>
      <c r="K18" s="477">
        <f t="shared" si="0"/>
        <v>435.40112328767128</v>
      </c>
      <c r="L18" s="477">
        <f t="shared" si="1"/>
        <v>235.53923287671233</v>
      </c>
      <c r="M18" s="477">
        <f t="shared" si="2"/>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816</v>
      </c>
      <c r="E19" s="474" t="s">
        <v>827</v>
      </c>
      <c r="F19" s="474" t="s">
        <v>823</v>
      </c>
      <c r="G19" s="475" t="s">
        <v>829</v>
      </c>
      <c r="H19" s="473">
        <f>44+((47-44)/2)</f>
        <v>45.5</v>
      </c>
      <c r="I19" s="476"/>
      <c r="J19" s="476" t="str">
        <f t="shared" si="4"/>
        <v>Light Oil</v>
      </c>
      <c r="K19" s="477">
        <f t="shared" si="0"/>
        <v>114.48408219178081</v>
      </c>
      <c r="L19" s="477">
        <f t="shared" si="1"/>
        <v>114.48408219178081</v>
      </c>
      <c r="M19" s="477">
        <f t="shared" si="2"/>
        <v>0</v>
      </c>
      <c r="N19" s="478">
        <v>114.48408219178081</v>
      </c>
      <c r="O19" s="478">
        <v>0</v>
      </c>
      <c r="P19" s="478">
        <v>111.18394520547945</v>
      </c>
      <c r="Q19" s="478">
        <v>2.923643835616438</v>
      </c>
      <c r="R19" s="478">
        <v>0.37649315068493155</v>
      </c>
      <c r="S19" s="478">
        <v>0</v>
      </c>
      <c r="T19" s="478">
        <v>0</v>
      </c>
      <c r="U19" s="478">
        <v>0</v>
      </c>
      <c r="V19" s="478">
        <v>4583.6177808219181</v>
      </c>
      <c r="W19" s="479">
        <f t="shared" si="3"/>
        <v>3.3001369863013679</v>
      </c>
    </row>
    <row r="20" spans="3:23" x14ac:dyDescent="0.25">
      <c r="C20" s="473" t="e" vm="4">
        <v>#VALUE!</v>
      </c>
      <c r="D20" s="474" t="s">
        <v>816</v>
      </c>
      <c r="E20" s="474" t="s">
        <v>841</v>
      </c>
      <c r="F20" s="474" t="s">
        <v>823</v>
      </c>
      <c r="G20" s="475" t="s">
        <v>842</v>
      </c>
      <c r="H20" s="473">
        <f>11.3+(14.4-11.3)/2</f>
        <v>12.850000000000001</v>
      </c>
      <c r="I20" s="476"/>
      <c r="J20" s="476" t="str">
        <f t="shared" si="4"/>
        <v>Heavy Oil</v>
      </c>
      <c r="K20" s="477">
        <f t="shared" si="0"/>
        <v>0</v>
      </c>
      <c r="L20" s="477">
        <f t="shared" si="1"/>
        <v>0</v>
      </c>
      <c r="M20" s="477">
        <f t="shared" si="2"/>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816</v>
      </c>
      <c r="E21" s="474" t="s">
        <v>843</v>
      </c>
      <c r="F21" s="474" t="s">
        <v>823</v>
      </c>
      <c r="G21" s="475" t="s">
        <v>844</v>
      </c>
      <c r="H21" s="473">
        <v>13.7</v>
      </c>
      <c r="I21" s="476"/>
      <c r="J21" s="476" t="str">
        <f t="shared" si="4"/>
        <v>Heavy Oil</v>
      </c>
      <c r="K21" s="477">
        <f t="shared" si="0"/>
        <v>0</v>
      </c>
      <c r="L21" s="477">
        <f t="shared" si="1"/>
        <v>0</v>
      </c>
      <c r="M21" s="477">
        <f t="shared" si="2"/>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816</v>
      </c>
      <c r="E22" s="474" t="s">
        <v>845</v>
      </c>
      <c r="F22" s="474" t="s">
        <v>823</v>
      </c>
      <c r="G22" s="475" t="s">
        <v>846</v>
      </c>
      <c r="H22" s="473">
        <f>7+(20-7)/2</f>
        <v>13.5</v>
      </c>
      <c r="I22" s="476"/>
      <c r="J22" s="476" t="str">
        <f t="shared" si="4"/>
        <v>Heavy Oil</v>
      </c>
      <c r="K22" s="477">
        <f t="shared" si="0"/>
        <v>3.793589041095891</v>
      </c>
      <c r="L22" s="477">
        <f t="shared" si="1"/>
        <v>3.793589041095891</v>
      </c>
      <c r="M22" s="477">
        <f t="shared" si="2"/>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816</v>
      </c>
      <c r="E23" s="474" t="s">
        <v>845</v>
      </c>
      <c r="F23" s="474" t="s">
        <v>823</v>
      </c>
      <c r="G23" s="475" t="s">
        <v>847</v>
      </c>
      <c r="H23" s="473">
        <v>8</v>
      </c>
      <c r="I23" s="476"/>
      <c r="J23" s="476" t="str">
        <f>+IF(I23="Gas","Doesn't Apply",IF(H23&lt;$F$5,$D$5,IF(H23&lt;$F$6,$D$6,IF(H23&lt;$F$7,$D$7,IF(H23&gt;$E$8,$D$8,"Doesn't Apply")))))</f>
        <v>Heavy Oil</v>
      </c>
      <c r="K23" s="477">
        <f t="shared" si="0"/>
        <v>0.58205479452054798</v>
      </c>
      <c r="L23" s="477">
        <f t="shared" si="1"/>
        <v>0.58205479452054798</v>
      </c>
      <c r="M23" s="477">
        <f t="shared" si="2"/>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816</v>
      </c>
      <c r="E24" s="474" t="s">
        <v>848</v>
      </c>
      <c r="F24" s="474" t="s">
        <v>823</v>
      </c>
      <c r="G24" s="475" t="s">
        <v>849</v>
      </c>
      <c r="H24" s="473">
        <v>13.5</v>
      </c>
      <c r="I24" s="476"/>
      <c r="J24" s="476" t="str">
        <f>+IF(I24="Gas","Doesn't Apply",IF(H24&lt;$F$5,$D$5,IF(H24&lt;$F$6,$D$6,IF(H24&lt;$F$7,$D$7,IF(H24&gt;$E$8,$D$8,"Doesn't Apply")))))</f>
        <v>Heavy Oil</v>
      </c>
      <c r="K24" s="477">
        <f t="shared" si="0"/>
        <v>0.23824657534246574</v>
      </c>
      <c r="L24" s="477">
        <f t="shared" si="1"/>
        <v>0.23824657534246574</v>
      </c>
      <c r="M24" s="477">
        <f t="shared" si="2"/>
        <v>0</v>
      </c>
      <c r="N24" s="478">
        <v>0.23827397260273972</v>
      </c>
      <c r="O24" s="478">
        <v>0</v>
      </c>
      <c r="P24" s="478">
        <v>0</v>
      </c>
      <c r="Q24" s="478">
        <v>0.10038356164383562</v>
      </c>
      <c r="R24" s="478">
        <v>0.1378630136986301</v>
      </c>
      <c r="S24" s="478">
        <v>0</v>
      </c>
      <c r="T24" s="478">
        <v>0</v>
      </c>
      <c r="U24" s="478">
        <v>0</v>
      </c>
      <c r="V24" s="478">
        <v>1476.5236986301368</v>
      </c>
      <c r="W24" s="479">
        <f t="shared" si="3"/>
        <v>0.23824657534246574</v>
      </c>
    </row>
    <row r="25" spans="3:23" x14ac:dyDescent="0.25">
      <c r="C25" s="473" t="e" vm="5">
        <v>#VALUE!</v>
      </c>
      <c r="D25" s="474" t="s">
        <v>816</v>
      </c>
      <c r="E25" s="474" t="s">
        <v>852</v>
      </c>
      <c r="F25" s="474" t="s">
        <v>853</v>
      </c>
      <c r="G25" s="475" t="s">
        <v>852</v>
      </c>
      <c r="H25" s="473">
        <v>35</v>
      </c>
      <c r="I25" s="476"/>
      <c r="J25" s="476" t="str">
        <f>+IF(G25="Gas","Doesn't Apply",IF(H25&lt;$F$5,$D$5,IF(H25&lt;$F$6,$D$6,IF(H25&lt;$F$7,$D$7,IF(H25&gt;$E$8,$D$8,"Doesn't Apply")))))</f>
        <v>Light Oil</v>
      </c>
      <c r="K25" s="477">
        <f t="shared" si="0"/>
        <v>3.4626301369863017</v>
      </c>
      <c r="L25" s="477">
        <f t="shared" si="1"/>
        <v>3.4626301369863017</v>
      </c>
      <c r="M25" s="477">
        <f t="shared" si="2"/>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816</v>
      </c>
      <c r="E26" s="474" t="s">
        <v>817</v>
      </c>
      <c r="F26" s="474" t="s">
        <v>818</v>
      </c>
      <c r="G26" s="475" t="s">
        <v>819</v>
      </c>
      <c r="H26" s="473">
        <v>21</v>
      </c>
      <c r="I26" s="476"/>
      <c r="J26" s="476" t="str">
        <f>+IF(G26="Gas","Doesn't Apply",IF(H26&lt;$F$5,$D$5,IF(H26&lt;$F$6,$D$6,IF(H26&lt;$F$7,$D$7,IF(H26&gt;$E$8,$D$8,"Doesn't Apply")))))</f>
        <v>Medium Oil</v>
      </c>
      <c r="K26" s="477">
        <f t="shared" si="0"/>
        <v>1.1893972602739726</v>
      </c>
      <c r="L26" s="477">
        <f t="shared" si="1"/>
        <v>1.1893972602739726</v>
      </c>
      <c r="M26" s="477">
        <f t="shared" si="2"/>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816</v>
      </c>
      <c r="E27" s="474" t="s">
        <v>820</v>
      </c>
      <c r="F27" s="474" t="s">
        <v>818</v>
      </c>
      <c r="G27" s="475" t="s">
        <v>821</v>
      </c>
      <c r="H27" s="473">
        <v>12.5</v>
      </c>
      <c r="I27" s="476"/>
      <c r="J27" s="476" t="str">
        <f>+IF(I27="Gas","Doesn't Apply",IF(H27&lt;$F$5,$D$5,IF(H27&lt;$F$6,$D$6,IF(H27&lt;$F$7,$D$7,IF(H27&gt;$E$8,$D$8,"Doesn't Apply")))))</f>
        <v>Heavy Oil</v>
      </c>
      <c r="K27" s="477">
        <f t="shared" si="0"/>
        <v>0.23824657534246574</v>
      </c>
      <c r="L27" s="477">
        <f t="shared" si="1"/>
        <v>0.23824657534246574</v>
      </c>
      <c r="M27" s="477">
        <f t="shared" si="2"/>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816</v>
      </c>
      <c r="E28" s="474" t="s">
        <v>854</v>
      </c>
      <c r="F28" s="474" t="s">
        <v>818</v>
      </c>
      <c r="G28" s="475" t="s">
        <v>855</v>
      </c>
      <c r="H28" s="473">
        <v>21</v>
      </c>
      <c r="I28" s="476"/>
      <c r="J28" s="476" t="str">
        <f>+IF(G28="Gas","Doesn't Apply",IF(H28&lt;$F$5,$D$5,IF(H28&lt;$F$6,$D$6,IF(H28&lt;$F$7,$D$7,IF(H28&gt;$E$8,$D$8,"Doesn't Apply")))))</f>
        <v>Medium Oil</v>
      </c>
      <c r="K28" s="477">
        <f t="shared" si="0"/>
        <v>5.057041095890412</v>
      </c>
      <c r="L28" s="477">
        <f t="shared" si="1"/>
        <v>2.6139452054794523</v>
      </c>
      <c r="M28" s="477">
        <f t="shared" si="2"/>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816</v>
      </c>
      <c r="E29" s="474" t="s">
        <v>856</v>
      </c>
      <c r="F29" s="474" t="s">
        <v>818</v>
      </c>
      <c r="G29" s="475" t="s">
        <v>857</v>
      </c>
      <c r="H29" s="473">
        <f>20+(25-20)/2</f>
        <v>22.5</v>
      </c>
      <c r="I29" s="476"/>
      <c r="J29" s="476" t="str">
        <f>+IF(G29="Gas","Doesn't Apply",IF(H29&lt;$F$5,$D$5,IF(H29&lt;$F$6,$D$6,IF(H29&lt;$F$7,$D$7,IF(H29&gt;$E$8,$D$8,"Doesn't Apply")))))</f>
        <v>Medium Oil</v>
      </c>
      <c r="K29" s="477">
        <f t="shared" si="0"/>
        <v>6.7767123287671236</v>
      </c>
      <c r="L29" s="477">
        <f t="shared" si="1"/>
        <v>3.0408493150684928</v>
      </c>
      <c r="M29" s="477">
        <f t="shared" si="2"/>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816</v>
      </c>
      <c r="E30" s="474" t="s">
        <v>830</v>
      </c>
      <c r="F30" s="474" t="s">
        <v>831</v>
      </c>
      <c r="G30" s="475" t="s">
        <v>832</v>
      </c>
      <c r="H30" s="473">
        <v>23</v>
      </c>
      <c r="I30" s="476"/>
      <c r="J30" s="476" t="str">
        <f>+IF(I30="Gas","Doesn't Apply",IF(H30&lt;$F$5,$D$5,IF(H30&lt;$F$6,$D$6,IF(H30&lt;$F$7,$D$7,IF(H30&gt;$E$8,$D$8,"Doesn't Apply")))))</f>
        <v>Medium Oil</v>
      </c>
      <c r="K30" s="477">
        <f t="shared" si="0"/>
        <v>1.9274794520547947</v>
      </c>
      <c r="L30" s="477">
        <f t="shared" si="1"/>
        <v>0.33145205479452056</v>
      </c>
      <c r="M30" s="477">
        <f t="shared" si="2"/>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816</v>
      </c>
      <c r="E31" s="474" t="s">
        <v>833</v>
      </c>
      <c r="F31" s="474" t="s">
        <v>831</v>
      </c>
      <c r="G31" s="475" t="s">
        <v>834</v>
      </c>
      <c r="H31" s="473">
        <v>25.5</v>
      </c>
      <c r="I31" s="476"/>
      <c r="J31" s="476" t="str">
        <f>+IF(I31="Gas","Doesn't Apply",IF(H31&lt;$F$5,$D$5,IF(H31&lt;$F$6,$D$6,IF(H31&lt;$F$7,$D$7,IF(H31&gt;$E$8,$D$8,"Doesn't Apply")))))</f>
        <v>Medium Oil</v>
      </c>
      <c r="K31" s="477">
        <f t="shared" si="0"/>
        <v>0.8670410958904109</v>
      </c>
      <c r="L31" s="477">
        <f t="shared" si="1"/>
        <v>0.8670410958904109</v>
      </c>
      <c r="M31" s="477">
        <f t="shared" si="2"/>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816</v>
      </c>
      <c r="E32" s="474" t="s">
        <v>835</v>
      </c>
      <c r="F32" s="474" t="s">
        <v>831</v>
      </c>
      <c r="G32" s="480" t="s">
        <v>836</v>
      </c>
      <c r="H32" s="473">
        <v>21</v>
      </c>
      <c r="I32" s="476"/>
      <c r="J32" s="476" t="str">
        <f>+IF(I32="Gas","Doesn't Apply",IF(H32&lt;$F$5,$D$5,IF(H32&lt;$F$6,$D$6,IF(H32&lt;$F$7,$D$7,IF(H32&gt;$E$8,$D$8,"Doesn't Apply")))))</f>
        <v>Medium Oil</v>
      </c>
      <c r="K32" s="477">
        <f t="shared" si="0"/>
        <v>1.1906575342465753</v>
      </c>
      <c r="L32" s="477">
        <f t="shared" si="1"/>
        <v>1.5506849315068495E-2</v>
      </c>
      <c r="M32" s="477">
        <f t="shared" si="2"/>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6:22" x14ac:dyDescent="0.25">
      <c r="L33" s="75"/>
    </row>
    <row r="34" spans="6:22" x14ac:dyDescent="0.25">
      <c r="V34" s="75"/>
    </row>
    <row r="37" spans="6:22" x14ac:dyDescent="0.25">
      <c r="G37" s="565" t="s">
        <v>51</v>
      </c>
      <c r="H37" s="565"/>
      <c r="J37" s="615" t="s">
        <v>271</v>
      </c>
      <c r="K37" s="615"/>
    </row>
    <row r="38" spans="6:22" x14ac:dyDescent="0.25">
      <c r="F38" s="474"/>
      <c r="H38" s="63"/>
      <c r="K38" s="63"/>
    </row>
    <row r="39" spans="6:22" x14ac:dyDescent="0.25">
      <c r="F39" s="474" t="s">
        <v>838</v>
      </c>
      <c r="G39">
        <f t="shared" ref="G39:G43" si="5">+SUMIF($F$13:$F$32,$F39,$M$13:$M$32)</f>
        <v>179.22638356164384</v>
      </c>
      <c r="H39" s="63">
        <f t="shared" ref="H39:H43" si="6">+G39/$G$44</f>
        <v>0.22736062804688442</v>
      </c>
      <c r="J39">
        <f>+SUMIF($F$13:$F$32,F39,$V$13:$V$32)</f>
        <v>0</v>
      </c>
      <c r="K39" s="63">
        <f t="shared" ref="K39:K43" si="7">+J39/$J$44</f>
        <v>0</v>
      </c>
    </row>
    <row r="40" spans="6:22" x14ac:dyDescent="0.25">
      <c r="F40" s="474" t="s">
        <v>823</v>
      </c>
      <c r="G40">
        <f t="shared" si="5"/>
        <v>601.2036438356165</v>
      </c>
      <c r="H40" s="63">
        <f>+G40/$G$44</f>
        <v>0.76266694294775783</v>
      </c>
      <c r="J40">
        <f>+SUMIF($F$13:$F$32,F40,$V$13:$V$32)</f>
        <v>368695.16235616436</v>
      </c>
      <c r="K40" s="63">
        <f t="shared" si="7"/>
        <v>0.80638904651418819</v>
      </c>
    </row>
    <row r="41" spans="6:22" x14ac:dyDescent="0.25">
      <c r="F41" s="474" t="s">
        <v>853</v>
      </c>
      <c r="G41">
        <f t="shared" si="5"/>
        <v>0</v>
      </c>
      <c r="H41" s="63">
        <f t="shared" si="6"/>
        <v>0</v>
      </c>
      <c r="J41">
        <f>+SUMIF($F$13:$F$32,F41,$V$13:$V$32)</f>
        <v>1962.0646849315069</v>
      </c>
      <c r="K41" s="63">
        <f t="shared" si="7"/>
        <v>4.2913160573359111E-3</v>
      </c>
    </row>
    <row r="42" spans="6:22" x14ac:dyDescent="0.25">
      <c r="F42" s="474" t="s">
        <v>818</v>
      </c>
      <c r="G42">
        <f t="shared" si="5"/>
        <v>6.1789589041095905</v>
      </c>
      <c r="H42" s="63">
        <f t="shared" si="6"/>
        <v>7.8384217166947122E-3</v>
      </c>
      <c r="J42">
        <f>+SUMIF($F$13:$F$32,F42,$V$13:$V$32)</f>
        <v>73780.315945205512</v>
      </c>
      <c r="K42" s="63">
        <f t="shared" si="7"/>
        <v>0.1613681021642922</v>
      </c>
    </row>
    <row r="43" spans="6:22" x14ac:dyDescent="0.25">
      <c r="F43" s="474" t="s">
        <v>831</v>
      </c>
      <c r="G43">
        <f t="shared" si="5"/>
        <v>1.6822191780821916</v>
      </c>
      <c r="H43" s="63">
        <f t="shared" si="6"/>
        <v>2.1340072886631245E-3</v>
      </c>
      <c r="J43">
        <f>+SUMIF($F$13:$F$32,F43,$V$13:$V$32)</f>
        <v>12779.930328767123</v>
      </c>
      <c r="K43" s="63">
        <f t="shared" si="7"/>
        <v>2.7951535264183737E-2</v>
      </c>
    </row>
    <row r="44" spans="6:22" x14ac:dyDescent="0.25">
      <c r="G44" s="144">
        <f>+SUM(G38:G43)</f>
        <v>788.29120547945206</v>
      </c>
      <c r="H44" s="144"/>
      <c r="I44" s="144"/>
      <c r="J44" s="144">
        <f>+SUM(J38:J43)</f>
        <v>457217.47331506846</v>
      </c>
      <c r="K44" s="144"/>
    </row>
    <row r="58" spans="5:15" x14ac:dyDescent="0.25">
      <c r="G58" t="s">
        <v>816</v>
      </c>
      <c r="L58" t="s">
        <v>858</v>
      </c>
    </row>
    <row r="59" spans="5:15" x14ac:dyDescent="0.25">
      <c r="E59" s="481" t="e" vm="6">
        <v>#VALUE!</v>
      </c>
      <c r="F59" s="357" t="s">
        <v>859</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860</v>
      </c>
      <c r="G60" s="482">
        <v>49873.263342465754</v>
      </c>
      <c r="K60" s="483">
        <v>9.7200650381855019E-2</v>
      </c>
      <c r="L60" s="357">
        <f ca="1">+SUMIF($C$13:C33,E60,V$13:V$32)</f>
        <v>45006.501780821927</v>
      </c>
      <c r="M60" s="357"/>
      <c r="N60" s="484">
        <f t="shared" ca="1" si="8"/>
        <v>4866.761561643827</v>
      </c>
      <c r="O60" s="483">
        <f t="shared" ca="1" si="9"/>
        <v>9.758257702579308E-2</v>
      </c>
    </row>
    <row r="61" spans="5:15" x14ac:dyDescent="0.25">
      <c r="F61" t="s">
        <v>861</v>
      </c>
      <c r="G61" s="283">
        <v>2877.3214794520545</v>
      </c>
      <c r="K61" s="63">
        <v>5.6077645699651466E-3</v>
      </c>
      <c r="L61">
        <f ca="1">+SUMIF($C$13:C34,E61,V$13:V$32)</f>
        <v>0</v>
      </c>
      <c r="N61" s="291">
        <f t="shared" ca="1" si="8"/>
        <v>2877.3214794520545</v>
      </c>
      <c r="O61" s="63">
        <f t="shared" ca="1" si="9"/>
        <v>1</v>
      </c>
    </row>
    <row r="62" spans="5:15" x14ac:dyDescent="0.25">
      <c r="F62" t="s">
        <v>862</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863</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864</v>
      </c>
      <c r="G64" s="482">
        <v>351063.42304109584</v>
      </c>
      <c r="K64" s="483">
        <v>0.68420614088469911</v>
      </c>
      <c r="L64" s="357">
        <f ca="1">+SUMIF($C$13:C37,E64,V$13:V$32)</f>
        <v>323688.66057534254</v>
      </c>
      <c r="M64" s="357"/>
      <c r="N64" s="484">
        <f t="shared" ca="1" si="8"/>
        <v>27374.762465753302</v>
      </c>
      <c r="O64" s="483">
        <f t="shared" ca="1" si="9"/>
        <v>7.7976686459155231E-2</v>
      </c>
    </row>
    <row r="65" spans="5:15" x14ac:dyDescent="0.25">
      <c r="E65" s="481" t="e" vm="2">
        <v>#VALUE!</v>
      </c>
      <c r="F65" s="357" t="s">
        <v>865</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866</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861</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867</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868</v>
      </c>
      <c r="G69" s="283">
        <v>33.721452054794518</v>
      </c>
      <c r="K69" s="63">
        <v>6.5721527966581929E-5</v>
      </c>
      <c r="L69">
        <f ca="1">+SUMIF($C$13:C42,E69,V$13:V$32)</f>
        <v>0</v>
      </c>
      <c r="N69" s="291">
        <f t="shared" ca="1" si="8"/>
        <v>33.721452054794518</v>
      </c>
      <c r="O69" s="63">
        <f t="shared" ca="1" si="9"/>
        <v>1</v>
      </c>
    </row>
    <row r="70" spans="5:15" x14ac:dyDescent="0.25">
      <c r="F70" t="s">
        <v>869</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870</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457217.47331506864</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33" priority="18">
      <formula>LEN(TRIM(F13))=0</formula>
    </cfRule>
  </conditionalFormatting>
  <conditionalFormatting sqref="H13:I24">
    <cfRule type="containsText" dxfId="32" priority="15" operator="containsText" text="Oil and Gas">
      <formula>NOT(ISERROR(SEARCH("Oil and Gas",H13)))</formula>
    </cfRule>
    <cfRule type="containsText" dxfId="31" priority="16" operator="containsText" text="Gas">
      <formula>NOT(ISERROR(SEARCH("Gas",H13)))</formula>
    </cfRule>
    <cfRule type="containsText" dxfId="30" priority="17" operator="containsText" text="Oil">
      <formula>NOT(ISERROR(SEARCH("Oil",H13)))</formula>
    </cfRule>
  </conditionalFormatting>
  <conditionalFormatting sqref="H25:I32">
    <cfRule type="containsText" dxfId="29" priority="8" operator="containsText" text="Oil and Gas">
      <formula>NOT(ISERROR(SEARCH("Oil and Gas",H25)))</formula>
    </cfRule>
    <cfRule type="containsText" dxfId="28" priority="9" operator="containsText" text="Gas">
      <formula>NOT(ISERROR(SEARCH("Gas",H25)))</formula>
    </cfRule>
    <cfRule type="containsText" dxfId="27" priority="10" operator="containsText" text="Oil">
      <formula>NOT(ISERROR(SEARCH("Oil",H25)))</formula>
    </cfRule>
  </conditionalFormatting>
  <conditionalFormatting sqref="N13:V32">
    <cfRule type="cellIs" dxfId="26" priority="7" operator="equal">
      <formula>0</formula>
    </cfRule>
  </conditionalFormatting>
  <conditionalFormatting sqref="F38">
    <cfRule type="containsBlanks" dxfId="25" priority="6">
      <formula>LEN(TRIM(F38))=0</formula>
    </cfRule>
  </conditionalFormatting>
  <conditionalFormatting sqref="F39">
    <cfRule type="containsBlanks" dxfId="24" priority="5">
      <formula>LEN(TRIM(F39))=0</formula>
    </cfRule>
  </conditionalFormatting>
  <conditionalFormatting sqref="F40">
    <cfRule type="containsBlanks" dxfId="23" priority="4">
      <formula>LEN(TRIM(F40))=0</formula>
    </cfRule>
  </conditionalFormatting>
  <conditionalFormatting sqref="F41">
    <cfRule type="containsBlanks" dxfId="22" priority="3">
      <formula>LEN(TRIM(F41))=0</formula>
    </cfRule>
  </conditionalFormatting>
  <conditionalFormatting sqref="F42">
    <cfRule type="containsBlanks" dxfId="21" priority="2">
      <formula>LEN(TRIM(F42))=0</formula>
    </cfRule>
  </conditionalFormatting>
  <conditionalFormatting sqref="F43">
    <cfRule type="containsBlanks" dxfId="20"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234"/>
  <sheetViews>
    <sheetView showGridLines="0" tabSelected="1" topLeftCell="F52" zoomScale="85" zoomScaleNormal="85" workbookViewId="0">
      <selection activeCell="P84" sqref="P84"/>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 min="31" max="31" width="20.28515625" bestFit="1" customWidth="1"/>
  </cols>
  <sheetData>
    <row r="4" spans="3:28" x14ac:dyDescent="0.25">
      <c r="E4" s="19" t="str">
        <f>'Bases de Cálculo'!F3</f>
        <v>PCI</v>
      </c>
      <c r="F4" s="19" t="str">
        <f>'Bases de Cálculo'!G3</f>
        <v>F.E. CO2eq</v>
      </c>
      <c r="T4" s="20" t="s">
        <v>920</v>
      </c>
      <c r="U4" s="20" t="s">
        <v>920</v>
      </c>
      <c r="V4" s="486" t="s">
        <v>557</v>
      </c>
    </row>
    <row r="5" spans="3:28" ht="30" x14ac:dyDescent="0.25">
      <c r="E5" s="19"/>
      <c r="F5" s="19" t="str">
        <f>'Bases de Cálculo'!G4</f>
        <v>kt/PJ</v>
      </c>
      <c r="L5" s="470" t="str">
        <f>'5. 2019 O&amp;G'!C12</f>
        <v>Deparment</v>
      </c>
      <c r="M5" s="470" t="str">
        <f>'5. 2019 O&amp;G'!D12</f>
        <v>Company</v>
      </c>
      <c r="N5" s="470" t="str">
        <f>'5. 2019 O&amp;G'!E12</f>
        <v>City-town-location</v>
      </c>
      <c r="O5" s="470" t="str">
        <f>'5. 2019 O&amp;G'!F12</f>
        <v>Basin</v>
      </c>
      <c r="P5" s="470" t="str">
        <f>'5. 2019 O&amp;G'!G12</f>
        <v>Oilfield</v>
      </c>
      <c r="Q5" s="471" t="str">
        <f>'5. 2019 O&amp;G'!H12</f>
        <v>API Gravity</v>
      </c>
      <c r="R5" s="471">
        <f>'5. 2019 O&amp;G'!I12</f>
        <v>0</v>
      </c>
      <c r="S5" s="471" t="str">
        <f>'5. 2019 O&amp;G'!J12</f>
        <v>Type of Oil producing</v>
      </c>
      <c r="T5" s="472" t="str">
        <f>'5. 2019 O&amp;G'!K12</f>
        <v>GFISCA</v>
      </c>
      <c r="U5" s="472" t="str">
        <f>'5. 2019 O&amp;G'!W12</f>
        <v>GFISC - GREI</v>
      </c>
      <c r="V5" s="470" t="s">
        <v>921</v>
      </c>
      <c r="W5" s="470" t="s">
        <v>810</v>
      </c>
      <c r="Y5" s="470" t="s">
        <v>809</v>
      </c>
      <c r="Z5" s="470" t="s">
        <v>811</v>
      </c>
      <c r="AA5" s="470" t="s">
        <v>812</v>
      </c>
      <c r="AB5" s="470" t="s">
        <v>813</v>
      </c>
    </row>
    <row r="6" spans="3:28" x14ac:dyDescent="0.25">
      <c r="D6" t="str">
        <f>'Bases de Cálculo'!B5</f>
        <v>Energético</v>
      </c>
      <c r="E6" s="19" t="str">
        <f>'Bases de Cálculo'!F5</f>
        <v>TJ/kbl*</v>
      </c>
      <c r="F6" s="19" t="str">
        <f>'Bases de Cálculo'!G5</f>
        <v>t/TJ</v>
      </c>
      <c r="L6" s="473" t="e" vm="1">
        <f>'5. 2019 O&amp;G'!C13</f>
        <v>#VALUE!</v>
      </c>
      <c r="M6" s="474" t="str">
        <f>'5. 2019 O&amp;G'!D13</f>
        <v>ECP</v>
      </c>
      <c r="N6" s="474" t="str">
        <f>'5. 2019 O&amp;G'!E13</f>
        <v>Manaure</v>
      </c>
      <c r="O6" s="474" t="str">
        <f>'5. 2019 O&amp;G'!F13</f>
        <v>Guajira</v>
      </c>
      <c r="P6" s="475" t="str">
        <f>'5. 2019 O&amp;G'!G13</f>
        <v>Chuchupa</v>
      </c>
      <c r="Q6" s="473" t="str">
        <f>'5. 2019 O&amp;G'!H13</f>
        <v>-</v>
      </c>
      <c r="R6" s="476" t="str">
        <f>'5. 2019 O&amp;G'!I13</f>
        <v>GAS</v>
      </c>
      <c r="S6" s="476" t="str">
        <f>'5. 2019 O&amp;G'!J13</f>
        <v>Doesn't Apply</v>
      </c>
      <c r="T6" s="477">
        <f>'5. 2019 O&amp;G'!K13</f>
        <v>162.95282191780822</v>
      </c>
      <c r="U6" s="479">
        <f>'5. 2019 O&amp;G'!W13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2019 O&amp;G'!C14</f>
        <v>#VALUE!</v>
      </c>
      <c r="M7" s="474" t="str">
        <f>'5. 2019 O&amp;G'!D14</f>
        <v>ECP</v>
      </c>
      <c r="N7" s="474" t="str">
        <f>'5. 2019 O&amp;G'!E14</f>
        <v>Manaure</v>
      </c>
      <c r="O7" s="474" t="str">
        <f>'5. 2019 O&amp;G'!F14</f>
        <v>Guajira</v>
      </c>
      <c r="P7" s="475" t="str">
        <f>'5. 2019 O&amp;G'!G14</f>
        <v>Ballena</v>
      </c>
      <c r="Q7" s="473" t="str">
        <f>'5. 2019 O&amp;G'!H14</f>
        <v>-</v>
      </c>
      <c r="R7" s="476" t="str">
        <f>'5. 2019 O&amp;G'!I14</f>
        <v>GAS</v>
      </c>
      <c r="S7" s="476" t="str">
        <f>'5. 2019 O&amp;G'!J14</f>
        <v>Doesn't Apply</v>
      </c>
      <c r="T7" s="477">
        <f>'5. 2019 O&amp;G'!K14</f>
        <v>23.174410958904112</v>
      </c>
      <c r="U7" s="479">
        <f>'5. 2019 O&amp;G'!W14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2019 O&amp;G'!C15</f>
        <v>#VALUE!</v>
      </c>
      <c r="M8" s="474" t="str">
        <f>'5. 2019 O&amp;G'!D15</f>
        <v>ECP</v>
      </c>
      <c r="N8" s="474" t="str">
        <f>'5. 2019 O&amp;G'!E15</f>
        <v>Toledo</v>
      </c>
      <c r="O8" s="474" t="str">
        <f>'5. 2019 O&amp;G'!F15</f>
        <v>Llanos Orientales</v>
      </c>
      <c r="P8" s="475" t="str">
        <f>'5. 2019 O&amp;G'!G15</f>
        <v>Gibraltar</v>
      </c>
      <c r="Q8" s="473" t="str">
        <f>'5. 2019 O&amp;G'!H15</f>
        <v>-</v>
      </c>
      <c r="R8" s="476" t="str">
        <f>'5. 2019 O&amp;G'!I15</f>
        <v>GAS</v>
      </c>
      <c r="S8" s="476" t="str">
        <f>'5. 2019 O&amp;G'!J15</f>
        <v>Doesn't Apply</v>
      </c>
      <c r="T8" s="477">
        <f>'5. 2019 O&amp;G'!K15</f>
        <v>35.569315068493154</v>
      </c>
      <c r="U8" s="479">
        <f>'5. 2019 O&amp;G'!W15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2019 O&amp;G'!C16</f>
        <v>#VALUE!</v>
      </c>
      <c r="M9" s="474" t="str">
        <f>'5. 2019 O&amp;G'!D16</f>
        <v>ECP</v>
      </c>
      <c r="N9" s="474" t="str">
        <f>'5. 2019 O&amp;G'!E16</f>
        <v>Aguazul</v>
      </c>
      <c r="O9" s="474" t="str">
        <f>'5. 2019 O&amp;G'!F16</f>
        <v>Llanos Orientales</v>
      </c>
      <c r="P9" s="475" t="str">
        <f>'5. 2019 O&amp;G'!G16</f>
        <v>Cupiagua (Cupiagua + Liria + Sur)</v>
      </c>
      <c r="Q9" s="473">
        <f>'5. 2019 O&amp;G'!H16</f>
        <v>48</v>
      </c>
      <c r="R9" s="476"/>
      <c r="S9" s="476" t="str">
        <f>'5. 2019 O&amp;G'!J16</f>
        <v>Light Oil</v>
      </c>
      <c r="T9" s="477">
        <f>'5. 2019 O&amp;G'!K16</f>
        <v>649.48632876712327</v>
      </c>
      <c r="U9" s="479">
        <f>'5. 2019 O&amp;G'!W16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2019 O&amp;G'!C17</f>
        <v>#VALUE!</v>
      </c>
      <c r="M10" s="474" t="str">
        <f>'5. 2019 O&amp;G'!D17</f>
        <v>ECP</v>
      </c>
      <c r="N10" s="474" t="str">
        <f>'5. 2019 O&amp;G'!E17</f>
        <v>Tauramena</v>
      </c>
      <c r="O10" s="474" t="str">
        <f>'5. 2019 O&amp;G'!F17</f>
        <v>Llanos Orientales</v>
      </c>
      <c r="P10" s="475" t="str">
        <f>'5. 2019 O&amp;G'!G17</f>
        <v>Cusiana (Cusiana + Norte)</v>
      </c>
      <c r="Q10" s="473">
        <f>'5. 2019 O&amp;G'!H17</f>
        <v>52</v>
      </c>
      <c r="R10" s="476"/>
      <c r="S10" s="476" t="str">
        <f>'5. 2019 O&amp;G'!J17</f>
        <v>Light Oil</v>
      </c>
      <c r="T10" s="477">
        <f>'5. 2019 O&amp;G'!K17</f>
        <v>277.3735890410959</v>
      </c>
      <c r="U10" s="479">
        <f>'5. 2019 O&amp;G'!W17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2019 O&amp;G'!C18</f>
        <v>#VALUE!</v>
      </c>
      <c r="M11" s="474" t="str">
        <f>'5. 2019 O&amp;G'!D18</f>
        <v>ECP</v>
      </c>
      <c r="N11" s="474" t="str">
        <f>'5. 2019 O&amp;G'!E18</f>
        <v>Yopal</v>
      </c>
      <c r="O11" s="474" t="str">
        <f>'5. 2019 O&amp;G'!F18</f>
        <v>Llanos Orientales</v>
      </c>
      <c r="P11" s="475" t="str">
        <f>'5. 2019 O&amp;G'!G18</f>
        <v>Pauto Sur (Sur + Recetor)</v>
      </c>
      <c r="Q11" s="473">
        <f>'5. 2019 O&amp;G'!H18</f>
        <v>46</v>
      </c>
      <c r="R11" s="476"/>
      <c r="S11" s="476" t="str">
        <f>'5. 2019 O&amp;G'!J18</f>
        <v>Light Oil</v>
      </c>
      <c r="T11" s="477">
        <f>'5. 2019 O&amp;G'!K18</f>
        <v>435.40112328767128</v>
      </c>
      <c r="U11" s="479">
        <f>'5. 2019 O&amp;G'!W18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2019 O&amp;G'!C19</f>
        <v>#VALUE!</v>
      </c>
      <c r="M12" s="474" t="str">
        <f>'5. 2019 O&amp;G'!D19</f>
        <v>ECP</v>
      </c>
      <c r="N12" s="474" t="str">
        <f>'5. 2019 O&amp;G'!E19</f>
        <v>Yopal</v>
      </c>
      <c r="O12" s="474" t="str">
        <f>'5. 2019 O&amp;G'!F19</f>
        <v>Llanos Orientales</v>
      </c>
      <c r="P12" s="475" t="str">
        <f>'5. 2019 O&amp;G'!G19</f>
        <v>Floreña (Floreña + Mirador)</v>
      </c>
      <c r="Q12" s="473">
        <f>'5. 2019 O&amp;G'!H19</f>
        <v>45.5</v>
      </c>
      <c r="R12" s="476"/>
      <c r="S12" s="476" t="str">
        <f>'5. 2019 O&amp;G'!J19</f>
        <v>Light Oil</v>
      </c>
      <c r="T12" s="477">
        <f>'5. 2019 O&amp;G'!K19</f>
        <v>114.48408219178081</v>
      </c>
      <c r="U12" s="479">
        <f>'5. 2019 O&amp;G'!W19</f>
        <v>3.3001369863013679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2019 O&amp;G'!C20</f>
        <v>#VALUE!</v>
      </c>
      <c r="M13" s="474" t="str">
        <f>'5. 2019 O&amp;G'!D20</f>
        <v>ECP</v>
      </c>
      <c r="N13" s="474" t="str">
        <f>'5. 2019 O&amp;G'!E20</f>
        <v>Puerto Gaitan</v>
      </c>
      <c r="O13" s="474" t="str">
        <f>'5. 2019 O&amp;G'!F20</f>
        <v>Llanos Orientales</v>
      </c>
      <c r="P13" s="475" t="str">
        <f>'5. 2019 O&amp;G'!G20</f>
        <v>Rubiales</v>
      </c>
      <c r="Q13" s="473">
        <f>'5. 2019 O&amp;G'!H20</f>
        <v>12.850000000000001</v>
      </c>
      <c r="R13" s="476"/>
      <c r="S13" s="476" t="str">
        <f>'5. 2019 O&amp;G'!J20</f>
        <v>Heavy Oil</v>
      </c>
      <c r="T13" s="477">
        <f>'5. 2019 O&amp;G'!K20</f>
        <v>0</v>
      </c>
      <c r="U13" s="479">
        <f>'5. 2019 O&amp;G'!W20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2019 O&amp;G'!C21</f>
        <v>#VALUE!</v>
      </c>
      <c r="M14" s="474" t="str">
        <f>'5. 2019 O&amp;G'!D21</f>
        <v>ECP</v>
      </c>
      <c r="N14" s="474" t="str">
        <f>'5. 2019 O&amp;G'!E21</f>
        <v>Acacias/Castilla Nueva</v>
      </c>
      <c r="O14" s="474" t="str">
        <f>'5. 2019 O&amp;G'!F21</f>
        <v>Llanos Orientales</v>
      </c>
      <c r="P14" s="475" t="str">
        <f>'5. 2019 O&amp;G'!G21</f>
        <v>Castilla (c, e, n, n)</v>
      </c>
      <c r="Q14" s="473">
        <f>'5. 2019 O&amp;G'!H21</f>
        <v>13.7</v>
      </c>
      <c r="R14" s="476"/>
      <c r="S14" s="476" t="str">
        <f>'5. 2019 O&amp;G'!J21</f>
        <v>Heavy Oil</v>
      </c>
      <c r="T14" s="477">
        <f>'5. 2019 O&amp;G'!K21</f>
        <v>0</v>
      </c>
      <c r="U14" s="479">
        <f>'5. 2019 O&amp;G'!W21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2019 O&amp;G'!C22</f>
        <v>#VALUE!</v>
      </c>
      <c r="M15" s="474" t="str">
        <f>'5. 2019 O&amp;G'!D22</f>
        <v>ECP</v>
      </c>
      <c r="N15" s="474" t="str">
        <f>'5. 2019 O&amp;G'!E22</f>
        <v>Acacias/Guamal</v>
      </c>
      <c r="O15" s="474" t="str">
        <f>'5. 2019 O&amp;G'!F22</f>
        <v>Llanos Orientales</v>
      </c>
      <c r="P15" s="475" t="str">
        <f>'5. 2019 O&amp;G'!G22</f>
        <v>Chichimene</v>
      </c>
      <c r="Q15" s="473">
        <f>'5. 2019 O&amp;G'!H22</f>
        <v>13.5</v>
      </c>
      <c r="R15" s="476"/>
      <c r="S15" s="476" t="str">
        <f>'5. 2019 O&amp;G'!J22</f>
        <v>Heavy Oil</v>
      </c>
      <c r="T15" s="477">
        <f>'5. 2019 O&amp;G'!K22</f>
        <v>3.793589041095891</v>
      </c>
      <c r="U15" s="479">
        <f>'5. 2019 O&amp;G'!W22</f>
        <v>3.793589041095891</v>
      </c>
      <c r="V15" s="478">
        <v>69090.784575342463</v>
      </c>
      <c r="W15" s="478">
        <v>2.9221917808219184</v>
      </c>
      <c r="Y15" s="478">
        <v>0.87139726027397268</v>
      </c>
      <c r="Z15" s="478">
        <v>0</v>
      </c>
      <c r="AA15" s="478">
        <v>0</v>
      </c>
      <c r="AB15" s="478">
        <v>0</v>
      </c>
    </row>
    <row r="16" spans="3:28" x14ac:dyDescent="0.25">
      <c r="C16" s="19" t="s">
        <v>519</v>
      </c>
      <c r="D16" s="148" t="str">
        <f>'Bases de Cálculo'!B24</f>
        <v>Gasolina de aviación</v>
      </c>
      <c r="E16" s="122">
        <f>'Bases de Cálculo'!F24</f>
        <v>4.7615165047769556</v>
      </c>
      <c r="F16" s="313">
        <f>'Bases de Cálculo'!G24</f>
        <v>56.337812381502502</v>
      </c>
      <c r="L16" s="473" t="e" vm="4">
        <f>'5. 2019 O&amp;G'!C23</f>
        <v>#VALUE!</v>
      </c>
      <c r="M16" s="474" t="str">
        <f>'5. 2019 O&amp;G'!D23</f>
        <v>ECP</v>
      </c>
      <c r="N16" s="474" t="str">
        <f>'5. 2019 O&amp;G'!E23</f>
        <v>Acacias/Guamal</v>
      </c>
      <c r="O16" s="474" t="str">
        <f>'5. 2019 O&amp;G'!F23</f>
        <v>Llanos Orientales</v>
      </c>
      <c r="P16" s="475" t="str">
        <f>'5. 2019 O&amp;G'!G23</f>
        <v>Akacias</v>
      </c>
      <c r="Q16" s="473">
        <f>'5. 2019 O&amp;G'!H23</f>
        <v>8</v>
      </c>
      <c r="R16" s="476"/>
      <c r="S16" s="476" t="str">
        <f>'5. 2019 O&amp;G'!J23</f>
        <v>Heavy Oil</v>
      </c>
      <c r="T16" s="477">
        <f>'5. 2019 O&amp;G'!K23</f>
        <v>0.58205479452054798</v>
      </c>
      <c r="U16" s="479">
        <f>'5. 2019 O&amp;G'!W23</f>
        <v>0.58205479452054798</v>
      </c>
      <c r="V16" s="478">
        <v>19756.607616438356</v>
      </c>
      <c r="W16" s="478">
        <v>0.58205479452054798</v>
      </c>
      <c r="Y16" s="478">
        <v>0</v>
      </c>
      <c r="Z16" s="478">
        <v>0</v>
      </c>
      <c r="AA16" s="478">
        <v>0</v>
      </c>
      <c r="AB16" s="478">
        <v>0</v>
      </c>
    </row>
    <row r="17" spans="3:28" x14ac:dyDescent="0.25">
      <c r="C17" s="19" t="s">
        <v>516</v>
      </c>
      <c r="D17" s="151" t="str">
        <f>'Bases de Cálculo'!B25</f>
        <v>Refinery Gas</v>
      </c>
      <c r="E17" s="314">
        <f>'Bases de Cálculo'!F25</f>
        <v>4.1867999999999999</v>
      </c>
      <c r="F17" s="315">
        <f>'Bases de Cálculo'!G25</f>
        <v>40.784041574326501</v>
      </c>
      <c r="L17" s="473" t="e" vm="4">
        <f>'5. 2019 O&amp;G'!C24</f>
        <v>#VALUE!</v>
      </c>
      <c r="M17" s="474" t="str">
        <f>'5. 2019 O&amp;G'!D24</f>
        <v>ECP</v>
      </c>
      <c r="N17" s="474" t="str">
        <f>'5. 2019 O&amp;G'!E24</f>
        <v>Villavicencio</v>
      </c>
      <c r="O17" s="474" t="str">
        <f>'5. 2019 O&amp;G'!F24</f>
        <v>Llanos Orientales</v>
      </c>
      <c r="P17" s="475" t="str">
        <f>'5. 2019 O&amp;G'!G24</f>
        <v>Apiay</v>
      </c>
      <c r="Q17" s="473">
        <f>'5. 2019 O&amp;G'!H24</f>
        <v>13.5</v>
      </c>
      <c r="R17" s="476"/>
      <c r="S17" s="476" t="str">
        <f>'5. 2019 O&amp;G'!J24</f>
        <v>Heavy Oil</v>
      </c>
      <c r="T17" s="477">
        <f>'5. 2019 O&amp;G'!K24</f>
        <v>0.23824657534246574</v>
      </c>
      <c r="U17" s="479">
        <f>'5. 2019 O&amp;G'!W24</f>
        <v>0.23824657534246574</v>
      </c>
      <c r="V17" s="478">
        <v>1476.5236986301368</v>
      </c>
      <c r="W17" s="478">
        <v>0.1378630136986301</v>
      </c>
      <c r="Y17" s="478">
        <v>0.10038356164383562</v>
      </c>
      <c r="Z17" s="478">
        <v>0</v>
      </c>
      <c r="AA17" s="478">
        <v>0</v>
      </c>
      <c r="AB17" s="478">
        <v>0</v>
      </c>
    </row>
    <row r="18" spans="3:28" x14ac:dyDescent="0.25">
      <c r="C18" s="142" t="s">
        <v>482</v>
      </c>
      <c r="L18" s="473" t="e" vm="5">
        <f>'5. 2019 O&amp;G'!C25</f>
        <v>#VALUE!</v>
      </c>
      <c r="M18" s="474" t="str">
        <f>'5. 2019 O&amp;G'!D25</f>
        <v>ECP</v>
      </c>
      <c r="N18" s="474" t="str">
        <f>'5. 2019 O&amp;G'!E25</f>
        <v>Orito</v>
      </c>
      <c r="O18" s="474" t="str">
        <f>'5. 2019 O&amp;G'!F25</f>
        <v>Putumayo</v>
      </c>
      <c r="P18" s="475" t="str">
        <f>'5. 2019 O&amp;G'!G25</f>
        <v>Orito</v>
      </c>
      <c r="Q18" s="473">
        <f>'5. 2019 O&amp;G'!H25</f>
        <v>35</v>
      </c>
      <c r="R18" s="476"/>
      <c r="S18" s="476" t="str">
        <f>'5. 2019 O&amp;G'!J25</f>
        <v>Light Oil</v>
      </c>
      <c r="T18" s="477">
        <f>'5. 2019 O&amp;G'!K25</f>
        <v>3.4626301369863017</v>
      </c>
      <c r="U18" s="477">
        <f>'5. 2019 O&amp;G'!W25</f>
        <v>3.4626301369863017</v>
      </c>
      <c r="V18" s="478">
        <v>1962.0646849315069</v>
      </c>
      <c r="W18" s="478">
        <v>3.4626301369863017</v>
      </c>
      <c r="Y18" s="478">
        <v>0</v>
      </c>
      <c r="Z18" s="478">
        <v>0</v>
      </c>
      <c r="AA18" s="478">
        <v>0</v>
      </c>
      <c r="AB18" s="478">
        <v>0</v>
      </c>
    </row>
    <row r="19" spans="3:28" x14ac:dyDescent="0.25">
      <c r="L19" s="473" t="e" vm="6">
        <f>'5. 2019 O&amp;G'!C26</f>
        <v>#VALUE!</v>
      </c>
      <c r="M19" s="474" t="str">
        <f>'5. 2019 O&amp;G'!D26</f>
        <v>ECP</v>
      </c>
      <c r="N19" s="474" t="str">
        <f>'5. 2019 O&amp;G'!E26</f>
        <v>Yondo</v>
      </c>
      <c r="O19" s="474" t="str">
        <f>'5. 2019 O&amp;G'!F26</f>
        <v>VMM</v>
      </c>
      <c r="P19" s="475" t="str">
        <f>'5. 2019 O&amp;G'!G26</f>
        <v>Casabe</v>
      </c>
      <c r="Q19" s="473">
        <f>'5. 2019 O&amp;G'!H26</f>
        <v>21</v>
      </c>
      <c r="R19" s="476"/>
      <c r="S19" s="476" t="str">
        <f>'5. 2019 O&amp;G'!J26</f>
        <v>Medium Oil</v>
      </c>
      <c r="T19" s="477">
        <f>'5. 2019 O&amp;G'!K26</f>
        <v>1.1893972602739726</v>
      </c>
      <c r="U19" s="479">
        <f>'5. 2019 O&amp;G'!W26</f>
        <v>1.1893972602739726</v>
      </c>
      <c r="V19" s="478">
        <v>12119.3965753425</v>
      </c>
      <c r="W19" s="478">
        <v>0.23397260273972598</v>
      </c>
      <c r="Y19" s="478">
        <v>0.95542465753424666</v>
      </c>
      <c r="Z19" s="478">
        <v>0</v>
      </c>
      <c r="AA19" s="478">
        <v>0</v>
      </c>
      <c r="AB19" s="478">
        <v>0</v>
      </c>
    </row>
    <row r="20" spans="3:28" x14ac:dyDescent="0.25">
      <c r="L20" s="473" t="e" vm="6">
        <f>'5. 2019 O&amp;G'!C27</f>
        <v>#VALUE!</v>
      </c>
      <c r="M20" s="474" t="str">
        <f>'5. 2019 O&amp;G'!D27</f>
        <v>ECP</v>
      </c>
      <c r="N20" s="474" t="str">
        <f>'5. 2019 O&amp;G'!E27</f>
        <v>Puerto Nare</v>
      </c>
      <c r="O20" s="474" t="str">
        <f>'5. 2019 O&amp;G'!F27</f>
        <v>VMM</v>
      </c>
      <c r="P20" s="475" t="str">
        <f>'5. 2019 O&amp;G'!G27</f>
        <v>Area Teca-Corcona</v>
      </c>
      <c r="Q20" s="473">
        <f>'5. 2019 O&amp;G'!H27</f>
        <v>12.5</v>
      </c>
      <c r="R20" s="476"/>
      <c r="S20" s="476" t="str">
        <f>'5. 2019 O&amp;G'!J27</f>
        <v>Heavy Oil</v>
      </c>
      <c r="T20" s="477">
        <f>'5. 2019 O&amp;G'!K27</f>
        <v>0.23824657534246574</v>
      </c>
      <c r="U20" s="479">
        <f>'5. 2019 O&amp;G'!W27</f>
        <v>0.23824657534246574</v>
      </c>
      <c r="V20" s="478">
        <v>1476.5236986301368</v>
      </c>
      <c r="W20" s="478">
        <v>0.1378630136986301</v>
      </c>
      <c r="Y20" s="478">
        <v>0.10038356164383562</v>
      </c>
      <c r="Z20" s="478">
        <v>0</v>
      </c>
      <c r="AA20" s="478">
        <v>0</v>
      </c>
      <c r="AB20" s="478">
        <v>0</v>
      </c>
    </row>
    <row r="21" spans="3:28" x14ac:dyDescent="0.25">
      <c r="L21" s="473" t="e" vm="7">
        <f>'5. 2019 O&amp;G'!C28</f>
        <v>#VALUE!</v>
      </c>
      <c r="M21" s="474" t="str">
        <f>'5. 2019 O&amp;G'!D28</f>
        <v>ECP</v>
      </c>
      <c r="N21" s="474" t="str">
        <f>'5. 2019 O&amp;G'!E28</f>
        <v>Puerto Wilches</v>
      </c>
      <c r="O21" s="474" t="str">
        <f>'5. 2019 O&amp;G'!F28</f>
        <v>VMM</v>
      </c>
      <c r="P21" s="475" t="str">
        <f>'5. 2019 O&amp;G'!G28</f>
        <v>Yarigui-Cantagallo</v>
      </c>
      <c r="Q21" s="473">
        <f>'5. 2019 O&amp;G'!H28</f>
        <v>21</v>
      </c>
      <c r="R21" s="476"/>
      <c r="S21" s="476" t="str">
        <f>'5. 2019 O&amp;G'!J28</f>
        <v>Medium Oil</v>
      </c>
      <c r="T21" s="477">
        <f>'5. 2019 O&amp;G'!K28</f>
        <v>5.057041095890412</v>
      </c>
      <c r="U21" s="479">
        <f>'5. 2019 O&amp;G'!W28</f>
        <v>5.057041095890412</v>
      </c>
      <c r="V21" s="478">
        <v>17849.99879452055</v>
      </c>
      <c r="W21" s="478">
        <v>0.21123287671232879</v>
      </c>
      <c r="Y21" s="478">
        <v>2.4027123287671235</v>
      </c>
      <c r="Z21" s="478">
        <v>0</v>
      </c>
      <c r="AA21" s="478">
        <v>0</v>
      </c>
      <c r="AB21" s="478">
        <v>2.4430958904109596</v>
      </c>
    </row>
    <row r="22" spans="3:28" x14ac:dyDescent="0.25">
      <c r="L22" s="473" t="e" vm="7">
        <f>'5. 2019 O&amp;G'!C29</f>
        <v>#VALUE!</v>
      </c>
      <c r="M22" s="474" t="str">
        <f>'5. 2019 O&amp;G'!D29</f>
        <v>ECP</v>
      </c>
      <c r="N22" s="474" t="str">
        <f>'5. 2019 O&amp;G'!E29</f>
        <v>Barrancabermeja</v>
      </c>
      <c r="O22" s="474" t="str">
        <f>'5. 2019 O&amp;G'!F29</f>
        <v>VMM</v>
      </c>
      <c r="P22" s="475" t="str">
        <f>'5. 2019 O&amp;G'!G29</f>
        <v>La Cira</v>
      </c>
      <c r="Q22" s="473">
        <f>'5. 2019 O&amp;G'!H29</f>
        <v>22.5</v>
      </c>
      <c r="R22" s="476"/>
      <c r="S22" s="476" t="str">
        <f>'5. 2019 O&amp;G'!J29</f>
        <v>Medium Oil</v>
      </c>
      <c r="T22" s="477">
        <f>'5. 2019 O&amp;G'!K29</f>
        <v>6.7767123287671236</v>
      </c>
      <c r="U22" s="479">
        <f>'5. 2019 O&amp;G'!W29</f>
        <v>6.7767123287671236</v>
      </c>
      <c r="V22" s="478">
        <v>42334.39687671233</v>
      </c>
      <c r="W22" s="478">
        <v>1.6441095890410957</v>
      </c>
      <c r="Y22" s="478">
        <v>1.396739726027397</v>
      </c>
      <c r="Z22" s="478">
        <v>3.7358630136986304</v>
      </c>
      <c r="AA22" s="478">
        <v>0</v>
      </c>
      <c r="AB22" s="478">
        <v>0</v>
      </c>
    </row>
    <row r="23" spans="3:28" x14ac:dyDescent="0.25">
      <c r="L23" s="473" t="e" vm="8">
        <f>'5. 2019 O&amp;G'!C30</f>
        <v>#VALUE!</v>
      </c>
      <c r="M23" s="474" t="str">
        <f>'5. 2019 O&amp;G'!D30</f>
        <v>ECP</v>
      </c>
      <c r="N23" s="474" t="str">
        <f>'5. 2019 O&amp;G'!E30</f>
        <v>Aipe</v>
      </c>
      <c r="O23" s="474" t="str">
        <f>'5. 2019 O&amp;G'!F30</f>
        <v>VSM</v>
      </c>
      <c r="P23" s="475" t="str">
        <f>'5. 2019 O&amp;G'!G30</f>
        <v>Dina</v>
      </c>
      <c r="Q23" s="473">
        <f>'5. 2019 O&amp;G'!H30</f>
        <v>23</v>
      </c>
      <c r="R23" s="476"/>
      <c r="S23" s="476" t="str">
        <f>'5. 2019 O&amp;G'!J30</f>
        <v>Medium Oil</v>
      </c>
      <c r="T23" s="477">
        <f>'5. 2019 O&amp;G'!K30</f>
        <v>1.9274794520547947</v>
      </c>
      <c r="U23" s="479">
        <f>'5. 2019 O&amp;G'!W30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2019 O&amp;G'!C31</f>
        <v>#VALUE!</v>
      </c>
      <c r="M24" s="474" t="str">
        <f>'5. 2019 O&amp;G'!D31</f>
        <v>ECP</v>
      </c>
      <c r="N24" s="474" t="str">
        <f>'5. 2019 O&amp;G'!E31</f>
        <v>Neiva/Palermo</v>
      </c>
      <c r="O24" s="474" t="str">
        <f>'5. 2019 O&amp;G'!F31</f>
        <v>VSM</v>
      </c>
      <c r="P24" s="475" t="str">
        <f>'5. 2019 O&amp;G'!G31</f>
        <v>San Francisco</v>
      </c>
      <c r="Q24" s="473">
        <f>'5. 2019 O&amp;G'!H31</f>
        <v>25.5</v>
      </c>
      <c r="R24" s="476"/>
      <c r="S24" s="476" t="str">
        <f>'5. 2019 O&amp;G'!J31</f>
        <v>Medium Oil</v>
      </c>
      <c r="T24" s="477">
        <f>'5. 2019 O&amp;G'!K31</f>
        <v>0.8670410958904109</v>
      </c>
      <c r="U24" s="479">
        <f>'5. 2019 O&amp;G'!W31</f>
        <v>0.8670410958904109</v>
      </c>
      <c r="V24" s="478">
        <v>4154.1152328767121</v>
      </c>
      <c r="W24" s="478">
        <v>0.41205479452054788</v>
      </c>
      <c r="Y24" s="478">
        <v>0.45498630136986301</v>
      </c>
      <c r="Z24" s="478">
        <v>0</v>
      </c>
      <c r="AA24" s="478">
        <v>0</v>
      </c>
      <c r="AB24" s="478">
        <v>0</v>
      </c>
    </row>
    <row r="25" spans="3:28" x14ac:dyDescent="0.25">
      <c r="L25" s="473" t="e" vm="8">
        <f>'5. 2019 O&amp;G'!C32</f>
        <v>#VALUE!</v>
      </c>
      <c r="M25" s="474" t="str">
        <f>'5. 2019 O&amp;G'!D32</f>
        <v>ECP</v>
      </c>
      <c r="N25" s="474" t="str">
        <f>'5. 2019 O&amp;G'!E32</f>
        <v>Neiva</v>
      </c>
      <c r="O25" s="474" t="str">
        <f>'5. 2019 O&amp;G'!F32</f>
        <v>VSM</v>
      </c>
      <c r="P25" s="480" t="str">
        <f>'5. 2019 O&amp;G'!G32</f>
        <v>Tello</v>
      </c>
      <c r="Q25" s="473">
        <f>'5. 2019 O&amp;G'!H32</f>
        <v>21</v>
      </c>
      <c r="R25" s="476"/>
      <c r="S25" s="476" t="str">
        <f>'5. 2019 O&amp;G'!J32</f>
        <v>Medium Oil</v>
      </c>
      <c r="T25" s="477">
        <f>'5. 2019 O&amp;G'!K32</f>
        <v>1.1906575342465753</v>
      </c>
      <c r="U25" s="479">
        <f>'5. 2019 O&amp;G'!W32</f>
        <v>1.1906575342465753</v>
      </c>
      <c r="V25" s="478">
        <v>3941.1335068493149</v>
      </c>
      <c r="W25" s="478">
        <v>1.5506849315068495E-2</v>
      </c>
      <c r="Y25" s="478">
        <v>0</v>
      </c>
      <c r="Z25" s="478">
        <v>1.1751506849315068</v>
      </c>
      <c r="AA25" s="478">
        <v>0.52964383561643835</v>
      </c>
      <c r="AB25" s="478">
        <v>0</v>
      </c>
    </row>
    <row r="29" spans="3:28" x14ac:dyDescent="0.25">
      <c r="P29" s="486" t="s">
        <v>923</v>
      </c>
      <c r="Q29" s="486" t="s">
        <v>923</v>
      </c>
      <c r="S29" s="486" t="s">
        <v>923</v>
      </c>
      <c r="T29" s="486" t="s">
        <v>923</v>
      </c>
      <c r="U29" s="486" t="s">
        <v>931</v>
      </c>
      <c r="V29" s="20" t="s">
        <v>931</v>
      </c>
    </row>
    <row r="30" spans="3:28" ht="15.75" x14ac:dyDescent="0.25">
      <c r="I30" t="s">
        <v>976</v>
      </c>
      <c r="J30" t="s">
        <v>969</v>
      </c>
      <c r="K30" s="121" t="s">
        <v>962</v>
      </c>
      <c r="L30" s="520" t="s">
        <v>566</v>
      </c>
      <c r="N30" s="526" t="s">
        <v>935</v>
      </c>
      <c r="O30" s="520" t="str">
        <f>+O5</f>
        <v>Basin</v>
      </c>
      <c r="P30" s="521" t="s">
        <v>922</v>
      </c>
      <c r="Q30" s="521" t="s">
        <v>924</v>
      </c>
      <c r="S30" s="521" t="s">
        <v>576</v>
      </c>
      <c r="T30" s="521" t="s">
        <v>662</v>
      </c>
      <c r="U30" s="521" t="s">
        <v>932</v>
      </c>
      <c r="V30" s="521" t="s">
        <v>933</v>
      </c>
      <c r="W30" s="527" t="s">
        <v>937</v>
      </c>
      <c r="Y30" s="525" t="s">
        <v>912</v>
      </c>
      <c r="AB30" t="s">
        <v>934</v>
      </c>
    </row>
    <row r="31" spans="3:28" ht="15.75" x14ac:dyDescent="0.25">
      <c r="I31" s="523">
        <f>+(Y6+Y7)*365*$E$7/1000</f>
        <v>2.4500442407782339</v>
      </c>
      <c r="J31" s="523">
        <f>+(Z6+Z7)*365*$E$7/1000</f>
        <v>5.6186813035864827</v>
      </c>
      <c r="K31" s="523">
        <f>+(AA6+AA7)*365*$E$7/1000</f>
        <v>0</v>
      </c>
      <c r="L31" s="523">
        <f>+(W6+W7)*365*$E$7/1000</f>
        <v>9.2838893372876957E-2</v>
      </c>
      <c r="N31" s="507" t="s">
        <v>57</v>
      </c>
      <c r="O31" s="522" t="s">
        <v>926</v>
      </c>
      <c r="P31" s="523">
        <f>+(U6+U7)*365*$E$7/1000</f>
        <v>68.585731940983621</v>
      </c>
      <c r="Q31" s="523">
        <f>+SUM(V6:V7)*365*(1/1000)*$E$8/1000</f>
        <v>0</v>
      </c>
      <c r="S31" s="122">
        <f>+Q31+P31</f>
        <v>68.585731940983621</v>
      </c>
      <c r="T31" s="122">
        <f>+S31-L31</f>
        <v>68.49289304761075</v>
      </c>
      <c r="U31" s="553">
        <f>+T31/S31</f>
        <v>0.99864638182395205</v>
      </c>
      <c r="V31" s="552">
        <f t="shared" ref="V31:V36" si="0">+Q31/T31</f>
        <v>0</v>
      </c>
      <c r="W31" s="72">
        <f>'5. Potencial O&amp;G'!BE6</f>
        <v>-2.6851115732294639</v>
      </c>
      <c r="Y31" s="57">
        <f>+'5. Potencial O&amp;G'!AY5</f>
        <v>2037</v>
      </c>
      <c r="AB31" s="63">
        <f t="shared" ref="AB31:AB36" si="1">+Q31/S31</f>
        <v>0</v>
      </c>
    </row>
    <row r="32" spans="3:28" ht="15.75" x14ac:dyDescent="0.25">
      <c r="I32" s="523">
        <f>+SUM(Y9:Y12)*365*$E$7/1000</f>
        <v>29.713513857188524</v>
      </c>
      <c r="J32" s="523">
        <f>+SUM(Z9:Z12)*365*$E$7/1000</f>
        <v>69.637902700685089</v>
      </c>
      <c r="K32" s="523">
        <f>+SUM(AA9:AA12)*365*$E$7/1000</f>
        <v>14.229458377200496</v>
      </c>
      <c r="L32" s="523">
        <f>+SUM(W9:W12)*365*$E$7/1000</f>
        <v>1.8340325404926532</v>
      </c>
      <c r="N32" s="507" t="s">
        <v>58</v>
      </c>
      <c r="O32" s="524" t="s">
        <v>925</v>
      </c>
      <c r="P32" s="523">
        <f>+SUM(U9:U12)*365*$E$7/1000</f>
        <v>255.52309290723198</v>
      </c>
      <c r="Q32" s="523">
        <f>+SUM(V8:V12)*365*(1/1000)*$E$8/1000</f>
        <v>99.99628148036247</v>
      </c>
      <c r="S32" s="122">
        <f>+P32+Q32</f>
        <v>355.51937438759444</v>
      </c>
      <c r="T32" s="122">
        <f t="shared" ref="T32:T36" si="2">+S32-L32</f>
        <v>353.68534184710177</v>
      </c>
      <c r="U32" s="553">
        <f t="shared" ref="U32:U36" si="3">+T32/S32</f>
        <v>0.99484125852873162</v>
      </c>
      <c r="V32" s="552">
        <f t="shared" si="0"/>
        <v>0.28272667721579164</v>
      </c>
      <c r="W32" s="72">
        <f>'5. Potencial O&amp;G'!BE7</f>
        <v>-9.382008134021282</v>
      </c>
      <c r="Y32" s="57">
        <f>+'5. Potencial O&amp;G'!BD5</f>
        <v>2050</v>
      </c>
      <c r="AB32" s="63">
        <f t="shared" si="1"/>
        <v>0.28126816338100463</v>
      </c>
    </row>
    <row r="33" spans="3:28" ht="15.75" x14ac:dyDescent="0.25">
      <c r="I33" s="523">
        <f>+SUM(Y13:Y17)*365*$E$7/1000</f>
        <v>0.35808998998868485</v>
      </c>
      <c r="J33" s="523">
        <f>+SUM(Z13:Z17)*365*$E$7/1000</f>
        <v>0</v>
      </c>
      <c r="K33" s="523">
        <f>+SUM(AA13:AA17)*365*$E$7/1000</f>
        <v>0</v>
      </c>
      <c r="L33" s="523">
        <f>+SUM(W13:W17)*365*$E$7/1000</f>
        <v>1.3420752466626953</v>
      </c>
      <c r="N33" s="507" t="s">
        <v>59</v>
      </c>
      <c r="O33" s="19" t="s">
        <v>927</v>
      </c>
      <c r="P33" s="523">
        <f>+SUM(T13:T17)*365*$E$7/1000</f>
        <v>1.7001652366513802</v>
      </c>
      <c r="Q33" s="523">
        <f>+SUM(V13:V17)*365*(1/1000)*$E$8/1000</f>
        <v>719.17747734585976</v>
      </c>
      <c r="S33" s="122">
        <f>+Q33+P33</f>
        <v>720.87764258251116</v>
      </c>
      <c r="T33" s="122">
        <f t="shared" si="2"/>
        <v>719.53556733584844</v>
      </c>
      <c r="U33" s="553">
        <f t="shared" si="3"/>
        <v>0.99813827594672688</v>
      </c>
      <c r="V33" s="552">
        <f t="shared" si="0"/>
        <v>0.99950233177309833</v>
      </c>
      <c r="W33" s="72">
        <f>'5. Potencial O&amp;G'!BE8</f>
        <v>-19.949111557879402</v>
      </c>
      <c r="Y33" s="57">
        <f>+'5. Potencial O&amp;G'!BD5</f>
        <v>2050</v>
      </c>
      <c r="AB33" s="63">
        <f t="shared" si="1"/>
        <v>0.99764153424073376</v>
      </c>
    </row>
    <row r="34" spans="3:28" ht="15.75" x14ac:dyDescent="0.25">
      <c r="I34" s="523">
        <f>+(Y18)*365*$AA$7/1000</f>
        <v>0</v>
      </c>
      <c r="J34" s="523">
        <f>+(Z18)*365*$AA$7/1000</f>
        <v>0</v>
      </c>
      <c r="K34" s="523">
        <f>+(AA18)*365*$AA$7/1000</f>
        <v>0</v>
      </c>
      <c r="L34" s="523">
        <f>+(W18)*365*$E$7/1000</f>
        <v>1.2759391450439788</v>
      </c>
      <c r="N34" s="507" t="s">
        <v>60</v>
      </c>
      <c r="O34" s="19" t="s">
        <v>928</v>
      </c>
      <c r="P34" s="523">
        <f>+(U18)*365*$E$7/1000</f>
        <v>1.2759391450439788</v>
      </c>
      <c r="Q34" s="523">
        <f>+SUM(V18)*365*(1/1000)*$E$8/1000</f>
        <v>4.3593517548323124</v>
      </c>
      <c r="S34" s="122">
        <f>+Q34+P34</f>
        <v>5.6352908998762912</v>
      </c>
      <c r="T34" s="122">
        <f t="shared" si="2"/>
        <v>4.3593517548323124</v>
      </c>
      <c r="U34" s="553">
        <f t="shared" si="3"/>
        <v>0.7735806069794926</v>
      </c>
      <c r="V34" s="552">
        <f t="shared" si="0"/>
        <v>1</v>
      </c>
      <c r="W34" s="72">
        <f>'5. Potencial O&amp;G'!BE9</f>
        <v>-0.15021157762588969</v>
      </c>
      <c r="Y34" s="57">
        <v>2043</v>
      </c>
      <c r="AB34" s="63">
        <f t="shared" si="1"/>
        <v>0.7735806069794926</v>
      </c>
    </row>
    <row r="35" spans="3:28" ht="15.75" x14ac:dyDescent="0.25">
      <c r="I35" s="523">
        <f>+(Y19+Y21+Y22)*365*$E$7/1000</f>
        <v>1.7521170575840492</v>
      </c>
      <c r="J35" s="523">
        <f>+(Z19+Z21+Z22)*365*$E$7/1000</f>
        <v>1.3766222989813104</v>
      </c>
      <c r="K35" s="523">
        <f>+(AA19+AA21+AA22)*365*$E$7/1000</f>
        <v>0</v>
      </c>
      <c r="L35" s="523">
        <f>+(W19+W21+W22)*365*$E$7/1000</f>
        <v>0.76988843068895141</v>
      </c>
      <c r="N35" s="507" t="s">
        <v>61</v>
      </c>
      <c r="O35" s="19" t="s">
        <v>930</v>
      </c>
      <c r="P35" s="523">
        <f>+(U19++U21+U22)*365*$E$7/1000</f>
        <v>4.7988803578001527</v>
      </c>
      <c r="Q35" s="523">
        <f>+(SUM(V19:V22)-V20)*365*(1/1000)*$E$8/1000</f>
        <v>160.64590837999941</v>
      </c>
      <c r="S35" s="122">
        <f>+Q35+P35</f>
        <v>165.44478873779957</v>
      </c>
      <c r="T35" s="122">
        <f t="shared" si="2"/>
        <v>164.67490030711062</v>
      </c>
      <c r="U35" s="553">
        <f t="shared" si="3"/>
        <v>0.99534655375631631</v>
      </c>
      <c r="V35" s="552">
        <f t="shared" si="0"/>
        <v>0.9755336610521862</v>
      </c>
      <c r="W35" s="72">
        <f>'5. Potencial O&amp;G'!BE10</f>
        <v>-4.4565773241322679</v>
      </c>
      <c r="Y35" s="57">
        <v>2047</v>
      </c>
      <c r="AB35" s="63">
        <f t="shared" si="1"/>
        <v>0.97099406760157603</v>
      </c>
    </row>
    <row r="36" spans="3:28" ht="15.75" x14ac:dyDescent="0.25">
      <c r="I36" s="554">
        <f>+(Y23+Y24+Y25)*365*$E$7/1000</f>
        <v>0.20575788232194489</v>
      </c>
      <c r="J36" s="554">
        <f>+(Z23+Z24+Z25)*365*$E$7/1000</f>
        <v>1.0198649246869729</v>
      </c>
      <c r="K36" s="554">
        <f>+(AA23+AA24+AA25)*365*$E$7/1000</f>
        <v>0.40126875760023278</v>
      </c>
      <c r="L36" s="554">
        <f>+(W23+W24+W25)*365*$E$7/1000</f>
        <v>0.24158707246769742</v>
      </c>
      <c r="N36" s="507" t="s">
        <v>62</v>
      </c>
      <c r="O36" s="524" t="s">
        <v>929</v>
      </c>
      <c r="P36" s="523">
        <f>+(U23+U24+U25)*365*$E$7/1000</f>
        <v>1.4684920173037526</v>
      </c>
      <c r="Q36" s="523">
        <f>+SUM(V23:V25)*365*(1/1000)*$E$8/1000</f>
        <v>28.394686542809104</v>
      </c>
      <c r="S36" s="122">
        <f>+Q36+P36</f>
        <v>29.863178560112857</v>
      </c>
      <c r="T36" s="122">
        <f t="shared" si="2"/>
        <v>29.621591487645158</v>
      </c>
      <c r="U36" s="553">
        <f t="shared" si="3"/>
        <v>0.99191020232553617</v>
      </c>
      <c r="V36" s="552">
        <f t="shared" si="0"/>
        <v>0.95858072158790719</v>
      </c>
      <c r="W36" s="72">
        <f>'5. Potencial O&amp;G'!BE11</f>
        <v>-0.72707065395261417</v>
      </c>
      <c r="Y36" s="57">
        <f>+'5. Potencial O&amp;G'!BD5</f>
        <v>2050</v>
      </c>
      <c r="AB36" s="63">
        <f t="shared" si="1"/>
        <v>0.95082599749561947</v>
      </c>
    </row>
    <row r="37" spans="3:28" ht="15.75" x14ac:dyDescent="0.25">
      <c r="O37" s="524"/>
      <c r="P37" s="523"/>
      <c r="Q37" s="523"/>
    </row>
    <row r="38" spans="3:28" ht="15.75" x14ac:dyDescent="0.25">
      <c r="D38" t="s">
        <v>977</v>
      </c>
      <c r="I38" s="57">
        <f>+SUM(I31:I36)</f>
        <v>34.47952302786144</v>
      </c>
      <c r="J38" t="s">
        <v>9</v>
      </c>
      <c r="O38" s="524"/>
      <c r="P38" s="523"/>
      <c r="Q38" s="523"/>
    </row>
    <row r="39" spans="3:28" x14ac:dyDescent="0.25">
      <c r="C39" t="s">
        <v>978</v>
      </c>
      <c r="D39" s="75">
        <v>3031</v>
      </c>
      <c r="E39" t="s">
        <v>560</v>
      </c>
      <c r="I39">
        <f>+I38/0.0036</f>
        <v>9577.6452855170664</v>
      </c>
      <c r="J39" t="s">
        <v>253</v>
      </c>
    </row>
    <row r="40" spans="3:28" x14ac:dyDescent="0.25">
      <c r="C40" t="s">
        <v>979</v>
      </c>
      <c r="D40" s="75">
        <v>1646</v>
      </c>
      <c r="E40" t="s">
        <v>560</v>
      </c>
    </row>
    <row r="41" spans="3:28" x14ac:dyDescent="0.25">
      <c r="C41" t="s">
        <v>978</v>
      </c>
      <c r="D41" s="75">
        <f>++D39*0.0036</f>
        <v>10.9116</v>
      </c>
      <c r="E41" t="s">
        <v>9</v>
      </c>
      <c r="I41">
        <f>+I38*0.35</f>
        <v>12.067833059751504</v>
      </c>
      <c r="N41" s="316" t="s">
        <v>0</v>
      </c>
      <c r="O41" s="1"/>
      <c r="P41" s="1"/>
      <c r="Q41" s="19" t="s">
        <v>9</v>
      </c>
      <c r="R41" t="s">
        <v>19</v>
      </c>
    </row>
    <row r="42" spans="3:28" x14ac:dyDescent="0.25">
      <c r="C42" t="s">
        <v>979</v>
      </c>
      <c r="D42" s="75">
        <f>++D40*0.0036</f>
        <v>5.9256000000000002</v>
      </c>
      <c r="E42" t="s">
        <v>9</v>
      </c>
      <c r="I42">
        <f>+I39*0.35</f>
        <v>3352.1758499309731</v>
      </c>
      <c r="N42" s="317" t="s">
        <v>11</v>
      </c>
      <c r="O42" s="318" t="s">
        <v>13</v>
      </c>
      <c r="P42" s="318" t="s">
        <v>14</v>
      </c>
      <c r="Q42" s="318" t="s">
        <v>938</v>
      </c>
      <c r="R42" s="318" t="s">
        <v>939</v>
      </c>
      <c r="S42" s="318" t="s">
        <v>31</v>
      </c>
    </row>
    <row r="43" spans="3:28" x14ac:dyDescent="0.25">
      <c r="D43" s="75">
        <f>+D42+D41</f>
        <v>16.837199999999999</v>
      </c>
      <c r="E43" t="s">
        <v>9</v>
      </c>
      <c r="N43" t="str" cm="1">
        <f t="array" ref="N43:N48">+PROCESS!D24:D29</f>
        <v>MIN-CAM1</v>
      </c>
      <c r="O43" t="str" cm="1">
        <f t="array" ref="O43:O48">+COMM!D20:D25</f>
        <v>R-CAM1</v>
      </c>
      <c r="P43" t="s">
        <v>553</v>
      </c>
      <c r="Q43" s="436">
        <f>'5. Potencial O&amp;G'!AQ6*1000*E8/1000</f>
        <v>265.40079370777568</v>
      </c>
      <c r="R43" s="529">
        <v>1E-4</v>
      </c>
      <c r="S43" s="289">
        <v>1</v>
      </c>
    </row>
    <row r="44" spans="3:28" x14ac:dyDescent="0.25">
      <c r="N44" t="str">
        <v>MIN-CAM2</v>
      </c>
      <c r="O44" t="str">
        <v>R-CAM2</v>
      </c>
      <c r="P44" t="s">
        <v>553</v>
      </c>
      <c r="Q44" s="436">
        <f>'5. Potencial O&amp;G'!AQ7*1000*E9/1000</f>
        <v>2194.6697743899408</v>
      </c>
      <c r="R44" s="529">
        <v>1E-4</v>
      </c>
      <c r="S44" s="289">
        <v>1</v>
      </c>
    </row>
    <row r="45" spans="3:28" x14ac:dyDescent="0.25">
      <c r="C45" t="s">
        <v>980</v>
      </c>
      <c r="D45" s="57">
        <f>+SUM(S31:S36)</f>
        <v>1345.9260071088779</v>
      </c>
      <c r="E45" t="s">
        <v>9</v>
      </c>
      <c r="N45" t="str">
        <v>MIN-CAM3</v>
      </c>
      <c r="O45" t="str">
        <v>R-CAM3</v>
      </c>
      <c r="P45" t="s">
        <v>553</v>
      </c>
      <c r="Q45" s="436">
        <f>'5. Potencial O&amp;G'!AQ8*1000*E10/1000</f>
        <v>7918.439644193184</v>
      </c>
      <c r="R45" s="529">
        <v>1E-4</v>
      </c>
      <c r="S45" s="289">
        <v>1</v>
      </c>
    </row>
    <row r="46" spans="3:28" x14ac:dyDescent="0.25">
      <c r="D46">
        <f>+D43/D45</f>
        <v>1.2509751584462818E-2</v>
      </c>
      <c r="N46" t="str">
        <v>MIN-CAM4</v>
      </c>
      <c r="O46" t="str">
        <v>R-CAM4</v>
      </c>
      <c r="P46" t="s">
        <v>553</v>
      </c>
      <c r="Q46" s="436">
        <f>'5. Potencial O&amp;G'!AQ9*1000*E11/1000</f>
        <v>38.915560761631227</v>
      </c>
      <c r="R46" s="529">
        <v>1E-4</v>
      </c>
      <c r="S46" s="289">
        <v>1</v>
      </c>
    </row>
    <row r="47" spans="3:28" x14ac:dyDescent="0.25">
      <c r="N47" t="str">
        <v>MIN-CAM5</v>
      </c>
      <c r="O47" t="str">
        <v>R-CAM5</v>
      </c>
      <c r="P47" t="s">
        <v>553</v>
      </c>
      <c r="Q47" s="436">
        <f>'5. Potencial O&amp;G'!AQ10*1000*E12/1000</f>
        <v>1019.7889267382204</v>
      </c>
      <c r="R47" s="529">
        <v>1E-4</v>
      </c>
      <c r="S47" s="289">
        <v>1</v>
      </c>
    </row>
    <row r="48" spans="3:28" x14ac:dyDescent="0.25">
      <c r="N48" t="str">
        <v>MIN-CAM6</v>
      </c>
      <c r="O48" t="str">
        <v>R-CAM6</v>
      </c>
      <c r="P48" t="s">
        <v>553</v>
      </c>
      <c r="Q48" s="436">
        <f>'5. Potencial O&amp;G'!AQ11*1000*E13/1000</f>
        <v>244.3536781595391</v>
      </c>
      <c r="R48" s="529">
        <v>1E-4</v>
      </c>
      <c r="S48" s="289">
        <v>1</v>
      </c>
    </row>
    <row r="53" spans="8:23" x14ac:dyDescent="0.25">
      <c r="I53" t="s">
        <v>981</v>
      </c>
      <c r="N53" s="316" t="s">
        <v>0</v>
      </c>
      <c r="O53" s="1"/>
      <c r="S53" s="550" t="s">
        <v>0</v>
      </c>
      <c r="T53" s="19"/>
      <c r="U53" s="19"/>
    </row>
    <row r="54" spans="8:23" x14ac:dyDescent="0.25">
      <c r="H54" t="s">
        <v>982</v>
      </c>
      <c r="I54">
        <v>1.0581999999999999E-2</v>
      </c>
      <c r="J54" t="s">
        <v>983</v>
      </c>
      <c r="N54" s="317" t="s">
        <v>11</v>
      </c>
      <c r="O54" s="318" t="s">
        <v>13</v>
      </c>
      <c r="P54" s="318" t="s">
        <v>31</v>
      </c>
      <c r="S54" s="317" t="s">
        <v>11</v>
      </c>
      <c r="T54" s="327" t="s">
        <v>1</v>
      </c>
      <c r="U54" s="327" t="s">
        <v>626</v>
      </c>
      <c r="V54" s="327" t="s">
        <v>553</v>
      </c>
      <c r="W54" s="563"/>
    </row>
    <row r="55" spans="8:23" x14ac:dyDescent="0.25">
      <c r="I55" s="616">
        <f>+I54/(1+I54)</f>
        <v>1.0471193826923493E-2</v>
      </c>
      <c r="K55" t="s">
        <v>996</v>
      </c>
      <c r="L55" t="s">
        <v>990</v>
      </c>
      <c r="N55" t="str" cm="1">
        <f t="array" ref="N55:N60">+PROCESS!N24:N29</f>
        <v>PROF-CAM1</v>
      </c>
      <c r="O55" t="str" cm="1">
        <f t="array" ref="O55:O60">+_xlfn.ANCHORARRAY(COMM!D80)</f>
        <v>FLU-CAM1</v>
      </c>
      <c r="P55" s="442">
        <f>+T31/(S31+T31*P85)</f>
        <v>0.98831158795187002</v>
      </c>
      <c r="S55" s="19" t="str" cm="1">
        <f t="array" ref="S55:S60">+_xlfn.ANCHORARRAY(N55)</f>
        <v>PROF-CAM1</v>
      </c>
      <c r="T55" s="19" t="s">
        <v>627</v>
      </c>
      <c r="U55">
        <v>2019</v>
      </c>
      <c r="V55" s="367">
        <f>+T31</f>
        <v>68.49289304761075</v>
      </c>
    </row>
    <row r="56" spans="8:23" x14ac:dyDescent="0.25">
      <c r="K56" t="s">
        <v>997</v>
      </c>
      <c r="L56" t="s">
        <v>991</v>
      </c>
      <c r="N56" t="str">
        <v>PROF-CAM2</v>
      </c>
      <c r="O56" t="str">
        <v>FLU-CAM2</v>
      </c>
      <c r="P56" s="442">
        <f>+T32/(S32+T32*P87)</f>
        <v>0.98458466711395787</v>
      </c>
      <c r="S56" s="19" t="str">
        <v>PROF-CAM2</v>
      </c>
      <c r="T56" s="19" t="s">
        <v>627</v>
      </c>
      <c r="U56">
        <v>2019</v>
      </c>
      <c r="V56" s="367">
        <f>+T32</f>
        <v>353.68534184710177</v>
      </c>
      <c r="W56" s="19"/>
    </row>
    <row r="57" spans="8:23" x14ac:dyDescent="0.25">
      <c r="K57" t="s">
        <v>998</v>
      </c>
      <c r="L57" t="s">
        <v>992</v>
      </c>
      <c r="N57" t="str">
        <v>PROF-CAM3</v>
      </c>
      <c r="O57" t="str">
        <v>FLU-CAM3</v>
      </c>
      <c r="P57" s="442">
        <f>+T33/(S33+T33*P89)</f>
        <v>0.98781394161179525</v>
      </c>
      <c r="S57" s="19" t="str">
        <v>PROF-CAM3</v>
      </c>
      <c r="T57" s="19" t="s">
        <v>627</v>
      </c>
      <c r="U57">
        <v>2019</v>
      </c>
      <c r="V57" s="367">
        <f t="shared" ref="V57:V60" si="4">+T33</f>
        <v>719.53556733584844</v>
      </c>
      <c r="W57" s="19"/>
    </row>
    <row r="58" spans="8:23" x14ac:dyDescent="0.25">
      <c r="K58" t="s">
        <v>999</v>
      </c>
      <c r="L58" t="s">
        <v>993</v>
      </c>
      <c r="N58" t="str">
        <v>PROF-CAM4</v>
      </c>
      <c r="O58" t="str">
        <v>FLU-CAM4</v>
      </c>
      <c r="P58" s="442">
        <f>+T34/(S34+T34*P91)</f>
        <v>0.76736471302063824</v>
      </c>
      <c r="S58" s="19" t="str">
        <v>PROF-CAM4</v>
      </c>
      <c r="T58" s="19" t="s">
        <v>627</v>
      </c>
      <c r="U58">
        <v>2019</v>
      </c>
      <c r="V58" s="367">
        <f t="shared" si="4"/>
        <v>4.3593517548323124</v>
      </c>
      <c r="W58" s="19"/>
    </row>
    <row r="59" spans="8:23" x14ac:dyDescent="0.25">
      <c r="I59" s="122">
        <f>1/I55</f>
        <v>95.500094500094519</v>
      </c>
      <c r="K59" t="s">
        <v>1000</v>
      </c>
      <c r="L59" t="s">
        <v>994</v>
      </c>
      <c r="N59" t="str">
        <v>PROF-CAM5</v>
      </c>
      <c r="O59" t="str">
        <v>FLU-CAM5</v>
      </c>
      <c r="P59" s="442">
        <f>+T35/(S35+T35*P93)</f>
        <v>0.98507959449632709</v>
      </c>
      <c r="S59" s="19" t="str">
        <v>PROF-CAM5</v>
      </c>
      <c r="T59" s="19" t="s">
        <v>627</v>
      </c>
      <c r="U59">
        <v>2019</v>
      </c>
      <c r="V59" s="367">
        <f t="shared" si="4"/>
        <v>164.67490030711062</v>
      </c>
      <c r="W59" s="19"/>
    </row>
    <row r="60" spans="8:23" x14ac:dyDescent="0.25">
      <c r="K60" t="s">
        <v>1001</v>
      </c>
      <c r="L60" t="s">
        <v>995</v>
      </c>
      <c r="N60" t="str">
        <v>PROF-CAM6</v>
      </c>
      <c r="O60" t="str">
        <v>FLU-CAM6</v>
      </c>
      <c r="P60" s="442">
        <f>+T36/(S36+T36*P95)</f>
        <v>0.98171364922756943</v>
      </c>
      <c r="S60" s="19" t="str">
        <v>PROF-CAM6</v>
      </c>
      <c r="T60" s="19" t="s">
        <v>627</v>
      </c>
      <c r="U60">
        <v>2019</v>
      </c>
      <c r="V60" s="367">
        <f t="shared" si="4"/>
        <v>29.621591487645158</v>
      </c>
      <c r="W60" s="19"/>
    </row>
    <row r="61" spans="8:23" x14ac:dyDescent="0.25">
      <c r="Q61" s="547"/>
      <c r="R61" s="57"/>
    </row>
    <row r="62" spans="8:23" x14ac:dyDescent="0.25">
      <c r="Q62" s="547"/>
      <c r="R62" s="57"/>
    </row>
    <row r="63" spans="8:23" x14ac:dyDescent="0.25">
      <c r="J63">
        <f t="shared" ref="J63:J68" si="5">+V55*I55</f>
        <v>0.71720235886827277</v>
      </c>
      <c r="Q63" s="547"/>
      <c r="R63" s="57"/>
    </row>
    <row r="64" spans="8:23" x14ac:dyDescent="0.25">
      <c r="J64">
        <f t="shared" si="5"/>
        <v>0</v>
      </c>
      <c r="N64" s="550" t="s">
        <v>0</v>
      </c>
      <c r="O64" s="16"/>
      <c r="P64" s="16"/>
      <c r="Q64" s="551"/>
      <c r="R64" s="16"/>
    </row>
    <row r="65" spans="10:20" x14ac:dyDescent="0.25">
      <c r="J65">
        <f t="shared" si="5"/>
        <v>0</v>
      </c>
      <c r="N65" s="327" t="s">
        <v>11</v>
      </c>
      <c r="O65" s="327" t="s">
        <v>1</v>
      </c>
      <c r="P65" s="327" t="s">
        <v>626</v>
      </c>
      <c r="Q65" s="327" t="s">
        <v>553</v>
      </c>
      <c r="R65" s="393" t="s">
        <v>175</v>
      </c>
    </row>
    <row r="66" spans="10:20" x14ac:dyDescent="0.25">
      <c r="J66">
        <f t="shared" si="5"/>
        <v>0</v>
      </c>
      <c r="N66" t="str" cm="1">
        <f t="array" ref="N66:N71">+_xlfn.ANCHORARRAY(N55)</f>
        <v>PROF-CAM1</v>
      </c>
      <c r="O66" s="19" t="s">
        <v>627</v>
      </c>
      <c r="P66" s="57">
        <f t="shared" ref="P66:P71" si="6">+Y31</f>
        <v>2037</v>
      </c>
      <c r="Q66" s="122">
        <f t="shared" ref="Q66:Q71" si="7">+V55+(P66-2020)*W31</f>
        <v>22.845996302709864</v>
      </c>
    </row>
    <row r="67" spans="10:20" x14ac:dyDescent="0.25">
      <c r="J67">
        <f t="shared" si="5"/>
        <v>15726.468541122707</v>
      </c>
      <c r="N67" t="str">
        <v>PROF-CAM2</v>
      </c>
      <c r="O67" s="19" t="s">
        <v>627</v>
      </c>
      <c r="P67" s="57">
        <f t="shared" si="6"/>
        <v>2050</v>
      </c>
      <c r="Q67" s="122">
        <f t="shared" si="7"/>
        <v>72.225097826463298</v>
      </c>
    </row>
    <row r="68" spans="10:20" x14ac:dyDescent="0.25">
      <c r="J68">
        <f t="shared" si="5"/>
        <v>0</v>
      </c>
      <c r="N68" t="str">
        <v>PROF-CAM3</v>
      </c>
      <c r="O68" s="19" t="s">
        <v>627</v>
      </c>
      <c r="P68" s="57">
        <f t="shared" si="6"/>
        <v>2050</v>
      </c>
      <c r="Q68" s="122">
        <f t="shared" si="7"/>
        <v>121.0622205994664</v>
      </c>
    </row>
    <row r="69" spans="10:20" x14ac:dyDescent="0.25">
      <c r="J69">
        <f t="shared" ref="J69:J70" si="8">+Q61*I61</f>
        <v>0</v>
      </c>
      <c r="N69" t="str">
        <v>PROF-CAM4</v>
      </c>
      <c r="O69" s="19" t="s">
        <v>627</v>
      </c>
      <c r="P69" s="57">
        <f t="shared" si="6"/>
        <v>2043</v>
      </c>
      <c r="Q69" s="122">
        <f t="shared" si="7"/>
        <v>0.9044854694368496</v>
      </c>
    </row>
    <row r="70" spans="10:20" x14ac:dyDescent="0.25">
      <c r="J70">
        <f t="shared" si="8"/>
        <v>0</v>
      </c>
      <c r="N70" t="str">
        <v>PROF-CAM5</v>
      </c>
      <c r="O70" s="19" t="s">
        <v>627</v>
      </c>
      <c r="P70" s="57">
        <f t="shared" si="6"/>
        <v>2047</v>
      </c>
      <c r="Q70" s="122">
        <f t="shared" si="7"/>
        <v>44.347312555539389</v>
      </c>
      <c r="T70" s="485"/>
    </row>
    <row r="71" spans="10:20" x14ac:dyDescent="0.25">
      <c r="N71" t="str">
        <v>PROF-CAM6</v>
      </c>
      <c r="O71" s="19" t="s">
        <v>627</v>
      </c>
      <c r="P71" s="57">
        <f t="shared" si="6"/>
        <v>2050</v>
      </c>
      <c r="Q71" s="122">
        <f t="shared" si="7"/>
        <v>7.8094718690667335</v>
      </c>
      <c r="T71" s="485"/>
    </row>
    <row r="72" spans="10:20" x14ac:dyDescent="0.25">
      <c r="R72" s="57"/>
      <c r="T72" s="485"/>
    </row>
    <row r="73" spans="10:20" x14ac:dyDescent="0.25">
      <c r="R73" s="57"/>
      <c r="T73" s="485"/>
    </row>
    <row r="74" spans="10:20" x14ac:dyDescent="0.25">
      <c r="R74" s="57"/>
      <c r="T74" s="485"/>
    </row>
    <row r="75" spans="10:20" x14ac:dyDescent="0.25">
      <c r="N75" s="550" t="s">
        <v>0</v>
      </c>
      <c r="O75" s="16"/>
      <c r="P75" s="16"/>
      <c r="Q75" s="551"/>
      <c r="R75" s="16"/>
      <c r="T75" s="485"/>
    </row>
    <row r="76" spans="10:20" x14ac:dyDescent="0.25">
      <c r="N76" s="327" t="s">
        <v>11</v>
      </c>
      <c r="O76" s="327" t="s">
        <v>1</v>
      </c>
      <c r="P76" s="327" t="s">
        <v>626</v>
      </c>
      <c r="Q76" s="327" t="s">
        <v>553</v>
      </c>
      <c r="R76" s="393" t="s">
        <v>175</v>
      </c>
    </row>
    <row r="77" spans="10:20" x14ac:dyDescent="0.25">
      <c r="N77" s="19" t="str">
        <f>+N55</f>
        <v>PROF-CAM1</v>
      </c>
      <c r="O77" s="19" t="s">
        <v>627</v>
      </c>
      <c r="P77" s="436">
        <f>+Y31+3</f>
        <v>2040</v>
      </c>
      <c r="Q77" s="19"/>
      <c r="R77" s="19">
        <v>0</v>
      </c>
    </row>
    <row r="78" spans="10:20" x14ac:dyDescent="0.25">
      <c r="N78" s="19" t="str">
        <f>+N58</f>
        <v>PROF-CAM4</v>
      </c>
      <c r="O78" s="19" t="s">
        <v>627</v>
      </c>
      <c r="P78" s="436">
        <f>+Y34+3</f>
        <v>2046</v>
      </c>
      <c r="Q78" s="19"/>
      <c r="R78" s="19">
        <v>0</v>
      </c>
    </row>
    <row r="79" spans="10:20" x14ac:dyDescent="0.25">
      <c r="N79" s="19" t="str">
        <f>+N59</f>
        <v>PROF-CAM5</v>
      </c>
      <c r="O79" s="19" t="s">
        <v>627</v>
      </c>
      <c r="P79" s="436">
        <f>+Y35+3</f>
        <v>2050</v>
      </c>
      <c r="Q79" s="19"/>
      <c r="R79" s="19">
        <v>0</v>
      </c>
    </row>
    <row r="82" spans="14:16" x14ac:dyDescent="0.25">
      <c r="N82" s="316" t="s">
        <v>0</v>
      </c>
    </row>
    <row r="83" spans="14:16" x14ac:dyDescent="0.25">
      <c r="N83" s="317" t="s">
        <v>11</v>
      </c>
      <c r="O83" s="318" t="s">
        <v>12</v>
      </c>
      <c r="P83" s="318" t="s">
        <v>153</v>
      </c>
    </row>
    <row r="84" spans="14:16" x14ac:dyDescent="0.25">
      <c r="N84" t="s">
        <v>990</v>
      </c>
      <c r="O84" t="str">
        <f>+O43</f>
        <v>R-CAM1</v>
      </c>
      <c r="P84" s="265">
        <f>100%-P85</f>
        <v>0.98952880617307648</v>
      </c>
    </row>
    <row r="85" spans="14:16" x14ac:dyDescent="0.25">
      <c r="O85" t="str">
        <f>+COMM!D86</f>
        <v>ELC-CAM1</v>
      </c>
      <c r="P85" s="265">
        <f>+$I$55</f>
        <v>1.0471193826923493E-2</v>
      </c>
    </row>
    <row r="86" spans="14:16" x14ac:dyDescent="0.25">
      <c r="N86" t="s">
        <v>991</v>
      </c>
      <c r="O86" t="str">
        <f>+O44</f>
        <v>R-CAM2</v>
      </c>
      <c r="P86" s="265">
        <f>100%-P87</f>
        <v>0.98952880617307648</v>
      </c>
    </row>
    <row r="87" spans="14:16" x14ac:dyDescent="0.25">
      <c r="O87" t="str">
        <f>+COMM!D87</f>
        <v>ELC-CAM2</v>
      </c>
      <c r="P87" s="265">
        <f>+$I$55</f>
        <v>1.0471193826923493E-2</v>
      </c>
    </row>
    <row r="88" spans="14:16" x14ac:dyDescent="0.25">
      <c r="N88" t="s">
        <v>992</v>
      </c>
      <c r="O88" t="str">
        <f>+O45</f>
        <v>R-CAM3</v>
      </c>
      <c r="P88" s="265">
        <f>100%-P89</f>
        <v>0.98952880617307648</v>
      </c>
    </row>
    <row r="89" spans="14:16" x14ac:dyDescent="0.25">
      <c r="O89" t="str">
        <f>+COMM!D88</f>
        <v>ELC-CAM3</v>
      </c>
      <c r="P89" s="265">
        <f>+$I$55</f>
        <v>1.0471193826923493E-2</v>
      </c>
    </row>
    <row r="90" spans="14:16" x14ac:dyDescent="0.25">
      <c r="N90" t="s">
        <v>993</v>
      </c>
      <c r="O90" t="str">
        <f>+O46</f>
        <v>R-CAM4</v>
      </c>
      <c r="P90" s="265">
        <f>100%-P91</f>
        <v>0.98952880617307648</v>
      </c>
    </row>
    <row r="91" spans="14:16" x14ac:dyDescent="0.25">
      <c r="O91" t="str">
        <f>+COMM!D89</f>
        <v>ELC-CAM4</v>
      </c>
      <c r="P91" s="265">
        <f>+$I$55</f>
        <v>1.0471193826923493E-2</v>
      </c>
    </row>
    <row r="92" spans="14:16" x14ac:dyDescent="0.25">
      <c r="N92" t="s">
        <v>994</v>
      </c>
      <c r="O92" t="str">
        <f>+O47</f>
        <v>R-CAM5</v>
      </c>
      <c r="P92" s="265">
        <f>100%-P93</f>
        <v>0.98952880617307648</v>
      </c>
    </row>
    <row r="93" spans="14:16" x14ac:dyDescent="0.25">
      <c r="O93" t="str">
        <f>+COMM!D90</f>
        <v>ELC-CAM5</v>
      </c>
      <c r="P93" s="265">
        <f>+$I$55</f>
        <v>1.0471193826923493E-2</v>
      </c>
    </row>
    <row r="94" spans="14:16" x14ac:dyDescent="0.25">
      <c r="N94" t="s">
        <v>995</v>
      </c>
      <c r="O94" t="str">
        <f>+O48</f>
        <v>R-CAM6</v>
      </c>
      <c r="P94" s="265">
        <f>100%-P95</f>
        <v>0.98952880617307648</v>
      </c>
    </row>
    <row r="95" spans="14:16" x14ac:dyDescent="0.25">
      <c r="O95" t="str">
        <f>+COMM!D91</f>
        <v>ELC-CAM6</v>
      </c>
      <c r="P95" s="265">
        <f>+$I$55</f>
        <v>1.0471193826923493E-2</v>
      </c>
    </row>
    <row r="98" spans="14:24" x14ac:dyDescent="0.25">
      <c r="R98" s="1"/>
      <c r="S98" s="1"/>
      <c r="T98" s="1"/>
      <c r="U98" s="1"/>
      <c r="V98" s="1"/>
      <c r="W98" s="1"/>
      <c r="X98" s="1"/>
    </row>
    <row r="99" spans="14:24" x14ac:dyDescent="0.25">
      <c r="N99" s="316" t="s">
        <v>0</v>
      </c>
      <c r="O99" s="1"/>
      <c r="P99" s="1"/>
      <c r="R99" s="338" t="s">
        <v>777</v>
      </c>
      <c r="S99" s="2"/>
      <c r="T99" s="2"/>
      <c r="U99" s="1"/>
      <c r="V99" s="1"/>
      <c r="W99" s="1"/>
      <c r="X99" s="1"/>
    </row>
    <row r="100" spans="14:24" x14ac:dyDescent="0.25">
      <c r="N100" s="317" t="s">
        <v>11</v>
      </c>
      <c r="O100" s="318" t="s">
        <v>12</v>
      </c>
      <c r="P100" s="318" t="s">
        <v>13</v>
      </c>
      <c r="R100" s="461" t="s">
        <v>11</v>
      </c>
      <c r="S100" s="461" t="s">
        <v>13</v>
      </c>
      <c r="T100" s="461" t="s">
        <v>778</v>
      </c>
      <c r="U100" s="417"/>
      <c r="V100" s="417"/>
      <c r="W100" s="417"/>
      <c r="X100" s="1"/>
    </row>
    <row r="101" spans="14:24" x14ac:dyDescent="0.25">
      <c r="N101" s="320" t="str">
        <f>+PROCESS!N91</f>
        <v>COMPRA-ELC-CAM2</v>
      </c>
      <c r="O101" s="22" t="str">
        <f>+'1. EXP_IMP'!$J$51</f>
        <v>ELC-SIN</v>
      </c>
      <c r="P101" s="431" t="str">
        <f>+O87</f>
        <v>ELC-CAM2</v>
      </c>
      <c r="R101" s="558" t="str">
        <f>+N101</f>
        <v>COMPRA-ELC-CAM2</v>
      </c>
      <c r="S101" s="460" t="str">
        <f>+O113</f>
        <v>CO2e-CAM2</v>
      </c>
      <c r="T101" s="462">
        <f>+'4.2 Ref_Barranca'!$P$170</f>
        <v>46.111111111111114</v>
      </c>
      <c r="U101" s="560"/>
      <c r="V101" s="560"/>
      <c r="W101" s="560"/>
      <c r="X101" s="1"/>
    </row>
    <row r="102" spans="14:24" x14ac:dyDescent="0.25">
      <c r="N102" s="320" t="str">
        <f>+PROCESS!N92</f>
        <v>COMPRA-ELC-CAM3</v>
      </c>
      <c r="O102" s="22" t="str">
        <f>+'1. EXP_IMP'!$J$51</f>
        <v>ELC-SIN</v>
      </c>
      <c r="P102" s="431" t="str">
        <f>+O89</f>
        <v>ELC-CAM3</v>
      </c>
      <c r="R102" s="558" t="str">
        <f>+N102</f>
        <v>COMPRA-ELC-CAM3</v>
      </c>
      <c r="S102" s="460" t="str">
        <f>+O114</f>
        <v>CO2e-CAM3</v>
      </c>
      <c r="T102" s="462">
        <f>+'4.2 Ref_Barranca'!$P$170</f>
        <v>46.111111111111114</v>
      </c>
      <c r="U102" s="417"/>
      <c r="V102" s="417"/>
      <c r="W102" s="417"/>
      <c r="X102" s="1"/>
    </row>
    <row r="103" spans="14:24" x14ac:dyDescent="0.25">
      <c r="N103" s="320" t="str">
        <f>+PROCESS!N93</f>
        <v>COMPRA-ELC-CAM4</v>
      </c>
      <c r="O103" s="22" t="str">
        <f>+'1. EXP_IMP'!$J$51</f>
        <v>ELC-SIN</v>
      </c>
      <c r="P103" s="431" t="str">
        <f>+O91</f>
        <v>ELC-CAM4</v>
      </c>
      <c r="R103" s="558" t="str">
        <f>+N103</f>
        <v>COMPRA-ELC-CAM4</v>
      </c>
      <c r="S103" s="460" t="str">
        <f>+O115</f>
        <v>CO2e-CAM4</v>
      </c>
      <c r="T103" s="462">
        <f>+'4.2 Ref_Barranca'!$P$170</f>
        <v>46.111111111111114</v>
      </c>
      <c r="U103" s="417"/>
      <c r="V103" s="417"/>
      <c r="W103" s="417"/>
      <c r="X103" s="1"/>
    </row>
    <row r="104" spans="14:24" x14ac:dyDescent="0.25">
      <c r="N104" s="320" t="str">
        <f>+PROCESS!N94</f>
        <v>COMPRA-ELC-CAM5</v>
      </c>
      <c r="O104" s="22" t="str">
        <f>+'1. EXP_IMP'!$J$51</f>
        <v>ELC-SIN</v>
      </c>
      <c r="P104" s="431" t="str">
        <f>+O93</f>
        <v>ELC-CAM5</v>
      </c>
      <c r="R104" s="558" t="str">
        <f>+N104</f>
        <v>COMPRA-ELC-CAM5</v>
      </c>
      <c r="S104" s="460" t="str">
        <f>+O116</f>
        <v>CO2e-CAM5</v>
      </c>
      <c r="T104" s="462">
        <f>+'4.2 Ref_Barranca'!$P$170</f>
        <v>46.111111111111114</v>
      </c>
      <c r="U104" s="417"/>
      <c r="V104" s="417"/>
      <c r="W104" s="417"/>
      <c r="X104" s="1"/>
    </row>
    <row r="105" spans="14:24" x14ac:dyDescent="0.25">
      <c r="N105" s="320" t="str">
        <f>+PROCESS!N95</f>
        <v>COMPRA-ELC-CAM6</v>
      </c>
      <c r="O105" s="22" t="str">
        <f>+'1. EXP_IMP'!$J$51</f>
        <v>ELC-SIN</v>
      </c>
      <c r="P105" s="431" t="str">
        <f>+O95</f>
        <v>ELC-CAM6</v>
      </c>
      <c r="R105" s="558" t="str">
        <f>+N105</f>
        <v>COMPRA-ELC-CAM6</v>
      </c>
      <c r="S105" s="460" t="str">
        <f>+O117</f>
        <v>CO2e-CAM6</v>
      </c>
      <c r="T105" s="462">
        <f>+'4.2 Ref_Barranca'!$P$170</f>
        <v>46.111111111111114</v>
      </c>
      <c r="U105" s="417"/>
      <c r="V105" s="417"/>
      <c r="W105" s="417"/>
      <c r="X105" s="1"/>
    </row>
    <row r="106" spans="14:24" x14ac:dyDescent="0.25">
      <c r="U106" s="417"/>
      <c r="V106" s="417"/>
      <c r="W106" s="417"/>
      <c r="X106" s="1"/>
    </row>
    <row r="110" spans="14:24" x14ac:dyDescent="0.25">
      <c r="N110" s="338" t="s">
        <v>777</v>
      </c>
      <c r="P110" t="s">
        <v>282</v>
      </c>
    </row>
    <row r="111" spans="14:24" x14ac:dyDescent="0.25">
      <c r="N111" s="327" t="s">
        <v>11</v>
      </c>
      <c r="O111" s="327" t="s">
        <v>13</v>
      </c>
      <c r="P111" s="327" t="s">
        <v>778</v>
      </c>
    </row>
    <row r="112" spans="14:24" x14ac:dyDescent="0.25">
      <c r="N112" s="459" t="str" cm="1">
        <f t="array" ref="N112:N117">+_xlfn.ANCHORARRAY(N55)</f>
        <v>PROF-CAM1</v>
      </c>
      <c r="O112" s="548" t="str" cm="1">
        <f t="array" ref="O112:O117">+COMM!AK20:AK25</f>
        <v>CO2e-CAM1</v>
      </c>
      <c r="P112" s="549">
        <f t="shared" ref="P112:P117" si="9">+F7*(100%-U31)</f>
        <v>7.5178755487394514E-2</v>
      </c>
    </row>
    <row r="113" spans="14:16" x14ac:dyDescent="0.25">
      <c r="N113" s="19" t="str">
        <v>PROF-CAM2</v>
      </c>
      <c r="O113" s="19" t="str">
        <v>CO2e-CAM2</v>
      </c>
      <c r="P113" s="122">
        <f t="shared" si="9"/>
        <v>0.40156560676132841</v>
      </c>
    </row>
    <row r="114" spans="14:16" x14ac:dyDescent="0.25">
      <c r="N114" s="19" t="str">
        <v>PROF-CAM3</v>
      </c>
      <c r="O114" s="19" t="str">
        <v>CO2e-CAM3</v>
      </c>
      <c r="P114" s="122">
        <f t="shared" si="9"/>
        <v>0.14491990987308878</v>
      </c>
    </row>
    <row r="115" spans="14:16" x14ac:dyDescent="0.25">
      <c r="N115" s="19" t="str">
        <v>PROF-CAM4</v>
      </c>
      <c r="O115" s="19" t="str">
        <v>CO2e-CAM4</v>
      </c>
      <c r="P115" s="122">
        <f t="shared" si="9"/>
        <v>17.624888055973212</v>
      </c>
    </row>
    <row r="116" spans="14:16" x14ac:dyDescent="0.25">
      <c r="N116" s="19" t="str">
        <v>PROF-CAM5</v>
      </c>
      <c r="O116" s="19" t="str">
        <v>CO2e-CAM5</v>
      </c>
      <c r="P116" s="122">
        <f t="shared" si="9"/>
        <v>0.32198975499228449</v>
      </c>
    </row>
    <row r="117" spans="14:16" x14ac:dyDescent="0.25">
      <c r="N117" s="19" t="str">
        <v>PROF-CAM6</v>
      </c>
      <c r="O117" s="19" t="str">
        <v>CO2e-CAM6</v>
      </c>
      <c r="P117" s="122">
        <f t="shared" si="9"/>
        <v>0.60808077140581573</v>
      </c>
    </row>
    <row r="124" spans="14:16" x14ac:dyDescent="0.25">
      <c r="N124" s="316" t="s">
        <v>0</v>
      </c>
      <c r="O124" s="1"/>
    </row>
    <row r="125" spans="14:16" x14ac:dyDescent="0.25">
      <c r="N125" s="317" t="s">
        <v>11</v>
      </c>
      <c r="O125" s="318" t="s">
        <v>12</v>
      </c>
      <c r="P125" s="318" t="s">
        <v>31</v>
      </c>
    </row>
    <row r="126" spans="14:16" x14ac:dyDescent="0.25">
      <c r="N126" t="str" cm="1">
        <f t="array" ref="N126:N131">+_xlfn.ANCHORARRAY(PROCESS!N74)</f>
        <v>SEP-CAM1</v>
      </c>
      <c r="O126" t="str" cm="1">
        <f t="array" ref="O126:O131">+_xlfn.ANCHORARRAY(O55)</f>
        <v>FLU-CAM1</v>
      </c>
      <c r="P126" s="289">
        <v>1</v>
      </c>
    </row>
    <row r="127" spans="14:16" x14ac:dyDescent="0.25">
      <c r="N127" t="str">
        <v>SEP-CAM2</v>
      </c>
      <c r="O127" t="str">
        <v>FLU-CAM2</v>
      </c>
      <c r="P127" s="289">
        <v>1</v>
      </c>
    </row>
    <row r="128" spans="14:16" x14ac:dyDescent="0.25">
      <c r="N128" t="str">
        <v>SEP-CAM3</v>
      </c>
      <c r="O128" t="str">
        <v>FLU-CAM3</v>
      </c>
      <c r="P128" s="289">
        <v>1</v>
      </c>
    </row>
    <row r="129" spans="12:16" x14ac:dyDescent="0.25">
      <c r="N129" t="str">
        <v>SEP-CAM4</v>
      </c>
      <c r="O129" t="str">
        <v>FLU-CAM4</v>
      </c>
      <c r="P129" s="289">
        <v>1</v>
      </c>
    </row>
    <row r="130" spans="12:16" x14ac:dyDescent="0.25">
      <c r="N130" t="str">
        <v>SEP-CAM5</v>
      </c>
      <c r="O130" t="str">
        <v>FLU-CAM5</v>
      </c>
      <c r="P130" s="289">
        <v>1</v>
      </c>
    </row>
    <row r="131" spans="12:16" x14ac:dyDescent="0.25">
      <c r="N131" t="str">
        <v>SEP-CAM6</v>
      </c>
      <c r="O131" t="str">
        <v>FLU-CAM6</v>
      </c>
      <c r="P131" s="289">
        <v>1</v>
      </c>
    </row>
    <row r="135" spans="12:16" x14ac:dyDescent="0.25">
      <c r="N135" s="316" t="s">
        <v>0</v>
      </c>
      <c r="O135" s="1"/>
    </row>
    <row r="136" spans="12:16" x14ac:dyDescent="0.25">
      <c r="N136" s="317" t="s">
        <v>11</v>
      </c>
      <c r="O136" s="318" t="s">
        <v>13</v>
      </c>
      <c r="P136" s="327" t="s">
        <v>952</v>
      </c>
    </row>
    <row r="137" spans="12:16" x14ac:dyDescent="0.25">
      <c r="L137" t="s">
        <v>51</v>
      </c>
      <c r="N137" t="str">
        <f>+N126</f>
        <v>SEP-CAM1</v>
      </c>
      <c r="O137" t="str">
        <f>+COMM!D30</f>
        <v>GAS-CAM1</v>
      </c>
      <c r="P137" s="555">
        <f>100%-V31</f>
        <v>1</v>
      </c>
    </row>
    <row r="138" spans="12:16" x14ac:dyDescent="0.25">
      <c r="L138" t="s">
        <v>51</v>
      </c>
      <c r="N138" t="str">
        <f>+N127</f>
        <v>SEP-CAM2</v>
      </c>
      <c r="O138" t="str">
        <f>+COMM!D31</f>
        <v>GAS-CAM2</v>
      </c>
      <c r="P138" s="555">
        <f>100%-P139</f>
        <v>0.7172733227842083</v>
      </c>
    </row>
    <row r="139" spans="12:16" x14ac:dyDescent="0.25">
      <c r="L139" t="s">
        <v>52</v>
      </c>
      <c r="O139" t="str">
        <f>+COMM!D41</f>
        <v>LOIL-CAM2</v>
      </c>
      <c r="P139" s="555">
        <f>+V32</f>
        <v>0.28272667721579164</v>
      </c>
    </row>
    <row r="140" spans="12:16" x14ac:dyDescent="0.25">
      <c r="L140" t="s">
        <v>51</v>
      </c>
      <c r="N140" t="str">
        <f>+N128</f>
        <v>SEP-CAM3</v>
      </c>
      <c r="O140" t="str">
        <f>+COMM!D32</f>
        <v>GAS-CAM3</v>
      </c>
      <c r="P140" s="555">
        <f>100%-P141</f>
        <v>4.9766822690167078E-4</v>
      </c>
    </row>
    <row r="141" spans="12:16" x14ac:dyDescent="0.25">
      <c r="L141" t="s">
        <v>53</v>
      </c>
      <c r="O141" t="str">
        <f>+COMM!D62</f>
        <v>HOIL-CAM3</v>
      </c>
      <c r="P141" s="555">
        <f>+V33</f>
        <v>0.99950233177309833</v>
      </c>
    </row>
    <row r="142" spans="12:16" x14ac:dyDescent="0.25">
      <c r="L142" t="s">
        <v>52</v>
      </c>
      <c r="N142" t="str">
        <f>+N129</f>
        <v>SEP-CAM4</v>
      </c>
      <c r="O142" t="str">
        <f>+COMM!D43</f>
        <v>LOIL-CAM4</v>
      </c>
      <c r="P142" s="555">
        <f>+V34</f>
        <v>1</v>
      </c>
    </row>
    <row r="143" spans="12:16" x14ac:dyDescent="0.25">
      <c r="L143" t="s">
        <v>51</v>
      </c>
      <c r="N143" t="str">
        <f>+N130</f>
        <v>SEP-CAM5</v>
      </c>
      <c r="O143" t="str">
        <f>+COMM!D34</f>
        <v>GAS-CAM5</v>
      </c>
      <c r="P143" s="555">
        <f>100%-P144</f>
        <v>4.6534462436836899E-3</v>
      </c>
    </row>
    <row r="144" spans="12:16" x14ac:dyDescent="0.25">
      <c r="L144" t="s">
        <v>67</v>
      </c>
      <c r="O144" t="str">
        <f>+COMM!D54</f>
        <v>MOIL-CAM5</v>
      </c>
      <c r="P144" s="555">
        <f>+U35</f>
        <v>0.99534655375631631</v>
      </c>
    </row>
    <row r="145" spans="12:16" x14ac:dyDescent="0.25">
      <c r="L145" t="s">
        <v>51</v>
      </c>
      <c r="N145" t="str">
        <f>+N131</f>
        <v>SEP-CAM6</v>
      </c>
      <c r="O145" t="str">
        <f>+COMM!D35</f>
        <v>GAS-CAM6</v>
      </c>
      <c r="P145" s="555">
        <f>100%-P146</f>
        <v>4.1419278412092808E-2</v>
      </c>
    </row>
    <row r="146" spans="12:16" x14ac:dyDescent="0.25">
      <c r="L146" t="s">
        <v>67</v>
      </c>
      <c r="O146" t="str">
        <f>+COMM!D55</f>
        <v>MOIL-CAM6</v>
      </c>
      <c r="P146" s="555">
        <f>+V36</f>
        <v>0.95858072158790719</v>
      </c>
    </row>
    <row r="151" spans="12:16" x14ac:dyDescent="0.25">
      <c r="N151" s="316" t="s">
        <v>0</v>
      </c>
      <c r="O151" s="1"/>
    </row>
    <row r="152" spans="12:16" x14ac:dyDescent="0.25">
      <c r="N152" s="317" t="s">
        <v>11</v>
      </c>
      <c r="O152" s="318" t="s">
        <v>627</v>
      </c>
      <c r="P152" s="327" t="s">
        <v>31</v>
      </c>
    </row>
    <row r="153" spans="12:16" x14ac:dyDescent="0.25">
      <c r="N153" t="str" cm="1">
        <f t="array" ref="N153:N158">+_xlfn.ANCHORARRAY(PROCESS!N84)</f>
        <v>PLT-CAM1</v>
      </c>
      <c r="O153" s="57">
        <f>+K31</f>
        <v>0</v>
      </c>
      <c r="P153" s="289">
        <v>1</v>
      </c>
    </row>
    <row r="154" spans="12:16" x14ac:dyDescent="0.25">
      <c r="N154" t="str">
        <v>PLT-CAM2</v>
      </c>
      <c r="O154" s="57">
        <f>+J32</f>
        <v>69.637902700685089</v>
      </c>
      <c r="P154" s="289">
        <v>1</v>
      </c>
    </row>
    <row r="155" spans="12:16" x14ac:dyDescent="0.25">
      <c r="N155" t="str">
        <v>PLT-CAM3</v>
      </c>
      <c r="O155" s="57">
        <f>+J33</f>
        <v>0</v>
      </c>
      <c r="P155" s="289">
        <v>1</v>
      </c>
    </row>
    <row r="156" spans="12:16" x14ac:dyDescent="0.25">
      <c r="N156" t="str">
        <v>PLT-CAM4</v>
      </c>
      <c r="O156" s="57">
        <f>+J34</f>
        <v>0</v>
      </c>
      <c r="P156" s="289">
        <v>1</v>
      </c>
    </row>
    <row r="157" spans="12:16" x14ac:dyDescent="0.25">
      <c r="N157" t="str">
        <v>PLT-CAM5</v>
      </c>
      <c r="O157" s="57">
        <f>+K35</f>
        <v>0</v>
      </c>
      <c r="P157" s="289">
        <v>1</v>
      </c>
    </row>
    <row r="158" spans="12:16" x14ac:dyDescent="0.25">
      <c r="N158" t="str">
        <v>PLT-CAM6</v>
      </c>
      <c r="O158" s="122">
        <f>+J36</f>
        <v>1.0198649246869729</v>
      </c>
      <c r="P158" s="289">
        <v>1</v>
      </c>
    </row>
    <row r="160" spans="12:16" x14ac:dyDescent="0.25">
      <c r="N160" s="316" t="s">
        <v>0</v>
      </c>
      <c r="O160" s="1"/>
    </row>
    <row r="161" spans="14:16" x14ac:dyDescent="0.25">
      <c r="N161" s="317" t="s">
        <v>11</v>
      </c>
      <c r="O161" s="318" t="s">
        <v>12</v>
      </c>
    </row>
    <row r="162" spans="14:16" x14ac:dyDescent="0.25">
      <c r="N162" t="str" cm="1">
        <f t="array" ref="N162:N167">+_xlfn.ANCHORARRAY(N153)</f>
        <v>PLT-CAM1</v>
      </c>
      <c r="O162" t="str">
        <f>+O137</f>
        <v>GAS-CAM1</v>
      </c>
    </row>
    <row r="163" spans="14:16" x14ac:dyDescent="0.25">
      <c r="N163" t="str">
        <v>PLT-CAM2</v>
      </c>
      <c r="O163" t="str">
        <f>+O138</f>
        <v>GAS-CAM2</v>
      </c>
    </row>
    <row r="164" spans="14:16" x14ac:dyDescent="0.25">
      <c r="N164" t="str">
        <v>PLT-CAM3</v>
      </c>
      <c r="O164" t="str">
        <f>+O140</f>
        <v>GAS-CAM3</v>
      </c>
    </row>
    <row r="165" spans="14:16" x14ac:dyDescent="0.25">
      <c r="N165" t="str">
        <v>PLT-CAM4</v>
      </c>
      <c r="O165" t="s">
        <v>970</v>
      </c>
    </row>
    <row r="166" spans="14:16" x14ac:dyDescent="0.25">
      <c r="N166" t="str">
        <v>PLT-CAM5</v>
      </c>
      <c r="O166" t="str">
        <f>+O143</f>
        <v>GAS-CAM5</v>
      </c>
    </row>
    <row r="167" spans="14:16" x14ac:dyDescent="0.25">
      <c r="N167" t="str">
        <v>PLT-CAM6</v>
      </c>
      <c r="O167" t="str">
        <f>+O145</f>
        <v>GAS-CAM6</v>
      </c>
    </row>
    <row r="170" spans="14:16" x14ac:dyDescent="0.25">
      <c r="N170" s="316" t="s">
        <v>0</v>
      </c>
      <c r="O170" s="1"/>
    </row>
    <row r="171" spans="14:16" x14ac:dyDescent="0.25">
      <c r="N171" s="317" t="s">
        <v>11</v>
      </c>
      <c r="O171" s="318" t="s">
        <v>13</v>
      </c>
      <c r="P171" s="327" t="s">
        <v>952</v>
      </c>
    </row>
    <row r="172" spans="14:16" x14ac:dyDescent="0.25">
      <c r="N172" t="str">
        <f>+N162</f>
        <v>PLT-CAM1</v>
      </c>
      <c r="O172" t="s">
        <v>49</v>
      </c>
      <c r="P172" s="63">
        <f>+K31/J31</f>
        <v>0</v>
      </c>
    </row>
    <row r="173" spans="14:16" x14ac:dyDescent="0.25">
      <c r="O173" t="str">
        <f>+COMM!D70</f>
        <v>GAS-plt-CAM1</v>
      </c>
      <c r="P173" s="63">
        <f>100%-P172</f>
        <v>1</v>
      </c>
    </row>
    <row r="174" spans="14:16" x14ac:dyDescent="0.25">
      <c r="N174" t="s">
        <v>971</v>
      </c>
      <c r="O174" t="s">
        <v>49</v>
      </c>
      <c r="P174" s="63">
        <f>+K32/J32</f>
        <v>0.20433496451438232</v>
      </c>
    </row>
    <row r="175" spans="14:16" x14ac:dyDescent="0.25">
      <c r="O175" t="str">
        <f>+COMM!D71</f>
        <v>GAS-plt-CAM2</v>
      </c>
      <c r="P175" s="63">
        <f>100%-P174</f>
        <v>0.79566503548561762</v>
      </c>
    </row>
    <row r="176" spans="14:16" x14ac:dyDescent="0.25">
      <c r="N176" t="s">
        <v>972</v>
      </c>
      <c r="O176" t="s">
        <v>49</v>
      </c>
      <c r="P176" s="63">
        <v>0</v>
      </c>
    </row>
    <row r="177" spans="14:19" x14ac:dyDescent="0.25">
      <c r="O177" t="str">
        <f>+COMM!D72</f>
        <v>GAS-plt-CAM3</v>
      </c>
      <c r="P177" s="63">
        <f>100%-P176</f>
        <v>1</v>
      </c>
    </row>
    <row r="178" spans="14:19" x14ac:dyDescent="0.25">
      <c r="N178" t="s">
        <v>973</v>
      </c>
      <c r="O178" t="s">
        <v>49</v>
      </c>
      <c r="P178" s="63">
        <v>0</v>
      </c>
    </row>
    <row r="179" spans="14:19" x14ac:dyDescent="0.25">
      <c r="O179" t="str">
        <f>+COMM!D73</f>
        <v>GAS-plt-CAM4</v>
      </c>
      <c r="P179" s="63">
        <f>100%-P178</f>
        <v>1</v>
      </c>
    </row>
    <row r="180" spans="14:19" x14ac:dyDescent="0.25">
      <c r="N180" t="s">
        <v>974</v>
      </c>
      <c r="O180" t="s">
        <v>49</v>
      </c>
      <c r="P180" s="63">
        <f>+K35/J35</f>
        <v>0</v>
      </c>
    </row>
    <row r="181" spans="14:19" x14ac:dyDescent="0.25">
      <c r="O181" t="str">
        <f>+COMM!D74</f>
        <v>GAS-plt-CAM5</v>
      </c>
      <c r="P181" s="63">
        <f>100%-P180</f>
        <v>1</v>
      </c>
    </row>
    <row r="182" spans="14:19" x14ac:dyDescent="0.25">
      <c r="N182" t="s">
        <v>975</v>
      </c>
      <c r="O182" t="s">
        <v>49</v>
      </c>
      <c r="P182" s="63">
        <f>+K36/J36</f>
        <v>0.39345284643786943</v>
      </c>
    </row>
    <row r="183" spans="14:19" x14ac:dyDescent="0.25">
      <c r="O183" t="str">
        <f>+COMM!D75</f>
        <v>GAS-plt-CAM6</v>
      </c>
      <c r="P183" s="63">
        <f>100%-P182</f>
        <v>0.60654715356213051</v>
      </c>
    </row>
    <row r="192" spans="14:19" x14ac:dyDescent="0.25">
      <c r="N192" s="316" t="s">
        <v>0</v>
      </c>
      <c r="O192" s="1"/>
      <c r="S192" s="316" t="s">
        <v>0</v>
      </c>
    </row>
    <row r="193" spans="14:20" x14ac:dyDescent="0.25">
      <c r="N193" s="317" t="s">
        <v>11</v>
      </c>
      <c r="O193" s="318" t="s">
        <v>12</v>
      </c>
      <c r="P193" s="318" t="s">
        <v>13</v>
      </c>
      <c r="Q193" s="318"/>
      <c r="S193" s="317" t="s">
        <v>11</v>
      </c>
      <c r="T193" s="556" t="s">
        <v>31</v>
      </c>
    </row>
    <row r="194" spans="14:20" x14ac:dyDescent="0.25">
      <c r="N194" t="s">
        <v>953</v>
      </c>
      <c r="O194" t="str" cm="1">
        <f t="array" ref="O194:O199">+COMM!D30:D35</f>
        <v>GAS-CAM1</v>
      </c>
      <c r="P194" t="s">
        <v>51</v>
      </c>
      <c r="Q194" s="289"/>
      <c r="S194" t="s">
        <v>953</v>
      </c>
      <c r="T194" s="289">
        <v>1</v>
      </c>
    </row>
    <row r="195" spans="14:20" x14ac:dyDescent="0.25">
      <c r="O195" t="str">
        <v>GAS-CAM2</v>
      </c>
      <c r="S195" t="str">
        <f>+N206</f>
        <v>COL-LOIL</v>
      </c>
      <c r="T195" s="289">
        <v>1</v>
      </c>
    </row>
    <row r="196" spans="14:20" x14ac:dyDescent="0.25">
      <c r="O196" t="str">
        <v>GAS-CAM3</v>
      </c>
      <c r="S196" t="str">
        <f>+N212</f>
        <v>COL-MOIL</v>
      </c>
      <c r="T196" s="289">
        <v>1</v>
      </c>
    </row>
    <row r="197" spans="14:20" x14ac:dyDescent="0.25">
      <c r="O197" t="str">
        <v>GAS-CAM4</v>
      </c>
      <c r="S197" t="str">
        <f>+N218</f>
        <v>COL-HOIL</v>
      </c>
      <c r="T197" s="289">
        <v>1</v>
      </c>
    </row>
    <row r="198" spans="14:20" x14ac:dyDescent="0.25">
      <c r="O198" t="str">
        <v>GAS-CAM5</v>
      </c>
    </row>
    <row r="199" spans="14:20" x14ac:dyDescent="0.25">
      <c r="O199" t="str">
        <v>GAS-CAM6</v>
      </c>
    </row>
    <row r="200" spans="14:20" x14ac:dyDescent="0.25">
      <c r="O200" t="str" cm="1">
        <f t="array" ref="O200:O205">+COMM!D70:D75</f>
        <v>GAS-plt-CAM1</v>
      </c>
    </row>
    <row r="201" spans="14:20" x14ac:dyDescent="0.25">
      <c r="O201" t="str">
        <v>GAS-plt-CAM2</v>
      </c>
    </row>
    <row r="202" spans="14:20" x14ac:dyDescent="0.25">
      <c r="O202" t="str">
        <v>GAS-plt-CAM3</v>
      </c>
    </row>
    <row r="203" spans="14:20" x14ac:dyDescent="0.25">
      <c r="O203" t="str">
        <v>GAS-plt-CAM4</v>
      </c>
    </row>
    <row r="204" spans="14:20" x14ac:dyDescent="0.25">
      <c r="O204" t="str">
        <v>GAS-plt-CAM5</v>
      </c>
    </row>
    <row r="205" spans="14:20" x14ac:dyDescent="0.25">
      <c r="O205" t="str">
        <v>GAS-plt-CAM6</v>
      </c>
    </row>
    <row r="206" spans="14:20" x14ac:dyDescent="0.25">
      <c r="N206" t="s">
        <v>954</v>
      </c>
      <c r="O206" t="str" cm="1">
        <f t="array" ref="O206:O211">+COMM!D40:D45</f>
        <v>LOIL-CAM1</v>
      </c>
      <c r="P206" t="s">
        <v>52</v>
      </c>
      <c r="Q206" s="289"/>
    </row>
    <row r="207" spans="14:20" x14ac:dyDescent="0.25">
      <c r="O207" t="str">
        <v>LOIL-CAM2</v>
      </c>
    </row>
    <row r="208" spans="14:20" x14ac:dyDescent="0.25">
      <c r="O208" t="str">
        <v>LOIL-CAM3</v>
      </c>
    </row>
    <row r="209" spans="14:17" x14ac:dyDescent="0.25">
      <c r="O209" t="str">
        <v>LOIL-CAM4</v>
      </c>
    </row>
    <row r="210" spans="14:17" x14ac:dyDescent="0.25">
      <c r="O210" t="str">
        <v>LOIL-CAM5</v>
      </c>
    </row>
    <row r="211" spans="14:17" x14ac:dyDescent="0.25">
      <c r="O211" t="str">
        <v>LOIL-CAM6</v>
      </c>
    </row>
    <row r="212" spans="14:17" x14ac:dyDescent="0.25">
      <c r="N212" t="s">
        <v>955</v>
      </c>
      <c r="O212" t="str" cm="1">
        <f t="array" ref="O212:O217">+COMM!D50:D55</f>
        <v>MOIL-CAM1</v>
      </c>
      <c r="P212" t="s">
        <v>67</v>
      </c>
      <c r="Q212" s="289"/>
    </row>
    <row r="213" spans="14:17" x14ac:dyDescent="0.25">
      <c r="O213" t="str">
        <v>MOIL-CAM2</v>
      </c>
    </row>
    <row r="214" spans="14:17" x14ac:dyDescent="0.25">
      <c r="O214" t="str">
        <v>MOIL-CAM3</v>
      </c>
    </row>
    <row r="215" spans="14:17" x14ac:dyDescent="0.25">
      <c r="O215" t="str">
        <v>MOIL-CAM4</v>
      </c>
    </row>
    <row r="216" spans="14:17" x14ac:dyDescent="0.25">
      <c r="O216" t="str">
        <v>MOIL-CAM5</v>
      </c>
    </row>
    <row r="217" spans="14:17" x14ac:dyDescent="0.25">
      <c r="O217" t="str">
        <v>MOIL-CAM6</v>
      </c>
    </row>
    <row r="218" spans="14:17" x14ac:dyDescent="0.25">
      <c r="N218" t="s">
        <v>956</v>
      </c>
      <c r="O218" t="str" cm="1">
        <f t="array" ref="O218:O223">+COMM!D60:D65</f>
        <v>HOIL-CAM1</v>
      </c>
      <c r="P218" t="s">
        <v>53</v>
      </c>
      <c r="Q218" s="289"/>
    </row>
    <row r="219" spans="14:17" x14ac:dyDescent="0.25">
      <c r="O219" t="str">
        <v>HOIL-CAM2</v>
      </c>
    </row>
    <row r="220" spans="14:17" x14ac:dyDescent="0.25">
      <c r="O220" t="str">
        <v>HOIL-CAM3</v>
      </c>
    </row>
    <row r="221" spans="14:17" x14ac:dyDescent="0.25">
      <c r="O221" t="str">
        <v>HOIL-CAM4</v>
      </c>
    </row>
    <row r="222" spans="14:17" x14ac:dyDescent="0.25">
      <c r="O222" t="str">
        <v>HOIL-CAM5</v>
      </c>
    </row>
    <row r="223" spans="14:17" x14ac:dyDescent="0.25">
      <c r="O223" t="str">
        <v>HOIL-CAM6</v>
      </c>
    </row>
    <row r="228" spans="14:18" x14ac:dyDescent="0.25">
      <c r="N228" s="316" t="s">
        <v>0</v>
      </c>
      <c r="O228" s="1"/>
      <c r="P228" s="1"/>
    </row>
    <row r="229" spans="14:18" x14ac:dyDescent="0.25">
      <c r="N229" s="317" t="s">
        <v>11</v>
      </c>
      <c r="O229" s="561" t="s">
        <v>12</v>
      </c>
      <c r="P229" s="561" t="s">
        <v>13</v>
      </c>
      <c r="Q229" s="561" t="s">
        <v>31</v>
      </c>
      <c r="R229" s="562" t="s">
        <v>627</v>
      </c>
    </row>
    <row r="230" spans="14:18" x14ac:dyDescent="0.25">
      <c r="N230" s="320" t="str">
        <f>+PROCESS!N54</f>
        <v>AUTO-G-CAM1</v>
      </c>
      <c r="O230" s="19" t="str">
        <f>+O137</f>
        <v>GAS-CAM1</v>
      </c>
      <c r="P230" s="22" t="str">
        <f>+O85</f>
        <v>ELC-CAM1</v>
      </c>
      <c r="Q230">
        <v>0.35</v>
      </c>
      <c r="R230" s="57">
        <f>+I31</f>
        <v>2.4500442407782339</v>
      </c>
    </row>
    <row r="231" spans="14:18" x14ac:dyDescent="0.25">
      <c r="N231" s="320" t="str">
        <f>+PROCESS!N55</f>
        <v>AUTO-G-CAM2</v>
      </c>
      <c r="O231" s="22" t="s">
        <v>1008</v>
      </c>
      <c r="P231" s="559" t="str">
        <f>+P101</f>
        <v>ELC-CAM2</v>
      </c>
      <c r="Q231">
        <v>0.35</v>
      </c>
      <c r="R231" s="57">
        <f t="shared" ref="R231:R234" si="10">+I32</f>
        <v>29.713513857188524</v>
      </c>
    </row>
    <row r="232" spans="14:18" x14ac:dyDescent="0.25">
      <c r="N232" s="320" t="str">
        <f>+PROCESS!N56</f>
        <v>AUTO-G-CAM3</v>
      </c>
      <c r="O232" s="22" t="s">
        <v>1009</v>
      </c>
      <c r="P232" s="559" t="str">
        <f>+P102</f>
        <v>ELC-CAM3</v>
      </c>
      <c r="Q232">
        <v>0.35</v>
      </c>
      <c r="R232" s="57">
        <f t="shared" si="10"/>
        <v>0.35808998998868485</v>
      </c>
    </row>
    <row r="233" spans="14:18" x14ac:dyDescent="0.25">
      <c r="N233" s="320" t="str">
        <f>+PROCESS!N58</f>
        <v>AUTO-G-CAM5</v>
      </c>
      <c r="O233" s="22" t="s">
        <v>1010</v>
      </c>
      <c r="P233" s="559" t="str">
        <f>+P104</f>
        <v>ELC-CAM5</v>
      </c>
      <c r="Q233">
        <v>0.35</v>
      </c>
      <c r="R233" s="57">
        <f t="shared" si="10"/>
        <v>0</v>
      </c>
    </row>
    <row r="234" spans="14:18" x14ac:dyDescent="0.25">
      <c r="N234" s="19" t="str">
        <f>+PROCESS!N59</f>
        <v>AUTO-G-CAM6</v>
      </c>
      <c r="O234" s="19" t="s">
        <v>1011</v>
      </c>
      <c r="P234" s="559" t="str">
        <f>+P105</f>
        <v>ELC-CAM6</v>
      </c>
      <c r="Q234">
        <v>0.35</v>
      </c>
      <c r="R234" s="57">
        <f t="shared" si="10"/>
        <v>1.7521170575840492</v>
      </c>
    </row>
  </sheetData>
  <phoneticPr fontId="8" type="noConversion"/>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COMM</vt:lpstr>
      <vt:lpstr>PROCESS</vt:lpstr>
      <vt:lpstr>Bases de Cálculo</vt:lpstr>
      <vt:lpstr>1. EXP_IMP</vt:lpstr>
      <vt:lpstr>2. DEM</vt:lpstr>
      <vt:lpstr>3. Scope3</vt:lpstr>
      <vt:lpstr>4. Refinery's Data</vt:lpstr>
      <vt:lpstr>4.1 Ref_Cart</vt:lpstr>
      <vt:lpstr>4.2 Ref_Barranca</vt:lpstr>
      <vt:lpstr>5. Potencial O&amp;G</vt:lpstr>
      <vt:lpstr>5. 2019 O&amp;G</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2022-11-11T06:28:39Z</dcterms:modified>
</cp:coreProperties>
</file>