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849FE941-991C-4407-A88F-C4425EC227BB}" xr6:coauthVersionLast="47" xr6:coauthVersionMax="47" xr10:uidLastSave="{00000000-0000-0000-0000-000000000000}"/>
  <bookViews>
    <workbookView xWindow="-28920" yWindow="-120" windowWidth="29040" windowHeight="15840" firstSheet="1" activeTab="8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Ref_Barranca" sheetId="20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3" i="19" l="1"/>
  <c r="P43" i="20"/>
  <c r="P42" i="20"/>
  <c r="R33" i="20"/>
  <c r="Z36" i="20"/>
  <c r="Z37" i="20"/>
  <c r="Z38" i="20"/>
  <c r="Z35" i="20"/>
  <c r="Y40" i="20"/>
  <c r="R36" i="20"/>
  <c r="P32" i="20"/>
  <c r="O32" i="20" s="1"/>
  <c r="P42" i="19"/>
  <c r="O135" i="20"/>
  <c r="P153" i="20"/>
  <c r="P152" i="20"/>
  <c r="P151" i="20"/>
  <c r="O132" i="20"/>
  <c r="I133" i="20"/>
  <c r="I132" i="20"/>
  <c r="O131" i="20" s="1"/>
  <c r="H131" i="20"/>
  <c r="P22" i="20"/>
  <c r="O41" i="20" s="1"/>
  <c r="O84" i="20"/>
  <c r="R34" i="20" l="1"/>
  <c r="R79" i="19"/>
  <c r="R72" i="19"/>
  <c r="O11" i="20"/>
  <c r="P11" i="20" s="1"/>
  <c r="P41" i="20" l="1"/>
  <c r="O196" i="20"/>
  <c r="O197" i="20" s="1"/>
  <c r="O166" i="20"/>
  <c r="N166" i="20"/>
  <c r="O159" i="20"/>
  <c r="O44" i="20" s="1"/>
  <c r="O158" i="20"/>
  <c r="P166" i="20" s="1"/>
  <c r="O151" i="20"/>
  <c r="R146" i="20"/>
  <c r="N145" i="20"/>
  <c r="N158" i="20" s="1"/>
  <c r="Y142" i="20"/>
  <c r="P159" i="20" s="1"/>
  <c r="X142" i="20"/>
  <c r="Y141" i="20"/>
  <c r="P158" i="20" s="1"/>
  <c r="X136" i="20"/>
  <c r="X137" i="20" s="1"/>
  <c r="Q135" i="20"/>
  <c r="Q132" i="20"/>
  <c r="E132" i="20"/>
  <c r="P123" i="20"/>
  <c r="N118" i="20"/>
  <c r="N123" i="20" s="1"/>
  <c r="O111" i="20"/>
  <c r="P111" i="20" s="1"/>
  <c r="O108" i="20"/>
  <c r="P108" i="20" s="1"/>
  <c r="R118" i="20" s="1"/>
  <c r="R100" i="20"/>
  <c r="O98" i="20"/>
  <c r="O86" i="20"/>
  <c r="N72" i="20"/>
  <c r="N97" i="20" s="1"/>
  <c r="O63" i="20"/>
  <c r="O43" i="20"/>
  <c r="O42" i="20"/>
  <c r="N41" i="20"/>
  <c r="P34" i="20"/>
  <c r="X108" i="20"/>
  <c r="X110" i="20" s="1"/>
  <c r="X111" i="20" s="1"/>
  <c r="X112" i="20" s="1"/>
  <c r="X113" i="20" s="1"/>
  <c r="P33" i="20"/>
  <c r="Q22" i="20"/>
  <c r="N22" i="20"/>
  <c r="F17" i="20"/>
  <c r="E17" i="20"/>
  <c r="D17" i="20"/>
  <c r="F16" i="20"/>
  <c r="E16" i="20"/>
  <c r="D16" i="20"/>
  <c r="F15" i="20"/>
  <c r="E15" i="20"/>
  <c r="D15" i="20"/>
  <c r="C15" i="20"/>
  <c r="F14" i="20"/>
  <c r="E14" i="20"/>
  <c r="D14" i="20"/>
  <c r="C14" i="20"/>
  <c r="F13" i="20"/>
  <c r="E13" i="20"/>
  <c r="D13" i="20"/>
  <c r="C13" i="20"/>
  <c r="F12" i="20"/>
  <c r="E12" i="20"/>
  <c r="D12" i="20"/>
  <c r="C12" i="20"/>
  <c r="F11" i="20"/>
  <c r="E11" i="20"/>
  <c r="D11" i="20"/>
  <c r="C11" i="20"/>
  <c r="D10" i="20"/>
  <c r="C10" i="20"/>
  <c r="O22" i="20" s="1"/>
  <c r="D9" i="20"/>
  <c r="C9" i="20"/>
  <c r="O23" i="20" s="1"/>
  <c r="F8" i="20"/>
  <c r="F9" i="20" s="1"/>
  <c r="F10" i="20" s="1"/>
  <c r="E8" i="20"/>
  <c r="D8" i="20"/>
  <c r="C8" i="20"/>
  <c r="O24" i="20" s="1"/>
  <c r="F7" i="20"/>
  <c r="E7" i="20"/>
  <c r="Q131" i="20" s="1"/>
  <c r="D7" i="20"/>
  <c r="C7" i="20"/>
  <c r="F6" i="20"/>
  <c r="E6" i="20"/>
  <c r="D6" i="20"/>
  <c r="F5" i="20"/>
  <c r="F4" i="20"/>
  <c r="E4" i="20"/>
  <c r="O131" i="19"/>
  <c r="E51" i="16"/>
  <c r="O132" i="19"/>
  <c r="R36" i="19"/>
  <c r="P36" i="19"/>
  <c r="O135" i="19"/>
  <c r="Q135" i="19"/>
  <c r="Q145" i="19"/>
  <c r="P159" i="19"/>
  <c r="P158" i="19"/>
  <c r="R146" i="19"/>
  <c r="Y142" i="19"/>
  <c r="Y141" i="19"/>
  <c r="X142" i="19"/>
  <c r="O68" i="16"/>
  <c r="O66" i="16"/>
  <c r="O64" i="16"/>
  <c r="O65" i="16"/>
  <c r="M64" i="16"/>
  <c r="M65" i="16"/>
  <c r="M66" i="16"/>
  <c r="M67" i="16"/>
  <c r="O159" i="19"/>
  <c r="O44" i="19" s="1"/>
  <c r="I100" i="10"/>
  <c r="N99" i="10"/>
  <c r="N100" i="10" s="1"/>
  <c r="N101" i="10" s="1"/>
  <c r="N102" i="10" s="1"/>
  <c r="O109" i="10"/>
  <c r="I101" i="10"/>
  <c r="I102" i="10" s="1"/>
  <c r="I103" i="10" s="1"/>
  <c r="I104" i="10" s="1"/>
  <c r="Q66" i="16" l="1"/>
  <c r="N51" i="20"/>
  <c r="S33" i="20"/>
  <c r="P59" i="20"/>
  <c r="P76" i="20" s="1"/>
  <c r="P61" i="20"/>
  <c r="P77" i="20" s="1"/>
  <c r="P56" i="20"/>
  <c r="P55" i="20"/>
  <c r="P57" i="20"/>
  <c r="P74" i="20" s="1"/>
  <c r="P60" i="20"/>
  <c r="P58" i="20"/>
  <c r="P75" i="20" s="1"/>
  <c r="P73" i="20"/>
  <c r="X130" i="20"/>
  <c r="N100" i="20"/>
  <c r="N99" i="20"/>
  <c r="N98" i="20"/>
  <c r="Q133" i="20"/>
  <c r="X131" i="20"/>
  <c r="E9" i="20"/>
  <c r="E10" i="20" s="1"/>
  <c r="O64" i="20"/>
  <c r="O65" i="20" s="1"/>
  <c r="P89" i="20" s="1"/>
  <c r="N146" i="20"/>
  <c r="S34" i="20"/>
  <c r="N151" i="20"/>
  <c r="G131" i="19"/>
  <c r="E132" i="19"/>
  <c r="G132" i="19" s="1"/>
  <c r="X132" i="20" l="1"/>
  <c r="Q63" i="20"/>
  <c r="P72" i="20"/>
  <c r="P79" i="20" s="1"/>
  <c r="P63" i="20"/>
  <c r="P36" i="20"/>
  <c r="P85" i="20"/>
  <c r="Q97" i="20" s="1"/>
  <c r="P84" i="20"/>
  <c r="Q98" i="20" s="1"/>
  <c r="O166" i="19"/>
  <c r="N166" i="19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P44" i="20" l="1"/>
  <c r="R99" i="20"/>
  <c r="N158" i="19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46" i="20" l="1"/>
  <c r="P55" i="19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X136" i="19" l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Q133" i="19"/>
  <c r="P151" i="19" s="1"/>
  <c r="P73" i="19"/>
  <c r="P79" i="19" s="1"/>
  <c r="P63" i="19"/>
  <c r="P85" i="19"/>
  <c r="P84" i="19"/>
  <c r="Q98" i="19" s="1"/>
  <c r="P152" i="19" l="1"/>
  <c r="Q97" i="19"/>
  <c r="X137" i="19"/>
  <c r="X132" i="19"/>
  <c r="H52" i="16"/>
  <c r="E52" i="16"/>
  <c r="D51" i="16"/>
  <c r="P41" i="19" l="1"/>
  <c r="P44" i="19"/>
  <c r="R99" i="19"/>
  <c r="P46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94D3A0F3-DB2C-4037-832F-3278D481D75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4639B012-AD58-4DFD-9A93-789414733A2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45ACBC87-7D72-4D46-969A-FB1676E143C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al. (2020)</t>
        </r>
      </text>
    </comment>
    <comment ref="N33" authorId="0" shapeId="0" xr:uid="{7C33714B-4577-48B7-A86B-32E4E98F9D6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 (2020)</t>
        </r>
      </text>
    </comment>
    <comment ref="A35" authorId="1" shapeId="0" xr:uid="{F6B29ECA-121E-4BC6-A896-FF7589EFFEF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402D16AA-5A29-4F1E-AF8E-C236DC10F5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Q54" authorId="0" shapeId="0" xr:uid="{04AA435A-79D3-4138-8B81-778F063FFF1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LEAP</t>
        </r>
      </text>
    </comment>
    <comment ref="N84" authorId="0" shapeId="0" xr:uid="{A9845124-877E-4EE2-ADE3-7D8713543BF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EED6FB3-C11E-44B9-AA93-6F4339F5936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052D3F0D-A83D-42E1-A6A9-147CACBB371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A3DF5B77-1456-43B8-8DE2-17AEF4190FC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B17952FC-FEFE-4F89-901E-B80DBCCB816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83CBBF9B-B2CC-4FBF-AD3E-2A8E88F7DFF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DF26787A-D944-4AA5-9174-8BD10ED20A02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06532B41-2C6C-4E41-A29E-A673D7D8C7D1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94F67E5E-A9D7-4D10-A303-B5D50D248FD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9B34B72F-C5B2-4E69-BB9E-D36C6AADE9C4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<sst xmlns="http://schemas.openxmlformats.org/spreadsheetml/2006/main" count="2165" uniqueCount="745">
  <si>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</si>
  <si>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</si>
  <si>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</si>
  <si>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</si>
  <si>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</si>
  <si>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</si>
  <si>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</si>
  <si>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</si>
  <si>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</si>
  <si>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</si>
  <si>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</si>
  <si>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</si>
  <si>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</si>
  <si>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</si>
  <si>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</si>
  <si>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</si>
  <si>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</si>
  <si>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</si>
  <si>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</si>
  <si>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</si>
  <si>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</si>
  <si>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</si>
  <si>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</si>
  <si>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</si>
  <si>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</si>
  <si>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</si>
  <si>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</si>
  <si>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</si>
  <si>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</si>
  <si>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</si>
  <si>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</si>
  <si>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</si>
  <si>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</si>
  <si>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</si>
  <si>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</si>
  <si>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</si>
  <si>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</si>
  <si>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</si>
  <si>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</si>
  <si>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</si>
  <si>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</si>
  <si>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</si>
  <si>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</si>
  <si>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</si>
  <si>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</si>
  <si>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</si>
  <si>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</si>
  <si>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</si>
  <si>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</si>
  <si>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</si>
  <si>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</si>
  <si>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</si>
  <si>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</si>
  <si>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</si>
  <si>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</si>
  <si>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</si>
  <si>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</si>
  <si>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</si>
  <si>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</si>
  <si>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</si>
  <si>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</si>
  <si>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</si>
  <si>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</si>
  <si>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</si>
  <si>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</si>
  <si>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</si>
  <si>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</si>
  <si>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</si>
  <si>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</si>
  <si>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</si>
  <si>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</si>
  <si>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</si>
  <si>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</si>
  <si>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</si>
  <si>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</si>
  <si>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</si>
  <si>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</si>
  <si>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</si>
  <si>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</si>
  <si>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</si>
  <si>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</si>
  <si>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</si>
  <si>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</si>
  <si>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</si>
  <si>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</si>
  <si>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</si>
  <si>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</si>
  <si>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</si>
  <si>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</si>
  <si>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</si>
  <si>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</si>
  <si>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</si>
  <si>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</si>
  <si>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</si>
  <si>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</si>
  <si>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</si>
  <si>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</si>
  <si>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</si>
  <si>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</si>
  <si>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</si>
  <si>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</si>
  <si>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</si>
  <si>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</si>
  <si>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</si>
  <si>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</si>
  <si>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</si>
  <si>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</si>
  <si>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</si>
  <si>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</si>
  <si>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</si>
  <si>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</si>
  <si>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</si>
  <si>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</si>
  <si>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</si>
  <si>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</si>
  <si>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</si>
  <si>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</si>
  <si>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</si>
  <si>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</si>
  <si>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</si>
  <si>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</si>
  <si>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</si>
  <si>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</si>
  <si>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</si>
  <si>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</si>
  <si>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</si>
  <si>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</si>
  <si>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</si>
  <si>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</si>
  <si>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</si>
  <si>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</si>
  <si>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</si>
  <si>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</si>
  <si>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</si>
  <si>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</si>
  <si>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</si>
  <si>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</si>
  <si>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</si>
  <si>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</si>
  <si>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</si>
  <si>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</si>
  <si>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</si>
  <si>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</si>
  <si>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</si>
  <si>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</si>
  <si>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</si>
  <si>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</si>
  <si>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</si>
  <si>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</si>
  <si>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</si>
  <si>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</si>
  <si>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</si>
  <si>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</si>
  <si>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</si>
  <si>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</si>
  <si>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</si>
  <si>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</si>
  <si>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</si>
  <si>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</si>
  <si>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</si>
  <si>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</si>
  <si>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</si>
  <si>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</si>
  <si>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</si>
  <si>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</si>
  <si>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</si>
  <si>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</si>
  <si>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</si>
  <si>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</si>
  <si>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</si>
  <si>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</si>
  <si>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</si>
  <si>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</si>
  <si>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</si>
  <si>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</si>
  <si>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</si>
  <si>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</si>
  <si>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</si>
  <si>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</si>
  <si>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</si>
  <si>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</si>
  <si>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</si>
  <si>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</si>
  <si>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</si>
  <si>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</si>
  <si>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</si>
  <si>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</si>
  <si>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</si>
  <si>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</si>
  <si>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</si>
  <si>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</si>
  <si>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</si>
  <si>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</si>
  <si>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</si>
  <si>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</si>
  <si>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</si>
  <si>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</si>
  <si>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</si>
  <si>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</si>
  <si>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</si>
  <si>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</si>
  <si>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</si>
  <si>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</si>
  <si>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</si>
  <si>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</si>
  <si>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</si>
  <si>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</si>
  <si>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</si>
  <si>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</si>
  <si>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</si>
  <si>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</si>
  <si>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</si>
  <si>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</si>
  <si>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</si>
  <si>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</si>
  <si>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</si>
  <si>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</si>
  <si>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</si>
  <si>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</si>
  <si>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</si>
  <si>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</si>
  <si>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</si>
  <si>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</si>
  <si>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</si>
  <si>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</si>
  <si>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</si>
  <si>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</si>
  <si>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</si>
  <si>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</si>
  <si>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</si>
  <si>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</si>
  <si>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</si>
  <si>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</si>
  <si>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</si>
  <si>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</si>
  <si>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</si>
  <si>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</si>
  <si>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</si>
  <si>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</si>
  <si>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</si>
  <si>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</si>
  <si>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</si>
  <si>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</si>
  <si>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</si>
  <si>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</si>
  <si>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</si>
  <si>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</si>
  <si>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</si>
  <si>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</si>
  <si>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</si>
  <si>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</si>
  <si>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</si>
  <si>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</si>
  <si>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</si>
  <si>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</si>
  <si>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</si>
  <si>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</si>
  <si>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</si>
  <si>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</si>
  <si>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</si>
  <si>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</si>
  <si>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</si>
  <si>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</si>
  <si>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</si>
  <si>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</si>
  <si>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</si>
  <si>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</si>
  <si>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</si>
  <si>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</si>
  <si>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</si>
  <si>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</si>
  <si>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</si>
  <si>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</si>
  <si>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</si>
  <si>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</si>
  <si>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</si>
  <si>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</si>
  <si>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</si>
  <si>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</si>
  <si>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</si>
  <si>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</si>
  <si>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</si>
  <si>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</si>
  <si>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</si>
  <si>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</si>
  <si>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</si>
  <si>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</si>
  <si>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</si>
  <si>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</si>
  <si>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</si>
  <si>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</si>
  <si>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</si>
  <si>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</si>
  <si>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</si>
  <si>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</si>
  <si>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</si>
  <si>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</si>
  <si>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</si>
  <si>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</si>
  <si>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</si>
  <si>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</si>
  <si>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</si>
  <si>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</si>
  <si>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</si>
  <si>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</si>
  <si>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</si>
  <si>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</si>
  <si>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</si>
  <si>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</si>
  <si>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</si>
  <si>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</si>
  <si>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</si>
  <si>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</si>
  <si>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</si>
  <si>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</si>
  <si>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</si>
  <si>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</si>
  <si>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</si>
  <si>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</si>
  <si>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</si>
  <si>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</si>
  <si>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</si>
  <si>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</si>
  <si>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</si>
  <si>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</si>
  <si>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</si>
  <si>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</si>
  <si>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</si>
  <si>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</si>
  <si>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</si>
  <si>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</si>
  <si>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</si>
  <si>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</si>
  <si>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</si>
  <si>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</si>
  <si>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</si>
  <si>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</si>
  <si>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</si>
  <si>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</si>
  <si>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</si>
  <si>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</si>
  <si>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</si>
  <si>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</si>
  <si>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</si>
  <si>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</si>
  <si>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</si>
  <si>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</si>
  <si>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</si>
  <si>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</si>
  <si>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</si>
  <si>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</si>
  <si>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</si>
  <si>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</si>
  <si>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</si>
  <si>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</si>
  <si>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</si>
  <si>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</si>
  <si>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</si>
  <si>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</si>
  <si>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</si>
  <si>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</si>
  <si>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</si>
  <si>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</si>
  <si>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</si>
  <si>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</si>
  <si>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</si>
  <si>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</si>
  <si>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</si>
  <si>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</si>
  <si>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</si>
  <si>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</si>
  <si>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</si>
  <si>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</si>
  <si>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</si>
  <si>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</si>
  <si>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</si>
  <si>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</si>
  <si>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</si>
  <si>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</si>
  <si>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</si>
  <si>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</si>
  <si>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</si>
  <si>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</si>
  <si>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</si>
  <si>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</si>
  <si>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</si>
  <si>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</si>
  <si>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</si>
  <si>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</si>
  <si>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</si>
  <si>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</si>
  <si>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</si>
  <si>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</si>
  <si>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</si>
  <si>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</si>
  <si>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</si>
  <si>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</si>
  <si>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</si>
  <si>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</si>
  <si>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</si>
  <si>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</si>
  <si>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</si>
  <si>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</si>
  <si>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</si>
  <si>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</si>
  <si>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</si>
  <si>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</si>
  <si>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</si>
  <si>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</si>
  <si>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</si>
  <si>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</si>
  <si>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</si>
  <si>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</si>
  <si>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</si>
  <si>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</si>
  <si>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</si>
  <si>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</si>
  <si>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</si>
  <si>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</si>
  <si>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</si>
  <si>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</si>
  <si>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</si>
  <si>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</si>
  <si>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</si>
  <si>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</si>
  <si>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</si>
  <si>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</si>
  <si>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</si>
  <si>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</si>
  <si>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</si>
  <si>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</si>
  <si>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</si>
  <si>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</si>
  <si>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</si>
  <si>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</si>
  <si>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</si>
  <si>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</si>
  <si>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</si>
  <si>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</si>
  <si>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</si>
  <si>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</si>
  <si>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</si>
  <si>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</si>
  <si>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</si>
  <si>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</si>
  <si>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</si>
  <si>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</si>
  <si>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</si>
  <si>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</si>
  <si>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</si>
  <si>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</si>
  <si>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</si>
  <si>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</si>
  <si>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</si>
  <si>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</si>
  <si>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</si>
  <si>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</si>
  <si>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</si>
  <si>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</si>
  <si>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</si>
  <si>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</si>
  <si>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</si>
  <si>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</si>
  <si>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</si>
  <si>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</si>
  <si>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</si>
  <si>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</si>
  <si>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</si>
  <si>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</si>
  <si>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</si>
  <si>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</si>
  <si>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</si>
  <si>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</si>
  <si>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</si>
  <si>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</si>
  <si>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</si>
  <si>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</si>
  <si>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</si>
  <si>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</si>
  <si>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</si>
  <si>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</si>
  <si>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</si>
  <si>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</si>
  <si>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</si>
  <si>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</si>
  <si>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</si>
  <si>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</si>
  <si>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</si>
  <si>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</si>
  <si>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</si>
  <si>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</si>
  <si>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</si>
  <si>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</si>
  <si>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</si>
  <si>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</si>
  <si>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</si>
  <si>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</si>
  <si>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</si>
  <si>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</si>
  <si>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</si>
  <si>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</si>
  <si>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</si>
  <si>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</si>
  <si>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</si>
  <si>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</si>
  <si>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</si>
  <si>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</si>
  <si>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</si>
  <si>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</si>
  <si>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</si>
  <si>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</si>
  <si>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</si>
  <si>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</si>
  <si>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</si>
  <si>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</si>
  <si>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</si>
  <si>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</si>
  <si>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</si>
  <si>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</si>
  <si>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</si>
  <si>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</si>
  <si>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</si>
  <si>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</si>
  <si>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</si>
  <si>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</si>
  <si>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</si>
  <si>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</si>
  <si>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</si>
  <si>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</si>
  <si>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</si>
  <si>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</si>
  <si>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</si>
  <si>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</si>
  <si>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</si>
  <si>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</si>
  <si>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</si>
  <si>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</si>
  <si>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</si>
  <si>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</si>
  <si>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</si>
  <si>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</si>
  <si>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</si>
  <si>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</si>
  <si>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</si>
  <si>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</si>
  <si>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</si>
  <si>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</si>
  <si>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</si>
  <si>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</si>
  <si>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</si>
  <si>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</si>
  <si>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</si>
  <si>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</si>
  <si>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</si>
  <si>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</si>
  <si>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</si>
  <si>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</si>
  <si>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</si>
  <si>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</si>
  <si>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</si>
  <si>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</si>
  <si>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</si>
  <si>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</si>
  <si>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</si>
  <si>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</si>
  <si>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</si>
  <si>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</si>
  <si>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</si>
  <si>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</si>
  <si>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</si>
  <si>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</si>
  <si>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</si>
  <si>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</si>
  <si>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</si>
  <si>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</si>
  <si>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</si>
  <si>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</si>
  <si>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</si>
  <si>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</si>
  <si>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</si>
  <si>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</si>
  <si>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</si>
  <si>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</si>
  <si>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</si>
  <si>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</si>
  <si>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</si>
  <si>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</si>
  <si>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</si>
  <si>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</si>
  <si>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</si>
  <si>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</si>
  <si>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</si>
  <si>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</si>
  <si>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</si>
  <si>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</si>
  <si>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</si>
  <si>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</si>
  <si>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</si>
  <si>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</si>
  <si>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</si>
  <si>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</si>
  <si>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</si>
  <si>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</si>
  <si>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</si>
  <si>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</si>
  <si>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</si>
  <si>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</si>
  <si>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</si>
  <si>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</si>
  <si>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</si>
  <si>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</si>
  <si>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</si>
  <si>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</si>
  <si>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</si>
  <si>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</si>
  <si>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</si>
  <si>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</si>
  <si>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</si>
  <si>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</si>
  <si>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</si>
  <si>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</si>
  <si>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</si>
  <si>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</si>
  <si>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</si>
  <si>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</si>
  <si>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</si>
  <si>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</si>
  <si>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</si>
  <si>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</si>
  <si>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</si>
  <si>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</si>
  <si>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</si>
  <si>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</si>
  <si>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</si>
  <si>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</si>
  <si>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</si>
  <si>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</si>
  <si>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</si>
  <si>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</si>
  <si>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</si>
  <si>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</si>
  <si>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</si>
  <si>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</si>
  <si>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</si>
  <si>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</si>
  <si>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</si>
  <si>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</si>
  <si>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</si>
  <si>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</si>
  <si>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</si>
  <si>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</si>
  <si>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</si>
  <si>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</si>
  <si>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</si>
  <si>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</si>
  <si>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</si>
  <si>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</si>
  <si>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</si>
  <si>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</si>
  <si>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</si>
  <si>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</si>
  <si>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</si>
  <si>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</si>
  <si>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</si>
  <si>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</si>
  <si>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</si>
  <si>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</si>
  <si>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</si>
  <si>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</si>
  <si>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</si>
  <si>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</si>
  <si>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</si>
  <si>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</si>
  <si>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</si>
  <si>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</si>
  <si>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</si>
  <si>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</si>
  <si>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</si>
  <si>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</si>
  <si>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</si>
  <si>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</si>
  <si>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</si>
  <si>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</si>
  <si>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</si>
  <si>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</si>
  <si>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</si>
  <si>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</si>
  <si>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</si>
  <si>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</si>
  <si>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</si>
  <si>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</si>
  <si>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</si>
  <si>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</si>
  <si>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</si>
  <si>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</si>
  <si>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</si>
  <si>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</si>
  <si>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</si>
  <si>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COMPRA-ELC-RE1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</si>
  <si>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</si>
  <si>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</si>
  <si>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</si>
  <si>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</si>
  <si>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</si>
  <si>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</si>
  <si>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</si>
  <si>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</si>
  <si>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</si>
  <si>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</si>
  <si>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</si>
  <si>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</si>
  <si>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</si>
  <si>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</si>
  <si>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</si>
  <si>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</si>
  <si>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</si>
  <si>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</si>
  <si>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</si>
  <si>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</si>
  <si>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</si>
  <si>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</si>
  <si>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</si>
  <si>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</si>
  <si>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</si>
  <si>
    <t>Eficiencia combinada</t>
  </si>
  <si>
    <t>Eficiencia electrica</t>
  </si>
  <si>
    <t>Carga a la refinería de Cartagena</t>
  </si>
  <si>
    <t>%vol</t>
  </si>
  <si>
    <t>AVGAS</t>
  </si>
  <si>
    <t>LEAP</t>
  </si>
  <si>
    <t>MIX-OIL-REF2</t>
  </si>
  <si>
    <t>REF2</t>
  </si>
  <si>
    <t>SMR-REF2</t>
  </si>
  <si>
    <t>AUTO-REF2</t>
  </si>
  <si>
    <t>COMPRA-ELC-REF2</t>
  </si>
  <si>
    <t>OIL-REF2</t>
  </si>
  <si>
    <t>ELC-REF2</t>
  </si>
  <si>
    <t>H2-REF2</t>
  </si>
  <si>
    <t>STEAM-DRM-REF2</t>
  </si>
  <si>
    <t>Drumm gas</t>
  </si>
  <si>
    <t>NG</t>
  </si>
  <si>
    <t>Table Name:</t>
  </si>
  <si>
    <t>Unsaved_15215</t>
  </si>
  <si>
    <t>Commodity</t>
  </si>
  <si>
    <t>VAR_FIn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</si>
</sst>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  <numFmt numFmtId="178" formatCode="0.000%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96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10" fontId="0" fillId="0" borderId="0" xfId="5" applyNumberFormat="1" applyFont="1"/>
    <xf numFmtId="166" fontId="0" fillId="3" borderId="0" xfId="0" applyNumberFormat="1" applyFill="1" applyAlignment="1">
      <alignment horizontal="right"/>
    </xf>
    <xf numFmtId="2" fontId="0" fillId="13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26" xfId="5" applyFont="1" applyBorder="1"/>
    <xf numFmtId="9" fontId="0" fillId="0" borderId="27" xfId="5" applyFont="1" applyBorder="1" applyAlignment="1">
      <alignment horizontal="right"/>
    </xf>
    <xf numFmtId="0" fontId="4" fillId="5" borderId="0" xfId="4" applyFont="1" applyFill="1" applyAlignment="1">
      <alignment horizontal="center" vertical="center"/>
    </xf>
    <xf numFmtId="9" fontId="0" fillId="3" borderId="0" xfId="5" applyFont="1" applyFill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178" fontId="0" fillId="0" borderId="0" xfId="5" applyNumberFormat="1" applyFont="1"/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DF4E9-193F-400D-9909-E50694A2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33566100"/>
          <a:ext cx="11250595" cy="8164064"/>
        </a:xfrm>
        <a:prstGeom prst="rect">
          <a:avLst/>
        </a:prstGeom>
      </xdr:spPr>
    </xdr:pic>
    <xdr:clientData/>
  </xdr:twoCellAnchor>
  <xdr:twoCellAnchor editAs="oneCell">
    <xdr:from>
      <xdr:col>2</xdr:col>
      <xdr:colOff>957298</xdr:colOff>
      <xdr:row>47</xdr:row>
      <xdr:rowOff>95249</xdr:rowOff>
    </xdr:from>
    <xdr:to>
      <xdr:col>11</xdr:col>
      <xdr:colOff>2492</xdr:colOff>
      <xdr:row>66</xdr:row>
      <xdr:rowOff>39787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DB1EF2-399D-49B2-AE46-4868EB44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0010" y="9048749"/>
          <a:ext cx="6482020" cy="3600673"/>
        </a:xfrm>
        <a:prstGeom prst="rect">
          <a:avLst/>
        </a:prstGeom>
      </xdr:spPr>
    </xdr:pic>
    <xdr:clientData/>
  </xdr:twoCellAnchor>
  <xdr:twoCellAnchor editAs="oneCell">
    <xdr:from>
      <xdr:col>2</xdr:col>
      <xdr:colOff>556846</xdr:colOff>
      <xdr:row>125</xdr:row>
      <xdr:rowOff>133978</xdr:rowOff>
    </xdr:from>
    <xdr:to>
      <xdr:col>10</xdr:col>
      <xdr:colOff>41655</xdr:colOff>
      <xdr:row>144</xdr:row>
      <xdr:rowOff>119337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C6638B-C176-BA40-D9C5-17D0365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9558" y="23983113"/>
          <a:ext cx="6482020" cy="3604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O34" sqref="O3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156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157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158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159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160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161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50" t="s">
        <v>102</v>
      </c>
      <c r="Y14" s="450"/>
      <c r="Z14" s="450"/>
      <c r="AA14" s="450"/>
      <c r="AB14" s="450"/>
      <c r="AC14" s="450"/>
      <c r="AD14" s="450"/>
      <c r="AE14" s="450"/>
      <c r="AF14" s="450"/>
    </row>
    <row r="15" spans="1:1409" x14ac:dyDescent="0.25">
      <c r="B15" s="450" t="s">
        <v>83</v>
      </c>
      <c r="C15" s="450"/>
      <c r="D15" s="450"/>
      <c r="E15" s="450"/>
      <c r="F15" s="450"/>
      <c r="G15" s="450"/>
      <c r="H15" s="450"/>
      <c r="I15" s="450"/>
      <c r="J15" s="450"/>
      <c r="M15" s="450" t="s">
        <v>84</v>
      </c>
      <c r="N15" s="450"/>
      <c r="O15" s="450"/>
      <c r="P15" s="450"/>
      <c r="Q15" s="450"/>
      <c r="R15" s="450"/>
      <c r="S15" s="450"/>
      <c r="T15" s="450"/>
      <c r="U15" s="450"/>
      <c r="AI15" s="450" t="s">
        <v>97</v>
      </c>
      <c r="AJ15" s="450"/>
      <c r="AK15" s="450"/>
      <c r="AL15" s="450"/>
      <c r="AM15" s="450"/>
      <c r="AN15" s="450"/>
      <c r="AO15" s="450"/>
      <c r="AP15" s="450"/>
      <c r="AQ15" s="450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175</v>
      </c>
      <c r="AA29" s="1" t="s">
        <v>176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162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163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164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521</v>
      </c>
      <c r="P33" s="1" t="s">
        <v>524</v>
      </c>
      <c r="Q33" s="1" t="s">
        <v>9</v>
      </c>
      <c r="Z33" s="1" t="str">
        <v>DIND</v>
      </c>
      <c r="AA33" s="1" t="s">
        <v>165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518</v>
      </c>
      <c r="P34" s="1" t="s">
        <v>517</v>
      </c>
      <c r="Q34" s="1" t="s">
        <v>9</v>
      </c>
      <c r="Z34" s="1" t="str">
        <v>DTRA</v>
      </c>
      <c r="AA34" s="1" t="s">
        <v>166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541</v>
      </c>
      <c r="P35" s="1" t="s">
        <v>543</v>
      </c>
      <c r="Q35" s="1" t="s">
        <v>9</v>
      </c>
      <c r="X35" s="1" t="s">
        <v>82</v>
      </c>
      <c r="Z35" s="1" t="s">
        <v>522</v>
      </c>
      <c r="AA35" s="1" t="s">
        <v>529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542</v>
      </c>
      <c r="P36" s="1" t="s">
        <v>544</v>
      </c>
      <c r="Q36" s="1" t="s">
        <v>9</v>
      </c>
      <c r="Z36" s="1" t="s">
        <v>552</v>
      </c>
      <c r="AA36" s="1" t="s">
        <v>556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551</v>
      </c>
      <c r="AA37" s="1" t="s">
        <v>557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533</v>
      </c>
      <c r="AL41" s="1" t="s">
        <v>535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534</v>
      </c>
      <c r="AL42" s="1" t="s">
        <v>536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537</v>
      </c>
      <c r="AL43" s="1" t="s">
        <v>538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124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125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51" t="s">
        <v>121</v>
      </c>
      <c r="C18" s="451"/>
      <c r="D18" s="451"/>
      <c r="E18" s="451"/>
      <c r="F18" s="451"/>
      <c r="G18" s="451"/>
      <c r="H18" s="451"/>
      <c r="I18" s="451"/>
      <c r="J18" s="451"/>
      <c r="L18" s="451" t="s">
        <v>126</v>
      </c>
      <c r="M18" s="451"/>
      <c r="N18" s="451"/>
      <c r="O18" s="451"/>
      <c r="P18" s="451"/>
      <c r="Q18" s="451"/>
      <c r="R18" s="451"/>
      <c r="S18" s="451"/>
      <c r="T18" s="451"/>
      <c r="V18" s="451" t="s">
        <v>123</v>
      </c>
      <c r="W18" s="451"/>
      <c r="X18" s="451"/>
      <c r="Y18" s="451"/>
      <c r="Z18" s="451"/>
      <c r="AA18" s="451"/>
      <c r="AB18" s="451"/>
      <c r="AC18" s="451"/>
      <c r="AD18" s="451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E94" zoomScale="145" zoomScaleNormal="145" workbookViewId="0">
      <selection activeCell="I98" sqref="I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52" t="s">
        <v>280</v>
      </c>
      <c r="G2" s="453"/>
    </row>
    <row r="3" spans="2:41" ht="15" x14ac:dyDescent="0.25">
      <c r="F3" s="212" t="s">
        <v>406</v>
      </c>
      <c r="G3" s="207" t="s">
        <v>407</v>
      </c>
    </row>
    <row r="4" spans="2:41" ht="15" x14ac:dyDescent="0.25">
      <c r="F4" s="213" t="s">
        <v>462</v>
      </c>
      <c r="G4" s="187" t="s">
        <v>284</v>
      </c>
    </row>
    <row r="5" spans="2:41" ht="15" x14ac:dyDescent="0.25">
      <c r="B5" s="243" t="s">
        <v>249</v>
      </c>
      <c r="C5" s="244" t="s">
        <v>491</v>
      </c>
      <c r="D5" s="244" t="s">
        <v>492</v>
      </c>
      <c r="E5" s="245" t="s">
        <v>493</v>
      </c>
      <c r="F5" s="213" t="s">
        <v>473</v>
      </c>
      <c r="G5" s="187" t="s">
        <v>475</v>
      </c>
    </row>
    <row r="6" spans="2:41" ht="15" x14ac:dyDescent="0.25">
      <c r="B6" s="208" t="s">
        <v>408</v>
      </c>
      <c r="C6" s="227" t="s">
        <v>494</v>
      </c>
      <c r="D6" s="222" t="s">
        <v>505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409</v>
      </c>
      <c r="C7" s="228" t="s">
        <v>495</v>
      </c>
      <c r="D7" s="454" t="s">
        <v>506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414</v>
      </c>
      <c r="C8" s="229" t="s">
        <v>496</v>
      </c>
      <c r="D8" s="455"/>
      <c r="E8" s="19" t="s">
        <v>67</v>
      </c>
      <c r="F8" s="220"/>
      <c r="G8" s="218"/>
    </row>
    <row r="9" spans="2:41" ht="15" x14ac:dyDescent="0.25">
      <c r="B9" s="211" t="s">
        <v>410</v>
      </c>
      <c r="C9" s="230" t="s">
        <v>496</v>
      </c>
      <c r="D9" s="456"/>
      <c r="E9" s="153" t="s">
        <v>53</v>
      </c>
      <c r="F9" s="221"/>
      <c r="G9" s="219"/>
    </row>
    <row r="10" spans="2:41" ht="15" x14ac:dyDescent="0.25">
      <c r="B10" s="209" t="s">
        <v>411</v>
      </c>
      <c r="C10" s="228" t="s">
        <v>497</v>
      </c>
      <c r="D10" s="223" t="s">
        <v>507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412</v>
      </c>
      <c r="C11" s="229" t="s">
        <v>498</v>
      </c>
      <c r="D11" s="226" t="s">
        <v>508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499</v>
      </c>
      <c r="D12" s="226" t="s">
        <v>509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413</v>
      </c>
      <c r="C13" s="229" t="s">
        <v>500</v>
      </c>
      <c r="D13" s="224" t="s">
        <v>510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558</v>
      </c>
      <c r="AL13" s="124">
        <v>450000</v>
      </c>
      <c r="AM13" s="124" t="s">
        <v>559</v>
      </c>
      <c r="AN13" s="124"/>
      <c r="AO13" s="125"/>
    </row>
    <row r="14" spans="2:41" ht="15" x14ac:dyDescent="0.25">
      <c r="B14" s="211" t="s">
        <v>415</v>
      </c>
      <c r="C14" s="230" t="s">
        <v>501</v>
      </c>
      <c r="D14" s="225" t="s">
        <v>511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560</v>
      </c>
      <c r="AN14" s="124"/>
      <c r="AO14" s="125"/>
    </row>
    <row r="15" spans="2:41" ht="15" x14ac:dyDescent="0.25">
      <c r="B15" s="209" t="s">
        <v>89</v>
      </c>
      <c r="C15" s="228" t="s">
        <v>502</v>
      </c>
      <c r="D15" s="223" t="s">
        <v>512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503</v>
      </c>
      <c r="D16" s="225" t="s">
        <v>513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489</v>
      </c>
      <c r="C17" s="239" t="s">
        <v>504</v>
      </c>
      <c r="D17" s="231" t="s">
        <v>515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416</v>
      </c>
      <c r="C18" s="238" t="s">
        <v>504</v>
      </c>
      <c r="D18" s="238" t="s">
        <v>515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561</v>
      </c>
      <c r="AL18" s="124">
        <v>5119</v>
      </c>
      <c r="AM18" s="124" t="s">
        <v>562</v>
      </c>
      <c r="AN18" s="276">
        <f>+AL18*0.0036</f>
        <v>18.4284</v>
      </c>
      <c r="AO18" s="125" t="s">
        <v>9</v>
      </c>
    </row>
    <row r="19" spans="2:45" x14ac:dyDescent="0.2">
      <c r="B19" s="142" t="s">
        <v>484</v>
      </c>
      <c r="AK19" s="124"/>
      <c r="AL19" s="124">
        <v>2300</v>
      </c>
      <c r="AM19" s="124" t="s">
        <v>562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562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488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490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563</v>
      </c>
      <c r="AL22" s="124">
        <v>3031</v>
      </c>
      <c r="AM22" s="124" t="s">
        <v>562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562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516</v>
      </c>
      <c r="C24" s="158" t="s">
        <v>519</v>
      </c>
      <c r="D24" s="158" t="s">
        <v>519</v>
      </c>
      <c r="E24" s="241" t="s">
        <v>521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517</v>
      </c>
      <c r="C25" s="159" t="s">
        <v>520</v>
      </c>
      <c r="D25" s="159" t="s">
        <v>514</v>
      </c>
      <c r="E25" s="242" t="s">
        <v>518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564</v>
      </c>
      <c r="AL27" s="277">
        <f>+AN24/AL15</f>
        <v>1.6840258914647084E-2</v>
      </c>
      <c r="AM27" s="124" t="s">
        <v>565</v>
      </c>
      <c r="AN27" s="124"/>
      <c r="AO27" s="125"/>
    </row>
    <row r="28" spans="2:45" ht="15" x14ac:dyDescent="0.25">
      <c r="B28" s="38" t="s">
        <v>539</v>
      </c>
      <c r="E28" s="38" t="s">
        <v>541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540</v>
      </c>
      <c r="E29" s="38" t="s">
        <v>542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569</v>
      </c>
    </row>
    <row r="30" spans="2:45" x14ac:dyDescent="0.2">
      <c r="B30" s="236"/>
      <c r="C30" s="236" t="s">
        <v>89</v>
      </c>
      <c r="D30" s="236" t="s">
        <v>90</v>
      </c>
      <c r="AK30" s="124" t="s">
        <v>566</v>
      </c>
      <c r="AL30" s="275">
        <f>3400/31</f>
        <v>109.6774193548387</v>
      </c>
      <c r="AM30" s="124" t="s">
        <v>567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488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267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562</v>
      </c>
    </row>
    <row r="32" spans="2:45" x14ac:dyDescent="0.2">
      <c r="B32" s="166" t="s">
        <v>490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652</v>
      </c>
      <c r="AK34" s="124" t="s">
        <v>568</v>
      </c>
      <c r="AL34" s="274">
        <f>825/31</f>
        <v>26.612903225806452</v>
      </c>
      <c r="AM34" s="124" t="s">
        <v>567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267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80" t="s">
        <v>280</v>
      </c>
      <c r="F41" s="481"/>
      <c r="G41" s="480" t="s">
        <v>486</v>
      </c>
      <c r="H41" s="483"/>
      <c r="I41" s="483"/>
      <c r="J41" s="483"/>
      <c r="K41" s="483"/>
      <c r="L41" s="483"/>
      <c r="M41" s="483"/>
      <c r="N41" s="481"/>
    </row>
    <row r="42" spans="2:43" ht="15" x14ac:dyDescent="0.25">
      <c r="B42"/>
      <c r="C42"/>
      <c r="D42"/>
      <c r="E42" s="175" t="s">
        <v>406</v>
      </c>
      <c r="F42" s="186" t="s">
        <v>407</v>
      </c>
      <c r="G42" s="172"/>
      <c r="K42" s="482" t="s">
        <v>333</v>
      </c>
      <c r="L42" s="482"/>
      <c r="M42" s="482"/>
      <c r="N42" s="174"/>
    </row>
    <row r="43" spans="2:43" ht="15" x14ac:dyDescent="0.25">
      <c r="D43" s="20"/>
      <c r="E43" s="175" t="s">
        <v>462</v>
      </c>
      <c r="F43" s="187" t="s">
        <v>284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249</v>
      </c>
      <c r="C44" s="121" t="s">
        <v>405</v>
      </c>
      <c r="D44" s="20"/>
      <c r="E44" s="175" t="s">
        <v>473</v>
      </c>
      <c r="F44" s="187" t="s">
        <v>475</v>
      </c>
      <c r="G44" s="175" t="s">
        <v>473</v>
      </c>
      <c r="I44" s="38" t="s">
        <v>353</v>
      </c>
      <c r="J44" s="176" t="s">
        <v>487</v>
      </c>
      <c r="K44" s="173" t="s">
        <v>401</v>
      </c>
      <c r="L44" s="173" t="s">
        <v>402</v>
      </c>
      <c r="M44" s="173" t="s">
        <v>403</v>
      </c>
      <c r="N44" s="177" t="s">
        <v>474</v>
      </c>
    </row>
    <row r="45" spans="2:43" ht="15" x14ac:dyDescent="0.25">
      <c r="B45" s="102" t="s">
        <v>408</v>
      </c>
      <c r="C45" s="155" t="s">
        <v>467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476</v>
      </c>
      <c r="I45" s="157">
        <f>47.6420911660953*1000</f>
        <v>47642.091166095299</v>
      </c>
      <c r="J45" s="165" t="s">
        <v>485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409</v>
      </c>
      <c r="C46" s="144" t="s">
        <v>466</v>
      </c>
      <c r="D46" s="145" t="s">
        <v>52</v>
      </c>
      <c r="E46" s="471">
        <f>+G114</f>
        <v>6.0871741676095334</v>
      </c>
      <c r="F46" s="474">
        <f>+L114*1000</f>
        <v>77.841777688967127</v>
      </c>
      <c r="G46" s="465">
        <v>6.0871741676095334</v>
      </c>
      <c r="H46" s="468" t="s">
        <v>476</v>
      </c>
      <c r="I46" s="468">
        <v>40670.462586675276</v>
      </c>
      <c r="J46" s="477" t="s">
        <v>482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414</v>
      </c>
      <c r="C47" t="s">
        <v>466</v>
      </c>
      <c r="D47" s="19" t="s">
        <v>67</v>
      </c>
      <c r="E47" s="472"/>
      <c r="F47" s="475"/>
      <c r="G47" s="466"/>
      <c r="H47" s="469"/>
      <c r="I47" s="469"/>
      <c r="J47" s="478"/>
      <c r="N47" s="179"/>
    </row>
    <row r="48" spans="2:43" ht="15" x14ac:dyDescent="0.25">
      <c r="B48" s="151" t="s">
        <v>410</v>
      </c>
      <c r="C48" s="152" t="s">
        <v>466</v>
      </c>
      <c r="D48" s="153" t="s">
        <v>53</v>
      </c>
      <c r="E48" s="473"/>
      <c r="F48" s="476"/>
      <c r="G48" s="467"/>
      <c r="H48" s="470"/>
      <c r="I48" s="470"/>
      <c r="J48" s="479"/>
      <c r="N48" s="179"/>
    </row>
    <row r="49" spans="2:14" ht="15" x14ac:dyDescent="0.25">
      <c r="B49" s="143" t="s">
        <v>411</v>
      </c>
      <c r="C49" s="144" t="s">
        <v>465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476</v>
      </c>
      <c r="I49" s="158">
        <v>45329.53267685703</v>
      </c>
      <c r="J49" s="147" t="s">
        <v>480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412</v>
      </c>
      <c r="C50" t="s">
        <v>464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477</v>
      </c>
      <c r="I50" s="38">
        <v>42418.466233751533</v>
      </c>
      <c r="J50" s="150" t="s">
        <v>481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463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477</v>
      </c>
      <c r="I51" s="38">
        <v>35576.910585045494</v>
      </c>
      <c r="J51" s="150" t="s">
        <v>361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413</v>
      </c>
      <c r="C52" t="s">
        <v>469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476</v>
      </c>
      <c r="I52" s="38">
        <v>45989.410956446904</v>
      </c>
      <c r="J52" s="150" t="s">
        <v>483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415</v>
      </c>
      <c r="C53" t="s">
        <v>468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476</v>
      </c>
      <c r="I53" s="38">
        <v>40442.162000000004</v>
      </c>
      <c r="J53" s="150" t="s">
        <v>478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470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476</v>
      </c>
      <c r="I54" s="158">
        <v>22480.19962297516</v>
      </c>
      <c r="J54" s="147" t="s">
        <v>404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471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476</v>
      </c>
      <c r="I55" s="159">
        <v>37907.854789510107</v>
      </c>
      <c r="J55" s="154" t="s">
        <v>479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489</v>
      </c>
      <c r="C56" t="s">
        <v>472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477</v>
      </c>
      <c r="I56" s="146">
        <v>40659.333347540545</v>
      </c>
      <c r="J56" s="147" t="s">
        <v>369</v>
      </c>
      <c r="N56" s="174"/>
    </row>
    <row r="57" spans="2:14" ht="15" x14ac:dyDescent="0.25">
      <c r="B57" t="s">
        <v>416</v>
      </c>
      <c r="C57" t="s">
        <v>472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484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488</v>
      </c>
      <c r="C60" s="167">
        <v>0.1</v>
      </c>
      <c r="D60" s="167">
        <v>0.1</v>
      </c>
    </row>
    <row r="61" spans="2:14" x14ac:dyDescent="0.2">
      <c r="B61" s="166" t="s">
        <v>490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8" spans="2:23" ht="15" x14ac:dyDescent="0.25">
      <c r="N98" s="1">
        <v>24843</v>
      </c>
      <c r="O98" s="1" t="s">
        <v>706</v>
      </c>
    </row>
    <row r="99" spans="2:23" x14ac:dyDescent="0.2">
      <c r="K99" s="124" t="s">
        <v>705</v>
      </c>
      <c r="N99" s="125">
        <f>+N98*12000</f>
        <v>298116000</v>
      </c>
      <c r="O99" s="38" t="s">
        <v>455</v>
      </c>
    </row>
    <row r="100" spans="2:23" x14ac:dyDescent="0.2">
      <c r="H100" s="38" t="s">
        <v>707</v>
      </c>
      <c r="I100" s="38">
        <f>27934768*1000</f>
        <v>27934768000</v>
      </c>
      <c r="J100" s="124" t="s">
        <v>704</v>
      </c>
      <c r="N100" s="125">
        <f>+N99/(1000000000)</f>
        <v>0.29811599999999999</v>
      </c>
      <c r="O100" s="38" t="s">
        <v>257</v>
      </c>
    </row>
    <row r="101" spans="2:23" x14ac:dyDescent="0.2">
      <c r="I101" s="38">
        <f>+I100*1000</f>
        <v>27934768000000</v>
      </c>
      <c r="J101" s="124" t="s">
        <v>455</v>
      </c>
      <c r="N101" s="125">
        <f>+N100*G109/J109</f>
        <v>0.31452907449600004</v>
      </c>
      <c r="O101" s="38" t="s">
        <v>254</v>
      </c>
    </row>
    <row r="102" spans="2:23" ht="15" x14ac:dyDescent="0.25">
      <c r="B102" s="123" t="s">
        <v>417</v>
      </c>
      <c r="I102" s="38">
        <f>+I101/(1000000000)</f>
        <v>27934.768</v>
      </c>
      <c r="J102" s="124" t="s">
        <v>257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254</v>
      </c>
      <c r="P103" s="38">
        <v>186633</v>
      </c>
    </row>
    <row r="104" spans="2:23" x14ac:dyDescent="0.2">
      <c r="B104" s="126" t="s">
        <v>418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60" t="s">
        <v>247</v>
      </c>
      <c r="C106" s="461"/>
      <c r="D106" s="461"/>
      <c r="E106" s="461"/>
      <c r="F106" s="461"/>
      <c r="G106" s="461"/>
      <c r="H106" s="461"/>
      <c r="I106" s="461"/>
      <c r="J106" s="461"/>
      <c r="K106" s="461"/>
      <c r="L106" s="462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248</v>
      </c>
      <c r="C107" s="77" t="s">
        <v>249</v>
      </c>
      <c r="D107" s="457" t="s">
        <v>250</v>
      </c>
      <c r="E107" s="458"/>
      <c r="F107" s="458"/>
      <c r="G107" s="458"/>
      <c r="H107" s="458"/>
      <c r="I107" s="458"/>
      <c r="J107" s="459"/>
      <c r="K107" s="80" t="s">
        <v>251</v>
      </c>
      <c r="L107" s="81"/>
      <c r="M107" s="134"/>
      <c r="N107" s="134"/>
    </row>
    <row r="108" spans="2:23" ht="24" x14ac:dyDescent="0.2">
      <c r="B108" s="76"/>
      <c r="C108" s="76"/>
      <c r="D108" s="82" t="s">
        <v>252</v>
      </c>
      <c r="E108" s="82" t="s">
        <v>252</v>
      </c>
      <c r="F108" s="82" t="s">
        <v>253</v>
      </c>
      <c r="G108" s="82" t="s">
        <v>254</v>
      </c>
      <c r="H108" s="82" t="s">
        <v>255</v>
      </c>
      <c r="I108" s="82" t="s">
        <v>256</v>
      </c>
      <c r="J108" s="82" t="s">
        <v>257</v>
      </c>
      <c r="K108" s="82" t="s">
        <v>258</v>
      </c>
      <c r="L108" s="82" t="s">
        <v>259</v>
      </c>
      <c r="M108" s="134"/>
      <c r="N108" s="134"/>
      <c r="S108" s="38" t="s">
        <v>419</v>
      </c>
      <c r="T108" s="38" t="s">
        <v>420</v>
      </c>
    </row>
    <row r="109" spans="2:23" x14ac:dyDescent="0.2">
      <c r="B109" s="83" t="s">
        <v>260</v>
      </c>
      <c r="C109" s="84" t="s">
        <v>261</v>
      </c>
      <c r="D109" s="85" t="s">
        <v>262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421</v>
      </c>
      <c r="N109" s="86" t="s">
        <v>422</v>
      </c>
      <c r="O109" s="435">
        <f>+G109/J109</f>
        <v>1.0550560000000002</v>
      </c>
      <c r="R109" s="83" t="s">
        <v>260</v>
      </c>
      <c r="S109" s="38">
        <f>N203</f>
        <v>750</v>
      </c>
      <c r="T109" s="38">
        <v>1240</v>
      </c>
    </row>
    <row r="110" spans="2:23" x14ac:dyDescent="0.2">
      <c r="B110" s="88" t="s">
        <v>263</v>
      </c>
      <c r="C110" s="89" t="s">
        <v>264</v>
      </c>
      <c r="D110" s="90" t="s">
        <v>262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421</v>
      </c>
      <c r="N110" s="91" t="s">
        <v>423</v>
      </c>
      <c r="R110" s="88" t="s">
        <v>263</v>
      </c>
      <c r="S110" s="38">
        <f>N192</f>
        <v>25</v>
      </c>
      <c r="T110" s="38">
        <v>465</v>
      </c>
    </row>
    <row r="111" spans="2:23" x14ac:dyDescent="0.2">
      <c r="B111" s="83" t="s">
        <v>265</v>
      </c>
      <c r="C111" s="84" t="s">
        <v>266</v>
      </c>
      <c r="D111" s="85" t="s">
        <v>267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421</v>
      </c>
      <c r="N111" s="86" t="s">
        <v>423</v>
      </c>
      <c r="O111" s="38" t="s">
        <v>424</v>
      </c>
      <c r="P111" s="129">
        <f>H111*1000000/H143</f>
        <v>9.9033845712759661</v>
      </c>
      <c r="Q111" s="129"/>
      <c r="R111" s="83" t="s">
        <v>265</v>
      </c>
      <c r="S111" s="38">
        <f>N166</f>
        <v>25</v>
      </c>
      <c r="T111" s="38">
        <v>31</v>
      </c>
    </row>
    <row r="112" spans="2:23" x14ac:dyDescent="0.2">
      <c r="B112" s="88" t="s">
        <v>268</v>
      </c>
      <c r="C112" s="89" t="s">
        <v>269</v>
      </c>
      <c r="D112" s="90" t="s">
        <v>255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421</v>
      </c>
      <c r="N112" s="91" t="s">
        <v>422</v>
      </c>
      <c r="R112" s="88" t="s">
        <v>268</v>
      </c>
      <c r="S112" s="38">
        <v>0</v>
      </c>
      <c r="T112" s="38">
        <v>0</v>
      </c>
    </row>
    <row r="113" spans="2:20" x14ac:dyDescent="0.2">
      <c r="B113" s="83" t="s">
        <v>270</v>
      </c>
      <c r="C113" s="84" t="s">
        <v>271</v>
      </c>
      <c r="D113" s="85" t="s">
        <v>262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421</v>
      </c>
      <c r="N113" s="86" t="s">
        <v>422</v>
      </c>
      <c r="R113" s="83" t="s">
        <v>270</v>
      </c>
      <c r="S113" s="38">
        <f>N210</f>
        <v>750</v>
      </c>
      <c r="T113" s="38">
        <v>1240</v>
      </c>
    </row>
    <row r="114" spans="2:20" x14ac:dyDescent="0.2">
      <c r="B114" s="88" t="s">
        <v>272</v>
      </c>
      <c r="C114" s="89" t="s">
        <v>273</v>
      </c>
      <c r="D114" s="90" t="s">
        <v>274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421</v>
      </c>
      <c r="N114" s="91" t="s">
        <v>423</v>
      </c>
      <c r="R114" s="88" t="s">
        <v>272</v>
      </c>
      <c r="S114" s="38">
        <v>75</v>
      </c>
      <c r="T114" s="38">
        <v>186</v>
      </c>
    </row>
    <row r="115" spans="2:20" x14ac:dyDescent="0.2">
      <c r="B115" s="83" t="s">
        <v>276</v>
      </c>
      <c r="C115" s="84" t="s">
        <v>277</v>
      </c>
      <c r="D115" s="85" t="s">
        <v>254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421</v>
      </c>
      <c r="N115" s="86" t="s">
        <v>422</v>
      </c>
      <c r="R115" s="83" t="s">
        <v>276</v>
      </c>
      <c r="S115" s="38">
        <f>N212</f>
        <v>750</v>
      </c>
      <c r="T115" s="38">
        <v>0.31</v>
      </c>
    </row>
    <row r="116" spans="2:20" x14ac:dyDescent="0.2">
      <c r="B116" s="93" t="s">
        <v>278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278</v>
      </c>
      <c r="S116" s="38">
        <v>750</v>
      </c>
      <c r="T116" s="38">
        <v>1240</v>
      </c>
    </row>
    <row r="117" spans="2:20" x14ac:dyDescent="0.2">
      <c r="B117" s="98"/>
      <c r="C117" s="99" t="s">
        <v>279</v>
      </c>
      <c r="D117" s="90" t="s">
        <v>262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421</v>
      </c>
      <c r="N117" s="91" t="s">
        <v>422</v>
      </c>
      <c r="R117" s="98"/>
    </row>
    <row r="118" spans="2:20" x14ac:dyDescent="0.2">
      <c r="B118" s="100"/>
      <c r="C118" s="101" t="s">
        <v>281</v>
      </c>
      <c r="D118" s="85" t="s">
        <v>262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421</v>
      </c>
      <c r="N118" s="86" t="s">
        <v>422</v>
      </c>
      <c r="R118" s="100"/>
    </row>
    <row r="119" spans="2:20" x14ac:dyDescent="0.2">
      <c r="B119" s="98"/>
      <c r="C119" s="99" t="s">
        <v>283</v>
      </c>
      <c r="D119" s="90" t="s">
        <v>262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421</v>
      </c>
      <c r="N119" s="91" t="s">
        <v>422</v>
      </c>
      <c r="R119" s="98"/>
    </row>
    <row r="120" spans="2:20" x14ac:dyDescent="0.2">
      <c r="B120" s="83" t="s">
        <v>285</v>
      </c>
      <c r="C120" s="84" t="s">
        <v>286</v>
      </c>
      <c r="D120" s="85" t="s">
        <v>255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421</v>
      </c>
      <c r="N120" s="86" t="s">
        <v>422</v>
      </c>
      <c r="R120" s="83" t="s">
        <v>285</v>
      </c>
      <c r="S120" s="38">
        <v>750</v>
      </c>
      <c r="T120" s="38">
        <v>1240</v>
      </c>
    </row>
    <row r="121" spans="2:20" x14ac:dyDescent="0.2">
      <c r="B121" s="88" t="s">
        <v>287</v>
      </c>
      <c r="C121" s="89" t="s">
        <v>288</v>
      </c>
      <c r="D121" s="90" t="s">
        <v>289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421</v>
      </c>
      <c r="N121" s="91" t="s">
        <v>422</v>
      </c>
      <c r="R121" s="88" t="s">
        <v>287</v>
      </c>
      <c r="S121" s="38">
        <v>0</v>
      </c>
      <c r="T121" s="38">
        <v>0</v>
      </c>
    </row>
    <row r="122" spans="2:20" x14ac:dyDescent="0.2">
      <c r="B122" s="83" t="s">
        <v>290</v>
      </c>
      <c r="C122" s="84" t="s">
        <v>291</v>
      </c>
      <c r="D122" s="85" t="s">
        <v>289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421</v>
      </c>
      <c r="N122" s="86" t="s">
        <v>422</v>
      </c>
      <c r="R122" s="83" t="s">
        <v>290</v>
      </c>
      <c r="S122" s="38">
        <v>0</v>
      </c>
      <c r="T122" s="38">
        <v>0</v>
      </c>
    </row>
    <row r="123" spans="2:20" x14ac:dyDescent="0.2">
      <c r="B123" s="460" t="s">
        <v>292</v>
      </c>
      <c r="C123" s="461"/>
      <c r="D123" s="461"/>
      <c r="E123" s="461"/>
      <c r="F123" s="461"/>
      <c r="G123" s="461"/>
      <c r="H123" s="461"/>
      <c r="I123" s="461"/>
      <c r="J123" s="461"/>
      <c r="K123" s="461"/>
      <c r="L123" s="462"/>
      <c r="M123" s="136"/>
      <c r="N123" s="136"/>
      <c r="P123" s="38" t="s">
        <v>425</v>
      </c>
    </row>
    <row r="124" spans="2:20" x14ac:dyDescent="0.2">
      <c r="B124" s="83" t="s">
        <v>293</v>
      </c>
      <c r="C124" s="84" t="s">
        <v>294</v>
      </c>
      <c r="D124" s="85" t="s">
        <v>274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426</v>
      </c>
      <c r="N124" s="86" t="s">
        <v>422</v>
      </c>
      <c r="R124" s="83" t="s">
        <v>293</v>
      </c>
      <c r="S124" s="38">
        <v>75</v>
      </c>
      <c r="T124" s="38">
        <v>186</v>
      </c>
    </row>
    <row r="125" spans="2:20" x14ac:dyDescent="0.2">
      <c r="B125" s="88" t="s">
        <v>295</v>
      </c>
      <c r="C125" s="89" t="s">
        <v>296</v>
      </c>
      <c r="D125" s="90" t="s">
        <v>274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426</v>
      </c>
      <c r="N125" s="91" t="s">
        <v>422</v>
      </c>
      <c r="R125" s="88" t="s">
        <v>295</v>
      </c>
      <c r="S125" s="38">
        <v>75</v>
      </c>
      <c r="T125" s="38">
        <v>186</v>
      </c>
    </row>
    <row r="126" spans="2:20" x14ac:dyDescent="0.2">
      <c r="B126" s="83" t="s">
        <v>297</v>
      </c>
      <c r="C126" s="84" t="s">
        <v>298</v>
      </c>
      <c r="D126" s="85" t="s">
        <v>262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426</v>
      </c>
      <c r="N126" s="86" t="s">
        <v>422</v>
      </c>
      <c r="R126" s="83" t="s">
        <v>297</v>
      </c>
      <c r="S126" s="125">
        <v>750</v>
      </c>
      <c r="T126" s="38">
        <v>1240</v>
      </c>
    </row>
    <row r="127" spans="2:20" x14ac:dyDescent="0.2">
      <c r="B127" s="88" t="s">
        <v>299</v>
      </c>
      <c r="C127" s="89" t="s">
        <v>300</v>
      </c>
      <c r="D127" s="90" t="s">
        <v>262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426</v>
      </c>
      <c r="N127" s="91" t="s">
        <v>423</v>
      </c>
      <c r="R127" s="88" t="s">
        <v>299</v>
      </c>
      <c r="S127" s="38">
        <v>25</v>
      </c>
      <c r="T127" s="38">
        <v>465</v>
      </c>
    </row>
    <row r="128" spans="2:20" x14ac:dyDescent="0.2">
      <c r="B128" s="83" t="s">
        <v>301</v>
      </c>
      <c r="C128" s="84" t="s">
        <v>302</v>
      </c>
      <c r="D128" s="85" t="s">
        <v>274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426</v>
      </c>
      <c r="N128" s="86" t="s">
        <v>423</v>
      </c>
      <c r="O128" s="38" t="s">
        <v>427</v>
      </c>
      <c r="P128" s="129">
        <f>H128/42000*1000000</f>
        <v>37.50562063532594</v>
      </c>
      <c r="Q128" s="129">
        <f>P128*0.3</f>
        <v>11.251686190597782</v>
      </c>
      <c r="R128" s="83" t="s">
        <v>301</v>
      </c>
      <c r="S128" s="38">
        <v>75</v>
      </c>
      <c r="T128" s="38">
        <v>186</v>
      </c>
    </row>
    <row r="129" spans="2:20" x14ac:dyDescent="0.2">
      <c r="B129" s="88" t="s">
        <v>303</v>
      </c>
      <c r="C129" s="89" t="s">
        <v>304</v>
      </c>
      <c r="D129" s="90" t="s">
        <v>255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426</v>
      </c>
      <c r="N129" s="91"/>
      <c r="R129" s="88" t="s">
        <v>303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305</v>
      </c>
      <c r="C130" s="84" t="s">
        <v>306</v>
      </c>
      <c r="D130" s="85" t="s">
        <v>255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426</v>
      </c>
      <c r="N130" s="86"/>
      <c r="R130" s="83" t="s">
        <v>305</v>
      </c>
      <c r="S130" s="38">
        <v>0</v>
      </c>
      <c r="T130" s="38">
        <v>0</v>
      </c>
    </row>
    <row r="131" spans="2:20" x14ac:dyDescent="0.2">
      <c r="B131" s="88" t="s">
        <v>307</v>
      </c>
      <c r="C131" s="89" t="s">
        <v>308</v>
      </c>
      <c r="D131" s="90" t="s">
        <v>274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426</v>
      </c>
      <c r="N131" s="91" t="s">
        <v>423</v>
      </c>
      <c r="R131" s="88" t="s">
        <v>307</v>
      </c>
      <c r="S131" s="38">
        <v>75</v>
      </c>
      <c r="T131" s="38">
        <v>186</v>
      </c>
    </row>
    <row r="132" spans="2:20" x14ac:dyDescent="0.2">
      <c r="B132" s="83" t="s">
        <v>309</v>
      </c>
      <c r="C132" s="84" t="s">
        <v>310</v>
      </c>
      <c r="D132" s="85" t="s">
        <v>289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426</v>
      </c>
      <c r="N132" s="86" t="s">
        <v>423</v>
      </c>
      <c r="R132" s="83" t="s">
        <v>309</v>
      </c>
      <c r="S132" s="38">
        <v>25</v>
      </c>
      <c r="T132" s="38">
        <v>31</v>
      </c>
    </row>
    <row r="133" spans="2:20" x14ac:dyDescent="0.2">
      <c r="B133" s="88" t="s">
        <v>311</v>
      </c>
      <c r="C133" s="89" t="s">
        <v>312</v>
      </c>
      <c r="D133" s="90" t="s">
        <v>274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426</v>
      </c>
      <c r="N133" s="91" t="s">
        <v>423</v>
      </c>
      <c r="R133" s="88" t="s">
        <v>311</v>
      </c>
      <c r="S133" s="38">
        <v>25</v>
      </c>
      <c r="T133" s="38">
        <v>31</v>
      </c>
    </row>
    <row r="134" spans="2:20" x14ac:dyDescent="0.2">
      <c r="B134" s="83" t="s">
        <v>313</v>
      </c>
      <c r="C134" s="84" t="s">
        <v>314</v>
      </c>
      <c r="D134" s="85" t="s">
        <v>274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426</v>
      </c>
      <c r="N134" s="86" t="s">
        <v>423</v>
      </c>
      <c r="O134" s="38" t="s">
        <v>427</v>
      </c>
      <c r="P134" s="129">
        <f>H134/42000*1000000</f>
        <v>35.257266762367934</v>
      </c>
      <c r="R134" s="83" t="s">
        <v>313</v>
      </c>
      <c r="S134" s="38">
        <v>25</v>
      </c>
      <c r="T134" s="38">
        <v>186</v>
      </c>
    </row>
    <row r="135" spans="2:20" x14ac:dyDescent="0.2">
      <c r="B135" s="88" t="s">
        <v>315</v>
      </c>
      <c r="C135" s="89" t="s">
        <v>316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426</v>
      </c>
      <c r="N135" s="91" t="s">
        <v>423</v>
      </c>
      <c r="R135" s="88" t="s">
        <v>315</v>
      </c>
      <c r="S135" s="38">
        <v>25</v>
      </c>
      <c r="T135" s="38">
        <v>31</v>
      </c>
    </row>
    <row r="136" spans="2:20" x14ac:dyDescent="0.2">
      <c r="B136" s="83" t="s">
        <v>317</v>
      </c>
      <c r="C136" s="84" t="s">
        <v>318</v>
      </c>
      <c r="D136" s="85" t="s">
        <v>274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426</v>
      </c>
      <c r="N136" s="86" t="s">
        <v>423</v>
      </c>
      <c r="R136" s="83" t="s">
        <v>317</v>
      </c>
      <c r="S136" s="38">
        <v>75</v>
      </c>
      <c r="T136" s="38">
        <v>186</v>
      </c>
    </row>
    <row r="137" spans="2:20" x14ac:dyDescent="0.2">
      <c r="B137" s="88" t="s">
        <v>319</v>
      </c>
      <c r="C137" s="89" t="s">
        <v>320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319</v>
      </c>
      <c r="S137" s="38">
        <v>75</v>
      </c>
      <c r="T137" s="38">
        <v>186</v>
      </c>
    </row>
    <row r="138" spans="2:20" x14ac:dyDescent="0.2">
      <c r="B138" s="83" t="s">
        <v>321</v>
      </c>
      <c r="C138" s="84" t="s">
        <v>322</v>
      </c>
      <c r="D138" s="85" t="s">
        <v>275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426</v>
      </c>
      <c r="N138" s="86"/>
      <c r="R138" s="83" t="s">
        <v>321</v>
      </c>
      <c r="S138" s="38">
        <v>0</v>
      </c>
      <c r="T138" s="38">
        <v>0</v>
      </c>
    </row>
    <row r="140" spans="2:20" x14ac:dyDescent="0.2">
      <c r="B140" s="463"/>
      <c r="C140" s="463"/>
      <c r="D140" s="463"/>
      <c r="E140" s="463"/>
      <c r="G140" s="464" t="s">
        <v>428</v>
      </c>
      <c r="H140" s="464"/>
      <c r="I140" s="464"/>
    </row>
    <row r="141" spans="2:20" x14ac:dyDescent="0.2">
      <c r="B141" s="83" t="str">
        <f t="array" ref="B141:B146">TRANSPOSE(E108:J108)</f>
        <v>UO</v>
      </c>
      <c r="C141" s="84" t="s">
        <v>429</v>
      </c>
      <c r="D141" s="85"/>
      <c r="E141" s="83">
        <v>2006</v>
      </c>
      <c r="G141" s="82" t="s">
        <v>430</v>
      </c>
      <c r="H141" s="82" t="s">
        <v>431</v>
      </c>
      <c r="I141" s="82" t="s">
        <v>432</v>
      </c>
      <c r="L141" s="82" t="s">
        <v>430</v>
      </c>
      <c r="M141" s="82" t="s">
        <v>432</v>
      </c>
    </row>
    <row r="142" spans="2:20" x14ac:dyDescent="0.2">
      <c r="B142" s="88" t="str">
        <v>TCal</v>
      </c>
      <c r="C142" s="89" t="s">
        <v>433</v>
      </c>
      <c r="D142" s="90"/>
      <c r="E142" s="88">
        <v>2007</v>
      </c>
      <c r="G142" s="137" t="s">
        <v>434</v>
      </c>
      <c r="H142" s="138">
        <v>35.31467</v>
      </c>
      <c r="I142" s="137" t="s">
        <v>435</v>
      </c>
      <c r="L142" s="137" t="s">
        <v>424</v>
      </c>
      <c r="M142" s="137" t="s">
        <v>435</v>
      </c>
    </row>
    <row r="143" spans="2:20" x14ac:dyDescent="0.2">
      <c r="B143" s="83" t="str">
        <v>TJ</v>
      </c>
      <c r="C143" s="84" t="s">
        <v>436</v>
      </c>
      <c r="D143" s="85"/>
      <c r="E143" s="83">
        <v>2008</v>
      </c>
      <c r="G143" s="111" t="s">
        <v>437</v>
      </c>
      <c r="H143" s="110">
        <f>1000000/H142</f>
        <v>28316.843963146195</v>
      </c>
      <c r="I143" s="111" t="s">
        <v>424</v>
      </c>
      <c r="L143" s="111" t="s">
        <v>438</v>
      </c>
      <c r="M143" s="111" t="s">
        <v>424</v>
      </c>
    </row>
    <row r="144" spans="2:20" x14ac:dyDescent="0.2">
      <c r="B144" s="88" t="str">
        <v>GWh</v>
      </c>
      <c r="C144" s="89" t="s">
        <v>439</v>
      </c>
      <c r="D144" s="90"/>
      <c r="E144" s="88">
        <v>2009</v>
      </c>
      <c r="G144" s="137" t="s">
        <v>440</v>
      </c>
      <c r="H144" s="138">
        <v>3.7854117999999999</v>
      </c>
      <c r="I144" s="137" t="s">
        <v>441</v>
      </c>
      <c r="L144" s="137" t="s">
        <v>427</v>
      </c>
      <c r="M144" s="137" t="s">
        <v>441</v>
      </c>
    </row>
    <row r="145" spans="2:18" ht="22.5" x14ac:dyDescent="0.2">
      <c r="B145" s="83" t="str">
        <v>KTEP</v>
      </c>
      <c r="C145" s="84" t="s">
        <v>442</v>
      </c>
      <c r="D145" s="85"/>
      <c r="E145" s="83">
        <v>2010</v>
      </c>
      <c r="G145" s="111" t="s">
        <v>443</v>
      </c>
      <c r="H145" s="110">
        <v>42</v>
      </c>
      <c r="I145" s="111" t="s">
        <v>427</v>
      </c>
      <c r="L145" s="111" t="s">
        <v>444</v>
      </c>
      <c r="M145" s="111" t="s">
        <v>427</v>
      </c>
    </row>
    <row r="146" spans="2:18" ht="22.5" x14ac:dyDescent="0.2">
      <c r="B146" s="88" t="str">
        <v>GBTU</v>
      </c>
      <c r="C146" s="89" t="s">
        <v>445</v>
      </c>
      <c r="D146" s="90"/>
      <c r="E146" s="88">
        <v>2011</v>
      </c>
      <c r="G146" s="137" t="s">
        <v>434</v>
      </c>
      <c r="H146" s="138">
        <f>1000/H144/H145</f>
        <v>6.2898107438466297</v>
      </c>
      <c r="I146" s="137" t="s">
        <v>444</v>
      </c>
      <c r="L146" s="137" t="s">
        <v>424</v>
      </c>
      <c r="M146" s="137" t="s">
        <v>444</v>
      </c>
      <c r="R146" s="38">
        <v>3517.2031699650001</v>
      </c>
    </row>
    <row r="147" spans="2:18" ht="24" x14ac:dyDescent="0.2">
      <c r="B147" s="83" t="s">
        <v>446</v>
      </c>
      <c r="C147" s="84" t="s">
        <v>447</v>
      </c>
      <c r="D147" s="85"/>
      <c r="E147" s="83">
        <v>2012</v>
      </c>
      <c r="G147" s="111" t="s">
        <v>434</v>
      </c>
      <c r="H147" s="110">
        <v>1000</v>
      </c>
      <c r="I147" s="111" t="s">
        <v>441</v>
      </c>
      <c r="L147" s="111" t="s">
        <v>424</v>
      </c>
      <c r="M147" s="111" t="s">
        <v>441</v>
      </c>
      <c r="R147" s="38">
        <v>1.055056</v>
      </c>
    </row>
    <row r="148" spans="2:18" x14ac:dyDescent="0.2">
      <c r="B148" s="88" t="s">
        <v>262</v>
      </c>
      <c r="C148" s="89" t="s">
        <v>448</v>
      </c>
      <c r="D148" s="90"/>
      <c r="E148" s="88">
        <v>2013</v>
      </c>
      <c r="G148" s="137" t="s">
        <v>449</v>
      </c>
      <c r="H148" s="138">
        <v>1000</v>
      </c>
      <c r="I148" s="137" t="s">
        <v>444</v>
      </c>
      <c r="L148" s="137" t="s">
        <v>275</v>
      </c>
      <c r="M148" s="137" t="s">
        <v>444</v>
      </c>
      <c r="R148" s="38">
        <f>+R146*R147</f>
        <v>3710.8463076905932</v>
      </c>
    </row>
    <row r="149" spans="2:18" x14ac:dyDescent="0.2">
      <c r="B149" s="83" t="s">
        <v>267</v>
      </c>
      <c r="C149" s="84" t="s">
        <v>450</v>
      </c>
      <c r="D149" s="85"/>
      <c r="E149" s="83">
        <v>2014</v>
      </c>
      <c r="G149" s="111" t="s">
        <v>451</v>
      </c>
      <c r="H149" s="139">
        <f>1/H144/H145/H148</f>
        <v>6.2898107438466298E-6</v>
      </c>
      <c r="I149" s="111" t="s">
        <v>275</v>
      </c>
      <c r="L149" s="111" t="s">
        <v>441</v>
      </c>
      <c r="M149" s="111" t="s">
        <v>275</v>
      </c>
    </row>
    <row r="150" spans="2:18" x14ac:dyDescent="0.2">
      <c r="B150" s="88" t="s">
        <v>275</v>
      </c>
      <c r="C150" s="89" t="s">
        <v>452</v>
      </c>
      <c r="D150" s="90"/>
      <c r="E150" s="88">
        <v>2015</v>
      </c>
      <c r="G150" s="137" t="s">
        <v>453</v>
      </c>
      <c r="H150" s="138">
        <v>1055.056</v>
      </c>
      <c r="I150" s="137" t="s">
        <v>454</v>
      </c>
      <c r="L150" s="137" t="s">
        <v>455</v>
      </c>
      <c r="M150" s="137" t="s">
        <v>454</v>
      </c>
    </row>
    <row r="151" spans="2:18" x14ac:dyDescent="0.2">
      <c r="E151" s="83">
        <v>2016</v>
      </c>
      <c r="G151" s="111" t="s">
        <v>456</v>
      </c>
      <c r="H151" s="110">
        <v>3600</v>
      </c>
      <c r="I151" s="111" t="s">
        <v>454</v>
      </c>
      <c r="L151" s="111" t="s">
        <v>457</v>
      </c>
      <c r="M151" s="111" t="s">
        <v>454</v>
      </c>
    </row>
    <row r="152" spans="2:18" x14ac:dyDescent="0.2">
      <c r="E152" s="88">
        <v>2017</v>
      </c>
      <c r="G152" s="137" t="s">
        <v>434</v>
      </c>
      <c r="H152" s="138">
        <f>H147/H144</f>
        <v>264.17205124155845</v>
      </c>
      <c r="I152" s="137" t="s">
        <v>427</v>
      </c>
      <c r="L152" s="137" t="s">
        <v>424</v>
      </c>
      <c r="M152" s="137" t="s">
        <v>427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323</v>
      </c>
      <c r="F155" s="103" t="s">
        <v>324</v>
      </c>
      <c r="G155" s="103"/>
      <c r="H155" s="103" t="s">
        <v>325</v>
      </c>
      <c r="I155" s="103"/>
      <c r="J155" s="103"/>
      <c r="K155" s="103"/>
      <c r="L155" s="103" t="s">
        <v>282</v>
      </c>
      <c r="M155" s="124" t="s">
        <v>458</v>
      </c>
      <c r="N155" s="125" t="s">
        <v>459</v>
      </c>
      <c r="O155" s="38" t="s">
        <v>460</v>
      </c>
      <c r="P155" s="38" t="s">
        <v>461</v>
      </c>
    </row>
    <row r="156" spans="2:18" x14ac:dyDescent="0.2">
      <c r="C156" s="78" t="s">
        <v>326</v>
      </c>
      <c r="D156" s="79"/>
      <c r="E156" s="82"/>
      <c r="F156" s="82" t="s">
        <v>327</v>
      </c>
      <c r="G156" s="82" t="s">
        <v>328</v>
      </c>
      <c r="H156" s="82" t="s">
        <v>329</v>
      </c>
      <c r="I156" s="82" t="s">
        <v>330</v>
      </c>
      <c r="J156" s="82" t="s">
        <v>331</v>
      </c>
      <c r="K156" s="82" t="s">
        <v>332</v>
      </c>
      <c r="L156" s="82" t="s">
        <v>333</v>
      </c>
      <c r="M156" s="124" t="s">
        <v>333</v>
      </c>
    </row>
    <row r="157" spans="2:18" x14ac:dyDescent="0.2">
      <c r="C157" s="104" t="s">
        <v>334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335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336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337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338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339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340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341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342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343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344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345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346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347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348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349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350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351</v>
      </c>
      <c r="D174" s="79"/>
      <c r="E174" s="82" t="s">
        <v>352</v>
      </c>
      <c r="F174" s="82" t="s">
        <v>353</v>
      </c>
      <c r="G174" s="82" t="s">
        <v>354</v>
      </c>
      <c r="H174" s="82" t="s">
        <v>355</v>
      </c>
      <c r="I174" s="82" t="s">
        <v>330</v>
      </c>
      <c r="J174" s="82" t="s">
        <v>356</v>
      </c>
      <c r="K174" s="82" t="s">
        <v>357</v>
      </c>
      <c r="L174" s="116" t="s">
        <v>333</v>
      </c>
      <c r="M174" s="142"/>
      <c r="O174" s="142"/>
    </row>
    <row r="175" spans="2:16" x14ac:dyDescent="0.2">
      <c r="C175" s="104" t="s">
        <v>358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359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360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361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362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363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364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365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366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367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368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369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370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371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372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373</v>
      </c>
      <c r="D191" s="79"/>
      <c r="E191" s="82"/>
      <c r="F191" s="82" t="s">
        <v>353</v>
      </c>
      <c r="G191" s="82" t="s">
        <v>374</v>
      </c>
      <c r="H191" s="82"/>
      <c r="I191" s="82"/>
      <c r="J191" s="82" t="s">
        <v>356</v>
      </c>
      <c r="K191" s="82" t="s">
        <v>375</v>
      </c>
      <c r="L191" s="116" t="s">
        <v>333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376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377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378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379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380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381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382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383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384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385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386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387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388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389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390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391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392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393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394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395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396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397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398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399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400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260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263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265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268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270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272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276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285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293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295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297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299</v>
      </c>
      <c r="C230" s="88" t="str">
        <f t="shared" si="33"/>
        <v>COQUE</v>
      </c>
      <c r="E230" s="88">
        <v>1986</v>
      </c>
    </row>
    <row r="231" spans="2:5" x14ac:dyDescent="0.2">
      <c r="B231" s="83" t="s">
        <v>301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303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305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307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309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311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313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317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236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237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238</v>
      </c>
      <c r="T3" s="251">
        <f>1/R3</f>
        <v>1.0550559865459262E-6</v>
      </c>
      <c r="U3" s="251" t="s">
        <v>239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206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133</v>
      </c>
      <c r="S7" s="251" t="s">
        <v>205</v>
      </c>
      <c r="T7" s="251" t="s">
        <v>207</v>
      </c>
      <c r="U7" s="251"/>
      <c r="V7" s="251" t="s">
        <v>207</v>
      </c>
      <c r="W7" s="251" t="s">
        <v>133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194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195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196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208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197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198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209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199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210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200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201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211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202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212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203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204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127</v>
      </c>
      <c r="K19" t="s">
        <v>129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525</v>
      </c>
      <c r="K20" t="s">
        <v>526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245</v>
      </c>
      <c r="D32">
        <v>3299</v>
      </c>
      <c r="E32" t="s">
        <v>246</v>
      </c>
      <c r="J32" t="s">
        <v>128</v>
      </c>
      <c r="K32" t="s">
        <v>130</v>
      </c>
      <c r="L32" t="s">
        <v>9</v>
      </c>
      <c r="M32" t="s">
        <v>42</v>
      </c>
    </row>
    <row r="33" spans="2:23" x14ac:dyDescent="0.25">
      <c r="J33" t="s">
        <v>527</v>
      </c>
      <c r="K33" t="s">
        <v>528</v>
      </c>
      <c r="L33" t="s">
        <v>9</v>
      </c>
      <c r="M33" t="s">
        <v>42</v>
      </c>
    </row>
    <row r="35" spans="2:23" x14ac:dyDescent="0.25">
      <c r="D35">
        <v>287</v>
      </c>
      <c r="E35" t="s">
        <v>243</v>
      </c>
    </row>
    <row r="36" spans="2:23" x14ac:dyDescent="0.25">
      <c r="D36" s="75">
        <f>+D35/D32</f>
        <v>8.6996059411943008E-2</v>
      </c>
      <c r="E36" t="s">
        <v>132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213</v>
      </c>
      <c r="M37" s="6" t="s">
        <v>229</v>
      </c>
      <c r="N37" s="6" t="s">
        <v>230</v>
      </c>
      <c r="O37" s="6" t="s">
        <v>231</v>
      </c>
      <c r="P37" s="6" t="s">
        <v>232</v>
      </c>
      <c r="Q37" s="6" t="s">
        <v>233</v>
      </c>
      <c r="R37" s="6" t="s">
        <v>234</v>
      </c>
      <c r="S37" s="6" t="s">
        <v>235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244</v>
      </c>
      <c r="C41" s="51"/>
      <c r="D41" s="51"/>
      <c r="E41" s="51">
        <v>0.11600000000000001</v>
      </c>
      <c r="F41" s="51" t="s">
        <v>242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134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135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133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136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131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525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131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527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215</v>
      </c>
    </row>
    <row r="73" spans="9:19" x14ac:dyDescent="0.25">
      <c r="J73" t="s">
        <v>224</v>
      </c>
      <c r="K73" s="71" t="s">
        <v>225</v>
      </c>
      <c r="L73" s="71" t="s">
        <v>226</v>
      </c>
      <c r="M73" t="s">
        <v>227</v>
      </c>
    </row>
    <row r="74" spans="9:19" x14ac:dyDescent="0.25">
      <c r="I74" t="s">
        <v>216</v>
      </c>
      <c r="J74" t="s">
        <v>214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217</v>
      </c>
      <c r="J75" t="s">
        <v>220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218</v>
      </c>
      <c r="J76" t="s">
        <v>219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221</v>
      </c>
      <c r="J80">
        <v>5.6607000000000003</v>
      </c>
      <c r="K80" t="s">
        <v>226</v>
      </c>
    </row>
    <row r="81" spans="9:41" x14ac:dyDescent="0.25">
      <c r="J81" t="s">
        <v>214</v>
      </c>
      <c r="K81" t="s">
        <v>214</v>
      </c>
    </row>
    <row r="82" spans="9:41" x14ac:dyDescent="0.25">
      <c r="J82">
        <f>4.5/J80</f>
        <v>0.79495468758280774</v>
      </c>
      <c r="K82" t="s">
        <v>222</v>
      </c>
    </row>
    <row r="83" spans="9:41" x14ac:dyDescent="0.25">
      <c r="J83">
        <f>9/J80</f>
        <v>1.5899093751656155</v>
      </c>
      <c r="K83" t="s">
        <v>223</v>
      </c>
    </row>
    <row r="95" spans="9:41" x14ac:dyDescent="0.25">
      <c r="I95" t="s">
        <v>240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228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214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521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241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228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214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137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138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139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140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141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521</v>
      </c>
      <c r="J11" s="38" t="s">
        <v>522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523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155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545</v>
      </c>
      <c r="Q16" s="43" t="s">
        <v>142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546</v>
      </c>
      <c r="Q17" s="43" t="s">
        <v>143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148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149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150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151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152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153</v>
      </c>
      <c r="D24" t="s">
        <v>9</v>
      </c>
      <c r="E24">
        <v>238.81580000000002</v>
      </c>
      <c r="H24" s="38" t="s">
        <v>144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146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154</v>
      </c>
      <c r="D25" t="s">
        <v>9</v>
      </c>
      <c r="E25">
        <v>7.3300000000000004E-2</v>
      </c>
      <c r="H25" s="38" t="s">
        <v>145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147</v>
      </c>
      <c r="R25" s="38" t="s">
        <v>9</v>
      </c>
      <c r="S25" s="38" t="s">
        <v>42</v>
      </c>
    </row>
    <row r="26" spans="2:19" x14ac:dyDescent="0.25">
      <c r="H26" s="38" t="s">
        <v>547</v>
      </c>
      <c r="I26" s="38" t="s">
        <v>43</v>
      </c>
      <c r="J26" s="38" t="s">
        <v>551</v>
      </c>
      <c r="K26" s="163">
        <v>1</v>
      </c>
      <c r="L26" s="38"/>
      <c r="M26" s="38"/>
      <c r="O26" s="38"/>
      <c r="P26" s="38" t="str">
        <f>+H26</f>
        <v>FTE-ETH</v>
      </c>
      <c r="Q26" s="38" t="s">
        <v>549</v>
      </c>
      <c r="R26" s="38" t="s">
        <v>9</v>
      </c>
      <c r="S26" s="38" t="s">
        <v>42</v>
      </c>
    </row>
    <row r="27" spans="2:19" x14ac:dyDescent="0.25">
      <c r="H27" s="38" t="s">
        <v>548</v>
      </c>
      <c r="I27" s="38" t="s">
        <v>44</v>
      </c>
      <c r="J27" s="38" t="s">
        <v>552</v>
      </c>
      <c r="K27" s="163">
        <v>1</v>
      </c>
      <c r="P27" s="38" t="str">
        <f>+H27</f>
        <v>FTE-BDSL</v>
      </c>
      <c r="Q27" s="38" t="s">
        <v>550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181</v>
      </c>
      <c r="K58" t="s">
        <v>9</v>
      </c>
      <c r="L58" t="s">
        <v>186</v>
      </c>
    </row>
    <row r="59" spans="8:12" x14ac:dyDescent="0.25">
      <c r="I59" t="str">
        <f>+H72</f>
        <v>FTD-TER</v>
      </c>
      <c r="J59" t="s">
        <v>182</v>
      </c>
      <c r="K59" t="s">
        <v>9</v>
      </c>
      <c r="L59" t="s">
        <v>186</v>
      </c>
    </row>
    <row r="60" spans="8:12" x14ac:dyDescent="0.25">
      <c r="I60" t="str">
        <f>+H74</f>
        <v>FTD-RSD</v>
      </c>
      <c r="J60" t="s">
        <v>183</v>
      </c>
      <c r="K60" t="s">
        <v>9</v>
      </c>
      <c r="L60" t="s">
        <v>186</v>
      </c>
    </row>
    <row r="61" spans="8:12" x14ac:dyDescent="0.25">
      <c r="I61" t="str">
        <f>+H76</f>
        <v>FTD-IND</v>
      </c>
      <c r="J61" t="s">
        <v>184</v>
      </c>
      <c r="K61" t="s">
        <v>9</v>
      </c>
      <c r="L61" t="s">
        <v>186</v>
      </c>
    </row>
    <row r="62" spans="8:12" x14ac:dyDescent="0.25">
      <c r="I62" t="str">
        <f>+H86</f>
        <v>FTD-TRA</v>
      </c>
      <c r="J62" t="s">
        <v>185</v>
      </c>
      <c r="K62" t="s">
        <v>9</v>
      </c>
      <c r="L62" t="s">
        <v>186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171</v>
      </c>
      <c r="N66" s="29" t="s">
        <v>187</v>
      </c>
      <c r="O66" s="29" t="s">
        <v>188</v>
      </c>
      <c r="P66" s="29" t="s">
        <v>189</v>
      </c>
      <c r="Q66" s="29" t="s">
        <v>190</v>
      </c>
      <c r="R66" s="29" t="s">
        <v>191</v>
      </c>
      <c r="S66" s="29" t="s">
        <v>192</v>
      </c>
      <c r="T66" s="29" t="s">
        <v>193</v>
      </c>
    </row>
    <row r="67" spans="2:20" x14ac:dyDescent="0.25">
      <c r="H67" t="s">
        <v>170</v>
      </c>
      <c r="I67" s="266" t="s">
        <v>149</v>
      </c>
      <c r="J67" s="269" t="s">
        <v>169</v>
      </c>
      <c r="K67" s="270" t="s">
        <v>555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552</v>
      </c>
      <c r="J68" s="269"/>
      <c r="K68" s="270" t="s">
        <v>555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148</v>
      </c>
      <c r="J69" s="269"/>
      <c r="K69" s="270" t="s">
        <v>555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551</v>
      </c>
      <c r="J70" s="269"/>
      <c r="K70" s="270" t="s">
        <v>555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153</v>
      </c>
      <c r="J71" s="20"/>
      <c r="K71" s="19" t="s">
        <v>177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172</v>
      </c>
      <c r="I72" t="s">
        <v>153</v>
      </c>
      <c r="J72" s="20" t="s">
        <v>178</v>
      </c>
      <c r="K72" s="19" t="s">
        <v>177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554</v>
      </c>
      <c r="D73" s="265">
        <f>+'Bases de Cálculo'!C22</f>
        <v>5.7621225008503835E-2</v>
      </c>
      <c r="I73" t="s">
        <v>151</v>
      </c>
      <c r="J73" s="20"/>
      <c r="K73" s="19" t="s">
        <v>177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553</v>
      </c>
      <c r="D74" s="265">
        <f>+'Bases de Cálculo'!D22</f>
        <v>9.3659149944684009E-2</v>
      </c>
      <c r="H74" t="s">
        <v>173</v>
      </c>
      <c r="I74" t="s">
        <v>153</v>
      </c>
      <c r="J74" s="20" t="s">
        <v>179</v>
      </c>
      <c r="K74" s="19" t="s">
        <v>177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151</v>
      </c>
      <c r="J75" s="20"/>
      <c r="K75" s="19" t="s">
        <v>177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174</v>
      </c>
      <c r="I76" s="266" t="s">
        <v>149</v>
      </c>
      <c r="J76" s="269" t="s">
        <v>180</v>
      </c>
      <c r="K76" s="270" t="s">
        <v>555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552</v>
      </c>
      <c r="J77" s="269"/>
      <c r="K77" s="270" t="s">
        <v>555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148</v>
      </c>
      <c r="J78" s="269"/>
      <c r="K78" s="270" t="s">
        <v>555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551</v>
      </c>
      <c r="J79" s="269"/>
      <c r="K79" s="270" t="s">
        <v>555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153</v>
      </c>
      <c r="J80" s="20"/>
      <c r="K80" s="19" t="s">
        <v>177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150</v>
      </c>
      <c r="J81" s="20"/>
      <c r="K81" s="19" t="s">
        <v>177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151</v>
      </c>
      <c r="J82" s="20"/>
      <c r="K82" s="19" t="s">
        <v>177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152</v>
      </c>
      <c r="J83" s="20"/>
      <c r="K83" s="19" t="s">
        <v>177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154</v>
      </c>
      <c r="J84" s="20"/>
      <c r="K84" s="19" t="s">
        <v>177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175</v>
      </c>
      <c r="J85" s="20"/>
      <c r="K85" s="19" t="s">
        <v>177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167</v>
      </c>
      <c r="I86" s="266" t="s">
        <v>149</v>
      </c>
      <c r="J86" s="269" t="s">
        <v>168</v>
      </c>
      <c r="K86" s="270" t="s">
        <v>555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552</v>
      </c>
      <c r="J87" s="269"/>
      <c r="K87" s="270" t="s">
        <v>555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148</v>
      </c>
      <c r="J88" s="269"/>
      <c r="K88" s="270" t="s">
        <v>555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551</v>
      </c>
      <c r="J89" s="269"/>
      <c r="K89" s="270" t="s">
        <v>555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153</v>
      </c>
      <c r="J90" s="20"/>
      <c r="K90" s="19" t="s">
        <v>177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150</v>
      </c>
      <c r="J91" s="20"/>
      <c r="K91" s="19" t="s">
        <v>177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151</v>
      </c>
      <c r="J92" s="20"/>
      <c r="K92" s="19" t="s">
        <v>177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152</v>
      </c>
      <c r="J93" s="20"/>
      <c r="K93" s="19" t="s">
        <v>177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522</v>
      </c>
      <c r="J94" s="20"/>
      <c r="K94" s="19" t="s">
        <v>177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175</v>
      </c>
      <c r="J95" s="20"/>
      <c r="K95" s="19" t="s">
        <v>177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H38" sqref="H38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407</v>
      </c>
    </row>
    <row r="2" spans="2:8" x14ac:dyDescent="0.25">
      <c r="G2" s="259" t="s">
        <v>284</v>
      </c>
    </row>
    <row r="3" spans="2:8" x14ac:dyDescent="0.25">
      <c r="G3" s="260" t="s">
        <v>475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148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149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150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151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152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153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154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531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532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175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530</v>
      </c>
    </row>
    <row r="24" spans="2:15" ht="15.75" thickBot="1" x14ac:dyDescent="0.3">
      <c r="B24" s="255" t="s">
        <v>2</v>
      </c>
      <c r="C24" s="256" t="s">
        <v>148</v>
      </c>
      <c r="D24" s="256" t="s">
        <v>149</v>
      </c>
      <c r="E24" s="256" t="s">
        <v>551</v>
      </c>
      <c r="F24" s="256" t="s">
        <v>552</v>
      </c>
      <c r="G24" s="256" t="s">
        <v>150</v>
      </c>
      <c r="H24" s="256" t="s">
        <v>151</v>
      </c>
      <c r="I24" s="256" t="s">
        <v>152</v>
      </c>
      <c r="J24" s="256" t="s">
        <v>153</v>
      </c>
      <c r="K24" s="256" t="s">
        <v>154</v>
      </c>
      <c r="L24" s="256" t="s">
        <v>531</v>
      </c>
      <c r="M24" s="256" t="s">
        <v>532</v>
      </c>
      <c r="N24" s="256" t="s">
        <v>175</v>
      </c>
      <c r="O24" s="256" t="s">
        <v>522</v>
      </c>
    </row>
    <row r="25" spans="2:15" ht="15.75" thickBot="1" x14ac:dyDescent="0.3">
      <c r="B25" s="7" t="s">
        <v>8</v>
      </c>
      <c r="C25" s="21" t="s">
        <v>284</v>
      </c>
      <c r="D25" s="21" t="s">
        <v>284</v>
      </c>
      <c r="E25" s="21" t="s">
        <v>284</v>
      </c>
      <c r="F25" s="21" t="s">
        <v>284</v>
      </c>
      <c r="G25" s="21" t="s">
        <v>284</v>
      </c>
      <c r="H25" s="21" t="s">
        <v>284</v>
      </c>
      <c r="I25" s="21" t="s">
        <v>284</v>
      </c>
      <c r="J25" s="21" t="s">
        <v>284</v>
      </c>
      <c r="K25" s="21" t="s">
        <v>284</v>
      </c>
      <c r="L25" s="21" t="s">
        <v>284</v>
      </c>
      <c r="M25" s="21" t="s">
        <v>284</v>
      </c>
      <c r="N25" s="21" t="s">
        <v>284</v>
      </c>
      <c r="O25" s="21" t="s">
        <v>284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zoomScale="130" zoomScaleNormal="130" workbookViewId="0">
      <selection activeCell="E15" sqref="E15:E1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572</v>
      </c>
    </row>
    <row r="4" spans="2:10" x14ac:dyDescent="0.25">
      <c r="C4" s="142"/>
      <c r="J4" t="s">
        <v>614</v>
      </c>
    </row>
    <row r="5" spans="2:10" x14ac:dyDescent="0.25">
      <c r="B5" s="286"/>
      <c r="C5" s="251"/>
      <c r="D5" s="484" t="s">
        <v>579</v>
      </c>
      <c r="E5" s="484"/>
      <c r="F5" s="484"/>
    </row>
    <row r="6" spans="2:10" x14ac:dyDescent="0.25">
      <c r="B6" s="286"/>
      <c r="C6" s="287"/>
      <c r="D6" s="287" t="s">
        <v>576</v>
      </c>
      <c r="E6" s="287" t="s">
        <v>580</v>
      </c>
      <c r="F6" s="287" t="s">
        <v>578</v>
      </c>
    </row>
    <row r="7" spans="2:10" x14ac:dyDescent="0.25">
      <c r="B7" s="485" t="s">
        <v>582</v>
      </c>
      <c r="C7" s="287" t="s">
        <v>575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85"/>
      <c r="C8" s="287" t="s">
        <v>574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578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597</v>
      </c>
      <c r="C10" s="287" t="s">
        <v>573</v>
      </c>
      <c r="E10" s="285">
        <v>0.6</v>
      </c>
      <c r="F10" s="283"/>
    </row>
    <row r="11" spans="2:10" x14ac:dyDescent="0.25">
      <c r="C11" s="287" t="s">
        <v>595</v>
      </c>
      <c r="D11" s="284"/>
      <c r="E11" s="285">
        <v>0.25</v>
      </c>
      <c r="F11" s="283"/>
    </row>
    <row r="12" spans="2:10" x14ac:dyDescent="0.25">
      <c r="C12" s="287" t="s">
        <v>596</v>
      </c>
      <c r="D12" s="285"/>
      <c r="E12" s="281">
        <v>0.15</v>
      </c>
    </row>
    <row r="14" spans="2:10" x14ac:dyDescent="0.25">
      <c r="C14" s="22"/>
      <c r="D14" s="22" t="s">
        <v>576</v>
      </c>
      <c r="E14" s="22" t="s">
        <v>580</v>
      </c>
      <c r="F14" s="22" t="s">
        <v>578</v>
      </c>
    </row>
    <row r="15" spans="2:10" x14ac:dyDescent="0.25">
      <c r="B15" s="142" t="s">
        <v>582</v>
      </c>
      <c r="C15" s="22" t="s">
        <v>577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585</v>
      </c>
      <c r="C16" s="19" t="s">
        <v>584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576</v>
      </c>
      <c r="E20" t="s">
        <v>580</v>
      </c>
    </row>
    <row r="21" spans="2:5" x14ac:dyDescent="0.25">
      <c r="C21" s="19" t="s">
        <v>581</v>
      </c>
      <c r="D21" s="19">
        <v>250</v>
      </c>
      <c r="E21" s="19">
        <v>150</v>
      </c>
    </row>
    <row r="24" spans="2:5" x14ac:dyDescent="0.25">
      <c r="D24" s="19" t="s">
        <v>576</v>
      </c>
      <c r="E24" t="s">
        <v>580</v>
      </c>
    </row>
    <row r="25" spans="2:5" x14ac:dyDescent="0.25">
      <c r="B25" s="142" t="s">
        <v>583</v>
      </c>
      <c r="C25" t="s">
        <v>570</v>
      </c>
      <c r="D25" s="265">
        <v>0.83</v>
      </c>
      <c r="E25" s="265">
        <v>0.93700000000000006</v>
      </c>
    </row>
    <row r="26" spans="2:5" x14ac:dyDescent="0.25">
      <c r="B26" s="142" t="s">
        <v>597</v>
      </c>
      <c r="D26" s="283">
        <v>220000</v>
      </c>
      <c r="E26" s="283">
        <v>150000</v>
      </c>
    </row>
    <row r="28" spans="2:5" x14ac:dyDescent="0.25">
      <c r="D28" s="19" t="s">
        <v>576</v>
      </c>
      <c r="E28" t="s">
        <v>580</v>
      </c>
    </row>
    <row r="29" spans="2:5" x14ac:dyDescent="0.25">
      <c r="B29" s="142" t="s">
        <v>583</v>
      </c>
      <c r="C29" t="s">
        <v>586</v>
      </c>
      <c r="D29" s="289">
        <v>0.61</v>
      </c>
      <c r="E29" s="289">
        <v>0.97</v>
      </c>
    </row>
    <row r="30" spans="2:5" x14ac:dyDescent="0.25">
      <c r="D30" s="19" t="s">
        <v>576</v>
      </c>
      <c r="E30" t="s">
        <v>580</v>
      </c>
    </row>
    <row r="31" spans="2:5" x14ac:dyDescent="0.25">
      <c r="B31" s="142" t="s">
        <v>604</v>
      </c>
      <c r="C31" t="s">
        <v>603</v>
      </c>
      <c r="D31">
        <v>180000</v>
      </c>
      <c r="E31">
        <v>130000</v>
      </c>
    </row>
    <row r="32" spans="2:5" x14ac:dyDescent="0.25">
      <c r="C32" t="s">
        <v>605</v>
      </c>
      <c r="D32">
        <v>222000</v>
      </c>
      <c r="E32">
        <v>165000</v>
      </c>
    </row>
    <row r="33" spans="2:9" x14ac:dyDescent="0.25">
      <c r="C33" t="s">
        <v>606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583</v>
      </c>
      <c r="C34" t="s">
        <v>603</v>
      </c>
      <c r="D34">
        <v>209000</v>
      </c>
      <c r="E34">
        <v>147888</v>
      </c>
    </row>
    <row r="35" spans="2:9" x14ac:dyDescent="0.25">
      <c r="C35" t="s">
        <v>605</v>
      </c>
      <c r="D35">
        <v>211820</v>
      </c>
      <c r="E35">
        <v>150000</v>
      </c>
    </row>
    <row r="36" spans="2:9" x14ac:dyDescent="0.25">
      <c r="C36" t="s">
        <v>606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576</v>
      </c>
      <c r="E39" t="s">
        <v>580</v>
      </c>
    </row>
    <row r="40" spans="2:9" x14ac:dyDescent="0.25">
      <c r="C40" t="s">
        <v>587</v>
      </c>
      <c r="D40">
        <v>2027</v>
      </c>
      <c r="E40">
        <v>2026</v>
      </c>
    </row>
    <row r="41" spans="2:9" x14ac:dyDescent="0.25">
      <c r="C41" t="s">
        <v>588</v>
      </c>
      <c r="D41">
        <v>2032</v>
      </c>
      <c r="E41">
        <v>2029</v>
      </c>
    </row>
    <row r="45" spans="2:9" x14ac:dyDescent="0.25">
      <c r="B45" s="486" t="s">
        <v>585</v>
      </c>
      <c r="C45" t="s">
        <v>590</v>
      </c>
    </row>
    <row r="46" spans="2:9" x14ac:dyDescent="0.25">
      <c r="B46" s="486"/>
      <c r="D46" s="19" t="s">
        <v>576</v>
      </c>
      <c r="E46" t="s">
        <v>580</v>
      </c>
      <c r="F46" t="s">
        <v>593</v>
      </c>
    </row>
    <row r="47" spans="2:9" x14ac:dyDescent="0.25">
      <c r="B47" s="486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/>
    </row>
    <row r="48" spans="2:9" x14ac:dyDescent="0.25">
      <c r="B48" s="486"/>
      <c r="C48" t="s">
        <v>86</v>
      </c>
      <c r="D48" s="283">
        <v>64000</v>
      </c>
      <c r="E48" s="282">
        <v>77000</v>
      </c>
      <c r="F48" s="283">
        <v>113300</v>
      </c>
      <c r="H48" s="291"/>
      <c r="I48" s="291"/>
    </row>
    <row r="49" spans="2:15" x14ac:dyDescent="0.25">
      <c r="B49" s="486"/>
      <c r="C49" t="s">
        <v>589</v>
      </c>
      <c r="D49" s="283">
        <v>21000</v>
      </c>
      <c r="E49" s="282">
        <v>7000</v>
      </c>
      <c r="F49" s="283">
        <v>36200</v>
      </c>
      <c r="H49" s="291"/>
      <c r="I49" s="291"/>
    </row>
    <row r="50" spans="2:15" x14ac:dyDescent="0.25">
      <c r="B50" s="486"/>
      <c r="C50" t="s">
        <v>571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643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580</v>
      </c>
      <c r="H54" s="291"/>
    </row>
    <row r="55" spans="2:15" x14ac:dyDescent="0.25">
      <c r="B55" s="142" t="s">
        <v>594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589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571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585</v>
      </c>
      <c r="C62" s="304" t="s">
        <v>591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576</v>
      </c>
      <c r="E63" t="s">
        <v>580</v>
      </c>
      <c r="G63" s="297"/>
    </row>
    <row r="64" spans="2:15" x14ac:dyDescent="0.25">
      <c r="B64" s="296"/>
      <c r="C64" t="s">
        <v>592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719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641</v>
      </c>
      <c r="K65" t="s">
        <v>47</v>
      </c>
      <c r="L65" s="63">
        <v>0.51300000000000001</v>
      </c>
      <c r="M65">
        <f t="shared" si="1"/>
        <v>0.51300000000000001</v>
      </c>
      <c r="N65" t="s">
        <v>719</v>
      </c>
      <c r="O65">
        <f>+M65*Ref_Cart!E12</f>
        <v>2.9091459679514378</v>
      </c>
    </row>
    <row r="66" spans="2:17" x14ac:dyDescent="0.25">
      <c r="B66" s="296"/>
      <c r="C66" t="s">
        <v>589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720</v>
      </c>
      <c r="L66" s="63">
        <v>4.7E-2</v>
      </c>
      <c r="M66">
        <f t="shared" si="1"/>
        <v>4.7E-2</v>
      </c>
      <c r="N66" t="s">
        <v>719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571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571</v>
      </c>
      <c r="L67" s="63">
        <v>9.1999999999999998E-2</v>
      </c>
      <c r="M67">
        <f>+$M$68*L67</f>
        <v>9.1999999999999998E-2</v>
      </c>
      <c r="N67" t="s">
        <v>719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719</v>
      </c>
      <c r="O68">
        <f>+M68*Ref_Cart!E8</f>
        <v>6.0871741676095334</v>
      </c>
    </row>
    <row r="69" spans="2:17" x14ac:dyDescent="0.25">
      <c r="B69" s="307" t="s">
        <v>594</v>
      </c>
      <c r="D69" s="19" t="s">
        <v>576</v>
      </c>
      <c r="E69" t="s">
        <v>580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592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518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589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571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599</v>
      </c>
      <c r="D75" s="19" t="s">
        <v>576</v>
      </c>
      <c r="E75" t="s">
        <v>580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589</v>
      </c>
      <c r="D78" s="265">
        <v>9.9000000000000005E-2</v>
      </c>
      <c r="G78" s="297"/>
    </row>
    <row r="79" spans="2:17" x14ac:dyDescent="0.25">
      <c r="B79" s="296"/>
      <c r="C79" t="s">
        <v>601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599</v>
      </c>
      <c r="C81" s="292" t="s">
        <v>602</v>
      </c>
      <c r="D81" s="19" t="s">
        <v>576</v>
      </c>
      <c r="E81" t="s">
        <v>580</v>
      </c>
    </row>
    <row r="82" spans="2:5" x14ac:dyDescent="0.25">
      <c r="C82" t="s">
        <v>85</v>
      </c>
      <c r="D82" s="289">
        <v>0.24</v>
      </c>
      <c r="E82" s="289">
        <v>0.19</v>
      </c>
    </row>
    <row r="83" spans="2:5" ht="15.75" customHeight="1" x14ac:dyDescent="0.25">
      <c r="C83" t="s">
        <v>86</v>
      </c>
      <c r="D83" s="289">
        <v>0.28999999999999998</v>
      </c>
      <c r="E83" s="289">
        <v>0.52</v>
      </c>
    </row>
    <row r="84" spans="2:5" ht="15.75" customHeight="1" x14ac:dyDescent="0.25">
      <c r="C84" t="s">
        <v>589</v>
      </c>
      <c r="D84" s="289">
        <v>0.09</v>
      </c>
      <c r="E84" s="289">
        <v>7.0000000000000007E-2</v>
      </c>
    </row>
    <row r="85" spans="2:5" ht="15.75" customHeight="1" x14ac:dyDescent="0.25">
      <c r="C85" t="s">
        <v>49</v>
      </c>
      <c r="D85" s="289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585</v>
      </c>
    </row>
    <row r="91" spans="2:5" x14ac:dyDescent="0.25">
      <c r="C91" s="22"/>
      <c r="D91" s="22" t="s">
        <v>607</v>
      </c>
      <c r="E91" s="22"/>
    </row>
    <row r="92" spans="2:5" x14ac:dyDescent="0.25">
      <c r="C92" s="22" t="s">
        <v>608</v>
      </c>
      <c r="D92" s="295" t="s">
        <v>609</v>
      </c>
      <c r="E92" s="22" t="s">
        <v>610</v>
      </c>
    </row>
    <row r="93" spans="2:5" x14ac:dyDescent="0.25">
      <c r="C93" s="22" t="s">
        <v>611</v>
      </c>
      <c r="D93" s="295">
        <v>0.307</v>
      </c>
      <c r="E93" s="295">
        <v>0.43</v>
      </c>
    </row>
    <row r="94" spans="2:5" x14ac:dyDescent="0.25">
      <c r="C94" s="22" t="s">
        <v>612</v>
      </c>
      <c r="D94" s="295">
        <v>0.29599999999999999</v>
      </c>
      <c r="E94" s="295">
        <v>0.33600000000000002</v>
      </c>
    </row>
    <row r="95" spans="2:5" x14ac:dyDescent="0.25">
      <c r="C95" s="22" t="s">
        <v>613</v>
      </c>
      <c r="D95" s="295">
        <v>0.10100000000000001</v>
      </c>
      <c r="E95" s="295">
        <v>0.114</v>
      </c>
    </row>
    <row r="96" spans="2:5" x14ac:dyDescent="0.25">
      <c r="C96" s="22" t="s">
        <v>571</v>
      </c>
      <c r="D96" s="294">
        <v>0.29599999999999999</v>
      </c>
      <c r="E96" s="294">
        <v>0.12</v>
      </c>
    </row>
    <row r="100" spans="2:4" x14ac:dyDescent="0.25">
      <c r="B100" s="142" t="s">
        <v>599</v>
      </c>
      <c r="C100" s="142"/>
      <c r="D100" t="s">
        <v>598</v>
      </c>
    </row>
    <row r="101" spans="2:4" x14ac:dyDescent="0.25">
      <c r="C101" t="s">
        <v>592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589</v>
      </c>
      <c r="D103" s="289">
        <v>0.64</v>
      </c>
    </row>
    <row r="104" spans="2:4" x14ac:dyDescent="0.25">
      <c r="C104" t="s">
        <v>600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opLeftCell="G25" zoomScale="115" zoomScaleNormal="115" workbookViewId="0">
      <selection activeCell="P44" sqref="P44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620</v>
      </c>
      <c r="D1">
        <v>119.96</v>
      </c>
      <c r="E1" t="s">
        <v>327</v>
      </c>
    </row>
    <row r="2" spans="3:21" x14ac:dyDescent="0.25">
      <c r="C2" t="s">
        <v>620</v>
      </c>
      <c r="D2">
        <v>142500</v>
      </c>
      <c r="E2" t="s">
        <v>637</v>
      </c>
      <c r="F2">
        <v>1.4250000000000001E-7</v>
      </c>
      <c r="G2" t="s">
        <v>638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52" t="s">
        <v>615</v>
      </c>
      <c r="M7" s="487"/>
      <c r="N7" s="487"/>
      <c r="O7" s="487"/>
      <c r="P7" s="487"/>
      <c r="Q7" s="487"/>
      <c r="R7" s="487"/>
      <c r="S7" s="487"/>
      <c r="T7" s="487"/>
      <c r="U7" s="453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92" t="s">
        <v>726</v>
      </c>
      <c r="O9" s="493"/>
      <c r="P9" s="494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660</v>
      </c>
      <c r="P10" s="359" t="s">
        <v>661</v>
      </c>
      <c r="R10" s="488"/>
      <c r="S10" s="488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617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618</v>
      </c>
      <c r="O12" s="489"/>
      <c r="P12" s="360"/>
      <c r="R12" s="19"/>
      <c r="S12" s="491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619</v>
      </c>
      <c r="O13" s="490"/>
      <c r="P13" s="362"/>
      <c r="R13" s="19"/>
      <c r="S13" s="488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621</v>
      </c>
      <c r="D22" s="417" t="s">
        <v>622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623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631</v>
      </c>
      <c r="D23" s="418" t="s">
        <v>690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694</v>
      </c>
      <c r="D24" s="418" t="s">
        <v>695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696</v>
      </c>
      <c r="D25" s="418" t="s">
        <v>697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t="s">
        <v>698</v>
      </c>
      <c r="D26" t="s">
        <v>699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G27" s="418"/>
    </row>
    <row r="28" spans="1:22" x14ac:dyDescent="0.25">
      <c r="A28" s="418"/>
      <c r="B28" s="418"/>
      <c r="G28" s="418"/>
      <c r="L28" s="452" t="s">
        <v>670</v>
      </c>
      <c r="M28" s="487"/>
      <c r="N28" s="487"/>
      <c r="O28" s="487"/>
      <c r="P28" s="487"/>
      <c r="Q28" s="487"/>
      <c r="R28" s="487"/>
      <c r="S28" s="487"/>
      <c r="T28" s="487"/>
      <c r="U28" s="453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D31" s="417"/>
      <c r="E31" s="417"/>
      <c r="F31" s="417"/>
      <c r="G31" s="418"/>
      <c r="L31" s="148"/>
      <c r="N31" s="356" t="s">
        <v>632</v>
      </c>
      <c r="O31" s="356" t="s">
        <v>252</v>
      </c>
      <c r="P31" s="356" t="s">
        <v>662</v>
      </c>
      <c r="R31" s="20" t="s">
        <v>718</v>
      </c>
      <c r="S31" s="20" t="s">
        <v>663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633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709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634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623</v>
      </c>
      <c r="D36" s="417" t="s">
        <v>624</v>
      </c>
      <c r="E36" s="417" t="s">
        <v>9</v>
      </c>
      <c r="F36" s="418"/>
      <c r="G36" s="418"/>
      <c r="L36" s="148"/>
      <c r="N36" s="440" t="s">
        <v>716</v>
      </c>
      <c r="O36" s="441"/>
      <c r="P36" s="441">
        <f>+O135</f>
        <v>1.8895118399999999</v>
      </c>
      <c r="Q36" s="438" t="s">
        <v>9</v>
      </c>
      <c r="R36" s="72">
        <f>+O135/P85</f>
        <v>5.4866761516362177E-3</v>
      </c>
      <c r="S36" t="s">
        <v>717</v>
      </c>
      <c r="U36" s="297"/>
    </row>
    <row r="37" spans="1:21" x14ac:dyDescent="0.25">
      <c r="A37" s="417"/>
      <c r="B37" s="417"/>
      <c r="C37" t="s">
        <v>636</v>
      </c>
      <c r="D37" t="s">
        <v>691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692</v>
      </c>
      <c r="D38" t="s">
        <v>693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713</v>
      </c>
      <c r="D39" t="s">
        <v>714</v>
      </c>
      <c r="E39" t="s">
        <v>9</v>
      </c>
      <c r="F39" s="418"/>
      <c r="G39" s="418"/>
      <c r="N39" s="344" t="s">
        <v>635</v>
      </c>
      <c r="O39" s="345"/>
      <c r="P39" s="346"/>
    </row>
    <row r="40" spans="1:21" x14ac:dyDescent="0.25">
      <c r="F40" s="418"/>
      <c r="G40" s="418"/>
      <c r="N40" s="374" t="s">
        <v>11</v>
      </c>
      <c r="O40" s="340" t="s">
        <v>12</v>
      </c>
      <c r="P40" s="375" t="s">
        <v>177</v>
      </c>
    </row>
    <row r="41" spans="1:21" x14ac:dyDescent="0.25">
      <c r="A41" s="417"/>
      <c r="B41" s="417"/>
      <c r="C41" s="418"/>
      <c r="D41" s="418"/>
      <c r="E41" s="418"/>
      <c r="F41" s="418"/>
      <c r="G41" s="418"/>
      <c r="N41" s="347" t="str">
        <f>+C23</f>
        <v>REF1</v>
      </c>
      <c r="O41" s="348" t="str">
        <f>+P22</f>
        <v>OIL-REF1</v>
      </c>
      <c r="P41" s="442">
        <f>1/(1+R33+R34+R36)</f>
        <v>0.9779122135283066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42">
        <f>R34/(1+R33+R34+R36)</f>
        <v>8.3122538149906066E-3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42">
        <f>R33/(1+R33+R34+R36)</f>
        <v>8.4100450363434366E-3</v>
      </c>
    </row>
    <row r="44" spans="1:21" x14ac:dyDescent="0.25">
      <c r="C44" s="417"/>
      <c r="D44" s="417"/>
      <c r="E44" s="417"/>
      <c r="N44" s="1"/>
      <c r="O44" s="438" t="str">
        <f>+O159</f>
        <v>STEAM-DRM-REF1</v>
      </c>
      <c r="P44" s="442">
        <f>R36/(1+R33+R34+R36)</f>
        <v>5.3654876203595445E-3</v>
      </c>
    </row>
    <row r="45" spans="1:21" x14ac:dyDescent="0.25">
      <c r="C45" s="417"/>
      <c r="D45" s="417"/>
      <c r="E45" s="417"/>
    </row>
    <row r="46" spans="1:21" x14ac:dyDescent="0.25">
      <c r="P46" s="373">
        <f>+SUM(P41:P44)</f>
        <v>1.0000000000000002</v>
      </c>
    </row>
    <row r="47" spans="1:21" x14ac:dyDescent="0.25">
      <c r="B47" s="1"/>
      <c r="C47" s="1"/>
      <c r="D47" s="1"/>
      <c r="E47" s="1"/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52" t="s">
        <v>669</v>
      </c>
      <c r="M48" s="487"/>
      <c r="N48" s="487"/>
      <c r="O48" s="487"/>
      <c r="P48" s="487"/>
      <c r="Q48" s="487"/>
      <c r="R48" s="487"/>
      <c r="S48" s="487"/>
      <c r="T48" s="487"/>
      <c r="U48" s="453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665</v>
      </c>
      <c r="N50" s="356" t="s">
        <v>649</v>
      </c>
      <c r="O50" s="356" t="s">
        <v>644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609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639</v>
      </c>
      <c r="N54" s="356" t="s">
        <v>649</v>
      </c>
      <c r="O54" s="356" t="s">
        <v>644</v>
      </c>
      <c r="P54" s="356" t="s">
        <v>666</v>
      </c>
      <c r="Q54" s="356" t="s">
        <v>667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640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651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650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668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664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571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578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642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555</v>
      </c>
      <c r="R71" s="448" t="s">
        <v>729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  <c r="R72" s="63">
        <f>9.4%+19.9%</f>
        <v>0.29299999999999998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  <c r="R73" s="265">
        <v>0.55200000000000005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  <c r="R74" s="265">
        <v>5.6000000000000001E-2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  <c r="R75" s="265">
        <v>1.4E-2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  <c r="R76" s="289">
        <v>0.06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518</v>
      </c>
      <c r="P77" s="299">
        <f>+P61</f>
        <v>3.8117647058823534E-2</v>
      </c>
      <c r="R77" s="265">
        <v>2.5000000000000001E-2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  <c r="R79" s="369">
        <f>+SUM(R72:R77)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52" t="s">
        <v>671</v>
      </c>
      <c r="M81" s="487"/>
      <c r="N81" s="487"/>
      <c r="O81" s="487"/>
      <c r="P81" s="487"/>
      <c r="Q81" s="487"/>
      <c r="R81" s="487"/>
      <c r="S81" s="487"/>
      <c r="T81" s="487"/>
      <c r="U81" s="453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646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252</v>
      </c>
      <c r="P83" s="356" t="s">
        <v>662</v>
      </c>
      <c r="T83" s="378"/>
      <c r="U83" s="297"/>
    </row>
    <row r="84" spans="1:21" x14ac:dyDescent="0.25">
      <c r="A84" t="s">
        <v>645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672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647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625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626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627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674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673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675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628</v>
      </c>
      <c r="Q96" s="330" t="s">
        <v>555</v>
      </c>
      <c r="R96" s="331" t="s">
        <v>177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629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0.866618063200155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630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52" t="s">
        <v>676</v>
      </c>
      <c r="M104" s="487"/>
      <c r="N104" s="487"/>
      <c r="O104" s="487"/>
      <c r="P104" s="487"/>
      <c r="Q104" s="487"/>
      <c r="R104" s="487"/>
      <c r="S104" s="487"/>
      <c r="T104" s="487"/>
      <c r="U104" s="453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656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653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252</v>
      </c>
      <c r="P107" s="392" t="s">
        <v>662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678</v>
      </c>
      <c r="O108" s="389">
        <f>394.77/299.7</f>
        <v>1.3172172172172172</v>
      </c>
      <c r="P108" s="388">
        <f>+O108</f>
        <v>1.3172172172172172</v>
      </c>
      <c r="Q108" t="s">
        <v>679</v>
      </c>
      <c r="U108" s="297"/>
      <c r="X108">
        <f>+O34*1000000</f>
        <v>74825000</v>
      </c>
      <c r="Y108" t="s">
        <v>653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681</v>
      </c>
      <c r="U110" s="297"/>
      <c r="X110">
        <f>+X108*X105</f>
        <v>336712500</v>
      </c>
      <c r="Y110" t="s">
        <v>657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680</v>
      </c>
      <c r="O111" s="391">
        <f>79/(9*1000*24*365)</f>
        <v>1.002029426686961E-6</v>
      </c>
      <c r="P111" s="122">
        <f>+(O111/119.96)*1000000000</f>
        <v>8.3530295655798685</v>
      </c>
      <c r="Q111" t="s">
        <v>133</v>
      </c>
      <c r="U111" s="297"/>
      <c r="X111">
        <f>+X110*35.3147</f>
        <v>11890900923.75</v>
      </c>
      <c r="Y111" t="s">
        <v>658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659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628</v>
      </c>
      <c r="Q116" s="340" t="s">
        <v>555</v>
      </c>
      <c r="R116" s="399" t="s">
        <v>177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694</v>
      </c>
      <c r="O117" s="400" t="s">
        <v>629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">
        <v>51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52" t="s">
        <v>682</v>
      </c>
      <c r="M128" s="487"/>
      <c r="N128" s="487"/>
      <c r="O128" s="487"/>
      <c r="P128" s="487"/>
      <c r="Q128" s="487"/>
      <c r="R128" s="487"/>
      <c r="S128" s="487"/>
      <c r="T128" s="487"/>
      <c r="U128" s="453"/>
      <c r="W128" t="s">
        <v>712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683</v>
      </c>
    </row>
    <row r="130" spans="2:25" x14ac:dyDescent="0.25">
      <c r="B130" s="1"/>
      <c r="C130" s="1"/>
      <c r="D130" s="1" t="s">
        <v>701</v>
      </c>
      <c r="E130" s="1">
        <v>1561</v>
      </c>
      <c r="F130" s="1" t="s">
        <v>562</v>
      </c>
      <c r="G130" s="1"/>
      <c r="H130" s="1"/>
      <c r="I130" s="1"/>
      <c r="L130" s="148"/>
      <c r="M130" s="351" t="s">
        <v>683</v>
      </c>
      <c r="N130" s="356" t="s">
        <v>685</v>
      </c>
      <c r="O130" s="356" t="s">
        <v>662</v>
      </c>
      <c r="P130" s="152"/>
      <c r="Q130" s="152" t="s">
        <v>686</v>
      </c>
      <c r="R130" s="363"/>
      <c r="S130" s="20"/>
      <c r="T130" s="20"/>
      <c r="U130" s="297"/>
      <c r="W130" t="s">
        <v>265</v>
      </c>
      <c r="X130" s="122">
        <f>+Q131</f>
        <v>7.9730836007290984</v>
      </c>
    </row>
    <row r="131" spans="2:25" x14ac:dyDescent="0.25">
      <c r="B131" s="1"/>
      <c r="C131" s="1"/>
      <c r="D131" s="1" t="s">
        <v>702</v>
      </c>
      <c r="E131" s="1">
        <v>874.27499999999998</v>
      </c>
      <c r="F131" s="1" t="s">
        <v>255</v>
      </c>
      <c r="G131" s="434">
        <f>+E131/E130</f>
        <v>0.56007367072389491</v>
      </c>
      <c r="H131" s="1"/>
      <c r="I131" s="1"/>
      <c r="L131" s="148"/>
      <c r="M131" s="323" t="s">
        <v>684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688</v>
      </c>
      <c r="U131" s="297"/>
      <c r="W131" t="s">
        <v>711</v>
      </c>
      <c r="X131" s="57">
        <f>+Q132</f>
        <v>3.9306260817079615</v>
      </c>
    </row>
    <row r="132" spans="2:25" x14ac:dyDescent="0.25">
      <c r="B132" s="1"/>
      <c r="C132" s="1"/>
      <c r="D132" s="1" t="s">
        <v>703</v>
      </c>
      <c r="E132" s="1">
        <f>+E130-E131</f>
        <v>686.72500000000002</v>
      </c>
      <c r="F132" s="1" t="s">
        <v>255</v>
      </c>
      <c r="G132" s="434">
        <f>+E132/E130</f>
        <v>0.43992632927610509</v>
      </c>
      <c r="H132" s="1"/>
      <c r="I132" s="1"/>
      <c r="L132" s="148"/>
      <c r="M132" s="323" t="s">
        <v>517</v>
      </c>
      <c r="N132" s="436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687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639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708</v>
      </c>
      <c r="N135" s="438"/>
      <c r="O135" s="444">
        <f>+Q135*P33</f>
        <v>1.8895118399999999</v>
      </c>
      <c r="P135" s="438" t="s">
        <v>9</v>
      </c>
      <c r="Q135" s="434">
        <f>+(O138-O139)/O139</f>
        <v>0.6</v>
      </c>
      <c r="R135" t="s">
        <v>710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700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689</v>
      </c>
      <c r="O137">
        <v>193</v>
      </c>
      <c r="P137" t="s">
        <v>677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724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725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721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723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722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628</v>
      </c>
      <c r="Q144" s="327" t="s">
        <v>555</v>
      </c>
      <c r="R144" s="393" t="s">
        <v>177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629</v>
      </c>
      <c r="P145" s="395">
        <v>2019</v>
      </c>
      <c r="Q145" s="432">
        <f>+(O137*24*365*0.0036/1000)/P158</f>
        <v>9.738316799999998</v>
      </c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635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555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</v>
      </c>
      <c r="P151" s="439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">
        <v>51</v>
      </c>
      <c r="P152" s="439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642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177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0" t="str">
        <f>+C37</f>
        <v>ELC-REF1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52" t="s">
        <v>715</v>
      </c>
      <c r="M162" s="487"/>
      <c r="N162" s="487"/>
      <c r="O162" s="487"/>
      <c r="P162" s="487"/>
      <c r="Q162" s="487"/>
      <c r="R162" s="487"/>
      <c r="S162" s="487"/>
      <c r="T162" s="487"/>
      <c r="U162" s="453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COMPRA-ELC-RE1</v>
      </c>
      <c r="O166" s="22" t="str">
        <f>+'1. EXP_IMP'!J51</f>
        <v>ELC-SIN</v>
      </c>
      <c r="P166" s="431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</row>
    <row r="170" spans="2:21" x14ac:dyDescent="0.25">
      <c r="B170" s="1"/>
      <c r="C170" s="1"/>
      <c r="D170" s="1"/>
      <c r="E170" s="1"/>
      <c r="F170" s="1"/>
      <c r="G170" s="1"/>
      <c r="H170" s="1"/>
      <c r="I170" s="1"/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654</v>
      </c>
    </row>
    <row r="196" spans="2:16" x14ac:dyDescent="0.25">
      <c r="O196">
        <f>+O195*365</f>
        <v>89425</v>
      </c>
      <c r="P196" t="s">
        <v>655</v>
      </c>
    </row>
    <row r="197" spans="2:16" x14ac:dyDescent="0.25">
      <c r="O197">
        <f>+O196/1000</f>
        <v>89.424999999999997</v>
      </c>
      <c r="P197" t="s">
        <v>648</v>
      </c>
    </row>
  </sheetData>
  <mergeCells count="11">
    <mergeCell ref="L28:U28"/>
    <mergeCell ref="L7:U7"/>
    <mergeCell ref="R10:S10"/>
    <mergeCell ref="O12:O13"/>
    <mergeCell ref="S12:S13"/>
    <mergeCell ref="N9:P9"/>
    <mergeCell ref="L162:U162"/>
    <mergeCell ref="L48:U48"/>
    <mergeCell ref="L81:U81"/>
    <mergeCell ref="L104:U104"/>
    <mergeCell ref="L128:U128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8FE3-670E-419B-A99E-69B49FD5DC81}">
  <dimension ref="A1:Z197"/>
  <sheetViews>
    <sheetView showGridLines="0" tabSelected="1" topLeftCell="M29" zoomScale="130" zoomScaleNormal="130" workbookViewId="0">
      <selection activeCell="P44" sqref="P44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620</v>
      </c>
      <c r="D1">
        <v>119.96</v>
      </c>
      <c r="E1" t="s">
        <v>327</v>
      </c>
    </row>
    <row r="2" spans="3:21" x14ac:dyDescent="0.25">
      <c r="C2" t="s">
        <v>620</v>
      </c>
      <c r="D2">
        <v>142500</v>
      </c>
      <c r="E2" t="s">
        <v>637</v>
      </c>
      <c r="F2">
        <v>1.4250000000000001E-7</v>
      </c>
      <c r="G2" t="s">
        <v>638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52" t="s">
        <v>615</v>
      </c>
      <c r="M7" s="487"/>
      <c r="N7" s="487"/>
      <c r="O7" s="487"/>
      <c r="P7" s="487"/>
      <c r="Q7" s="487"/>
      <c r="R7" s="487"/>
      <c r="S7" s="487"/>
      <c r="T7" s="487"/>
      <c r="U7" s="453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92" t="s">
        <v>616</v>
      </c>
      <c r="O9" s="493"/>
      <c r="P9" s="494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727</v>
      </c>
      <c r="P10" s="359" t="s">
        <v>661</v>
      </c>
      <c r="R10" s="488"/>
      <c r="S10" s="488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617</v>
      </c>
      <c r="O11" s="321">
        <f>100%-'4. Refinery''s Data'!D15</f>
        <v>0.30000095471773769</v>
      </c>
      <c r="P11" s="360">
        <f>+O11</f>
        <v>0.30000095471773769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618</v>
      </c>
      <c r="O12" s="489"/>
      <c r="P12" s="360"/>
      <c r="R12" s="19"/>
      <c r="S12" s="491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619</v>
      </c>
      <c r="O13" s="490"/>
      <c r="P13" s="362"/>
      <c r="R13" s="19"/>
      <c r="S13" s="488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730</v>
      </c>
      <c r="D22" s="417" t="s">
        <v>622</v>
      </c>
      <c r="E22" s="417" t="s">
        <v>9</v>
      </c>
      <c r="F22" s="417" t="s">
        <v>42</v>
      </c>
      <c r="G22" s="418"/>
      <c r="N22" s="320" t="str">
        <f>+C22</f>
        <v>MIX-OIL-REF2</v>
      </c>
      <c r="O22" s="22" t="str">
        <f>+C10</f>
        <v>HOIL</v>
      </c>
      <c r="P22" s="320" t="str">
        <f>+C36</f>
        <v>OIL-REF2</v>
      </c>
      <c r="Q22" s="321">
        <f>+O11</f>
        <v>0.30000095471773769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731</v>
      </c>
      <c r="D23" s="418" t="s">
        <v>690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732</v>
      </c>
      <c r="D24" s="418" t="s">
        <v>695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733</v>
      </c>
      <c r="D25" s="418" t="s">
        <v>697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t="s">
        <v>734</v>
      </c>
      <c r="D26" t="s">
        <v>699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G27" s="418"/>
    </row>
    <row r="28" spans="1:22" x14ac:dyDescent="0.25">
      <c r="A28" s="418"/>
      <c r="B28" s="418"/>
      <c r="G28" s="418"/>
      <c r="L28" s="452" t="s">
        <v>670</v>
      </c>
      <c r="M28" s="487"/>
      <c r="N28" s="487"/>
      <c r="O28" s="487"/>
      <c r="P28" s="487"/>
      <c r="Q28" s="487"/>
      <c r="R28" s="487"/>
      <c r="S28" s="487"/>
      <c r="T28" s="487"/>
      <c r="U28" s="453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D31" s="417"/>
      <c r="E31" s="417"/>
      <c r="F31" s="417"/>
      <c r="G31" s="418"/>
      <c r="L31" s="148"/>
      <c r="N31" s="356" t="s">
        <v>632</v>
      </c>
      <c r="O31" s="356" t="s">
        <v>252</v>
      </c>
      <c r="P31" s="356" t="s">
        <v>662</v>
      </c>
      <c r="R31" s="20" t="s">
        <v>718</v>
      </c>
      <c r="S31" s="20" t="s">
        <v>663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633</v>
      </c>
      <c r="O32" s="57">
        <f>+P32*1000/(E8*365)</f>
        <v>244.00000000000003</v>
      </c>
      <c r="P32" s="371">
        <f>244*E8*365/1000</f>
        <v>542.12373136730503</v>
      </c>
      <c r="Q32" s="371" t="s">
        <v>9</v>
      </c>
      <c r="U32" s="297"/>
    </row>
    <row r="33" spans="1:26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709</v>
      </c>
      <c r="O33" s="75">
        <v>667</v>
      </c>
      <c r="P33" s="371">
        <f>+O33*0.0036</f>
        <v>2.4011999999999998</v>
      </c>
      <c r="Q33" s="372" t="s">
        <v>9</v>
      </c>
      <c r="R33" s="323">
        <f>+ROUND(P33/P32,4)</f>
        <v>4.4000000000000003E-3</v>
      </c>
      <c r="S33" s="71" t="str">
        <f>+ROUND(O33/(365*O32),4)&amp;" Gwh per kbl oil"</f>
        <v>0,0075 Gwh per kbl oil</v>
      </c>
      <c r="U33" s="297"/>
      <c r="W33" t="s">
        <v>741</v>
      </c>
      <c r="X33" t="s">
        <v>742</v>
      </c>
    </row>
    <row r="34" spans="1:26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634</v>
      </c>
      <c r="O34">
        <v>5.83</v>
      </c>
      <c r="P34" s="371">
        <f>+O34*0.041868</f>
        <v>0.24409044000000002</v>
      </c>
      <c r="Q34" s="372" t="s">
        <v>9</v>
      </c>
      <c r="R34" s="323">
        <f>+ROUND(P34/P32,4)</f>
        <v>5.0000000000000001E-4</v>
      </c>
      <c r="S34" s="71" t="str">
        <f>+ROUND(O34/(365*O32),4)&amp;" kt H2 per kbl oil"</f>
        <v>0,0001 kt H2 per kbl oil</v>
      </c>
      <c r="U34" s="297"/>
      <c r="W34" t="s">
        <v>1</v>
      </c>
      <c r="X34" t="s">
        <v>743</v>
      </c>
      <c r="Y34">
        <v>2019</v>
      </c>
    </row>
    <row r="35" spans="1:26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  <c r="W35" t="s">
        <v>744</v>
      </c>
      <c r="X35" t="s">
        <v>736</v>
      </c>
      <c r="Y35">
        <v>0.24284476982969799</v>
      </c>
      <c r="Z35" s="495">
        <f>+Y35/$Y$40</f>
        <v>4.9624956990719797E-4</v>
      </c>
    </row>
    <row r="36" spans="1:26" x14ac:dyDescent="0.25">
      <c r="A36" s="425" t="s">
        <v>82</v>
      </c>
      <c r="B36" s="425"/>
      <c r="C36" s="417" t="s">
        <v>735</v>
      </c>
      <c r="D36" s="417" t="s">
        <v>624</v>
      </c>
      <c r="E36" s="417" t="s">
        <v>9</v>
      </c>
      <c r="F36" s="418"/>
      <c r="G36" s="418"/>
      <c r="L36" s="148"/>
      <c r="N36" s="440" t="s">
        <v>716</v>
      </c>
      <c r="O36" s="441"/>
      <c r="P36" s="441">
        <f>+O135</f>
        <v>1.4407199999999998</v>
      </c>
      <c r="Q36" s="438" t="s">
        <v>9</v>
      </c>
      <c r="R36" s="72">
        <f>+O135/P32</f>
        <v>2.6575482987367489E-3</v>
      </c>
      <c r="S36" t="s">
        <v>717</v>
      </c>
      <c r="U36" s="297"/>
      <c r="W36" t="s">
        <v>744</v>
      </c>
      <c r="X36" t="s">
        <v>737</v>
      </c>
      <c r="Y36">
        <v>2.1370339745013398</v>
      </c>
      <c r="Z36" s="495">
        <f t="shared" ref="Z36:Z38" si="0">+Y36/$Y$40</f>
        <v>4.366996215183337E-3</v>
      </c>
    </row>
    <row r="37" spans="1:26" x14ac:dyDescent="0.25">
      <c r="A37" s="417"/>
      <c r="B37" s="417"/>
      <c r="C37" t="s">
        <v>736</v>
      </c>
      <c r="D37" t="s">
        <v>691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  <c r="W37" t="s">
        <v>744</v>
      </c>
      <c r="X37" t="s">
        <v>735</v>
      </c>
      <c r="Y37">
        <v>485.68953965939698</v>
      </c>
      <c r="Z37" s="495">
        <f t="shared" si="0"/>
        <v>0.99249913981439797</v>
      </c>
    </row>
    <row r="38" spans="1:26" x14ac:dyDescent="0.25">
      <c r="A38" s="417"/>
      <c r="B38" s="418"/>
      <c r="C38" t="s">
        <v>737</v>
      </c>
      <c r="D38" t="s">
        <v>693</v>
      </c>
      <c r="E38" t="s">
        <v>9</v>
      </c>
      <c r="F38" s="418"/>
      <c r="G38" s="418"/>
      <c r="W38" t="s">
        <v>744</v>
      </c>
      <c r="X38" t="s">
        <v>738</v>
      </c>
      <c r="Y38">
        <v>1.29074340983606</v>
      </c>
      <c r="Z38" s="495">
        <f t="shared" si="0"/>
        <v>2.6376144005114295E-3</v>
      </c>
    </row>
    <row r="39" spans="1:26" x14ac:dyDescent="0.25">
      <c r="A39" s="417"/>
      <c r="B39" s="418"/>
      <c r="C39" s="71" t="s">
        <v>738</v>
      </c>
      <c r="D39" t="s">
        <v>714</v>
      </c>
      <c r="E39" t="s">
        <v>9</v>
      </c>
      <c r="F39" s="418"/>
      <c r="G39" s="418"/>
      <c r="N39" s="344" t="s">
        <v>635</v>
      </c>
      <c r="O39" s="345"/>
      <c r="P39" s="346"/>
    </row>
    <row r="40" spans="1:26" x14ac:dyDescent="0.25">
      <c r="F40" s="418"/>
      <c r="G40" s="418"/>
      <c r="N40" s="374" t="s">
        <v>11</v>
      </c>
      <c r="O40" s="340" t="s">
        <v>12</v>
      </c>
      <c r="P40" s="375" t="s">
        <v>177</v>
      </c>
      <c r="Y40">
        <f>+SUM(Y35:Y38)</f>
        <v>489.3601618135641</v>
      </c>
    </row>
    <row r="41" spans="1:26" x14ac:dyDescent="0.25">
      <c r="A41" s="417"/>
      <c r="B41" s="417"/>
      <c r="C41" s="418"/>
      <c r="D41" s="418"/>
      <c r="E41" s="418"/>
      <c r="F41" s="418"/>
      <c r="G41" s="418"/>
      <c r="N41" s="347" t="str">
        <f>+C23</f>
        <v>REF2</v>
      </c>
      <c r="O41" s="348" t="str">
        <f>+P22</f>
        <v>OIL-REF2</v>
      </c>
      <c r="P41" s="442">
        <f>1/(1+R33+R34+R36)</f>
        <v>0.99249913981439808</v>
      </c>
      <c r="T41" s="265"/>
    </row>
    <row r="42" spans="1:26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H2-REF2</v>
      </c>
      <c r="P42" s="442">
        <f>R34/(1+R33+R34+R36)</f>
        <v>4.9624956990719905E-4</v>
      </c>
    </row>
    <row r="43" spans="1:26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ELC-REF2</v>
      </c>
      <c r="P43" s="442">
        <f>R33/(1+R33+R34+R36)</f>
        <v>4.3669962151833518E-3</v>
      </c>
    </row>
    <row r="44" spans="1:26" x14ac:dyDescent="0.25">
      <c r="C44" s="417"/>
      <c r="D44" s="417"/>
      <c r="E44" s="417"/>
      <c r="N44" s="1"/>
      <c r="O44" s="438" t="str">
        <f>+O159</f>
        <v>STEAM-DRM-REF2</v>
      </c>
      <c r="P44" s="442">
        <f>R36/(1+R33+R34+R36)</f>
        <v>2.6376144005114403E-3</v>
      </c>
    </row>
    <row r="45" spans="1:26" x14ac:dyDescent="0.25">
      <c r="C45" s="417"/>
      <c r="D45" s="417"/>
      <c r="E45" s="417"/>
    </row>
    <row r="46" spans="1:26" x14ac:dyDescent="0.25">
      <c r="P46" s="373">
        <f>+SUM(P41:P44)</f>
        <v>1</v>
      </c>
    </row>
    <row r="47" spans="1:26" x14ac:dyDescent="0.25">
      <c r="B47" s="1"/>
      <c r="C47" s="1"/>
      <c r="D47" s="1"/>
      <c r="E47" s="1"/>
      <c r="F47" s="1"/>
      <c r="G47" s="1"/>
      <c r="H47" s="1"/>
      <c r="I47" s="1"/>
    </row>
    <row r="48" spans="1:26" x14ac:dyDescent="0.25">
      <c r="B48" s="1"/>
      <c r="C48" s="1"/>
      <c r="D48" s="1"/>
      <c r="E48" s="1"/>
      <c r="F48" s="1"/>
      <c r="G48" s="1"/>
      <c r="H48" s="1"/>
      <c r="I48" s="1"/>
      <c r="L48" s="452" t="s">
        <v>669</v>
      </c>
      <c r="M48" s="487"/>
      <c r="N48" s="487"/>
      <c r="O48" s="487"/>
      <c r="P48" s="487"/>
      <c r="Q48" s="487"/>
      <c r="R48" s="487"/>
      <c r="S48" s="487"/>
      <c r="T48" s="487"/>
      <c r="U48" s="453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665</v>
      </c>
      <c r="N50" s="356" t="s">
        <v>649</v>
      </c>
      <c r="O50" s="356" t="s">
        <v>644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609</v>
      </c>
      <c r="N51" s="445">
        <f>+O32</f>
        <v>244.00000000000003</v>
      </c>
      <c r="O51" s="261">
        <v>12131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639</v>
      </c>
      <c r="N54" s="356" t="s">
        <v>649</v>
      </c>
      <c r="O54" s="356" t="s">
        <v>644</v>
      </c>
      <c r="P54" s="356" t="s">
        <v>666</v>
      </c>
      <c r="Q54" s="212" t="s">
        <v>666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66"/>
      <c r="O55" s="364">
        <v>2466</v>
      </c>
      <c r="P55" s="365">
        <f>+O55/$O$63</f>
        <v>0.30324643384161337</v>
      </c>
      <c r="Q55" s="446">
        <v>0.32100000000000001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640</v>
      </c>
      <c r="N56" s="66"/>
      <c r="O56" s="364">
        <v>3084</v>
      </c>
      <c r="P56" s="365">
        <f>+O56/$O$63</f>
        <v>0.3792424987702902</v>
      </c>
      <c r="Q56" s="446">
        <v>0.32900000000000001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66"/>
      <c r="O57" s="364">
        <v>716</v>
      </c>
      <c r="P57" s="365">
        <f>+O57/$O$63</f>
        <v>8.8047220855878017E-2</v>
      </c>
      <c r="Q57" s="446">
        <v>0.08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66"/>
      <c r="O58" s="364"/>
      <c r="P58" s="365">
        <f t="shared" ref="P58" si="1">+O58/$O$63</f>
        <v>0</v>
      </c>
      <c r="Q58" s="446">
        <v>2.5999999999999999E-2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66"/>
      <c r="O59" s="364">
        <v>1575</v>
      </c>
      <c r="P59" s="365">
        <f>+O59/$O$63</f>
        <v>0.19367929168716183</v>
      </c>
      <c r="Q59" s="446">
        <v>0.20100000000000001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728</v>
      </c>
      <c r="N60" s="66"/>
      <c r="O60" s="364"/>
      <c r="P60" s="365">
        <f>+O60/$O$63</f>
        <v>0</v>
      </c>
      <c r="Q60" s="446">
        <v>1E-3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650</v>
      </c>
      <c r="N61" s="436"/>
      <c r="O61" s="364">
        <v>291</v>
      </c>
      <c r="P61" s="365">
        <f>+O61/$O$63</f>
        <v>3.578455484505657E-2</v>
      </c>
      <c r="Q61" s="447">
        <v>4.2000000000000003E-2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664</v>
      </c>
      <c r="N63" s="261"/>
      <c r="O63" s="367">
        <f>+SUM(O55:O61)</f>
        <v>8132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571</v>
      </c>
      <c r="N64" s="367"/>
      <c r="O64" s="367">
        <f>24.39-O63</f>
        <v>-8107.61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578</v>
      </c>
      <c r="N65" s="367"/>
      <c r="O65" s="367">
        <f>+O64+O63</f>
        <v>24.390000000000327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642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555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REF2</v>
      </c>
      <c r="O72" s="1" t="s">
        <v>45</v>
      </c>
      <c r="P72" s="265">
        <f>+P55+P60</f>
        <v>0.30324643384161337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0.3792424987702902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8.8047220855878017E-2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0</v>
      </c>
      <c r="R75" s="265"/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0.19367929168716183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518</v>
      </c>
      <c r="P77" s="299">
        <f>+P61</f>
        <v>3.578455484505657E-2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52" t="s">
        <v>671</v>
      </c>
      <c r="M81" s="487"/>
      <c r="N81" s="487"/>
      <c r="O81" s="487"/>
      <c r="P81" s="487"/>
      <c r="Q81" s="487"/>
      <c r="R81" s="487"/>
      <c r="S81" s="487"/>
      <c r="T81" s="487"/>
      <c r="U81" s="453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646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252</v>
      </c>
      <c r="P83" s="356" t="s">
        <v>662</v>
      </c>
      <c r="T83" s="378"/>
      <c r="U83" s="297"/>
    </row>
    <row r="84" spans="1:21" x14ac:dyDescent="0.25">
      <c r="A84" t="s">
        <v>645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672</v>
      </c>
      <c r="O84">
        <f>+'4. Refinery''s Data'!D21</f>
        <v>250</v>
      </c>
      <c r="P84" s="364">
        <f>+O84*365*E10/1000</f>
        <v>555.45464279436999</v>
      </c>
      <c r="S84" s="122"/>
      <c r="T84" s="122"/>
      <c r="U84" s="297"/>
    </row>
    <row r="85" spans="1:21" x14ac:dyDescent="0.25">
      <c r="A85" t="s">
        <v>647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625</v>
      </c>
      <c r="O85">
        <v>218.6</v>
      </c>
      <c r="P85" s="367">
        <f>+O85*365*E10/1000</f>
        <v>485.68953965939704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626</v>
      </c>
      <c r="O86" s="379">
        <f>+O85/O84</f>
        <v>0.87439999999999996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627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674</v>
      </c>
      <c r="O89" s="384"/>
      <c r="P89" s="384">
        <f>+O65/O51</f>
        <v>2.0105514796801851E-3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673</v>
      </c>
      <c r="O90" s="384"/>
      <c r="P90" s="384">
        <v>0.76400000000000001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675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628</v>
      </c>
      <c r="Q96" s="330" t="s">
        <v>555</v>
      </c>
      <c r="R96" s="331" t="s">
        <v>177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REF2</v>
      </c>
      <c r="O97" s="328" t="s">
        <v>629</v>
      </c>
      <c r="P97" s="333">
        <v>2019</v>
      </c>
      <c r="Q97" s="337">
        <f>+P85*P90</f>
        <v>371.06680829977932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REF2</v>
      </c>
      <c r="O98" s="22" t="str">
        <f>+O97</f>
        <v>ACT_BND</v>
      </c>
      <c r="P98" s="22">
        <v>2020</v>
      </c>
      <c r="Q98" s="382">
        <f>+P84*P90</f>
        <v>424.36734709489866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REF2</v>
      </c>
      <c r="O99" s="332" t="s">
        <v>31</v>
      </c>
      <c r="P99" s="333">
        <v>2019</v>
      </c>
      <c r="Q99" s="333"/>
      <c r="R99" s="322">
        <f>+P90*P41</f>
        <v>0.75826934281820013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REF2</v>
      </c>
      <c r="O100" s="334" t="s">
        <v>630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52" t="s">
        <v>676</v>
      </c>
      <c r="M104" s="487"/>
      <c r="N104" s="487"/>
      <c r="O104" s="487"/>
      <c r="P104" s="487"/>
      <c r="Q104" s="487"/>
      <c r="R104" s="487"/>
      <c r="S104" s="487"/>
      <c r="T104" s="487"/>
      <c r="U104" s="453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656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653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252</v>
      </c>
      <c r="P107" s="392" t="s">
        <v>662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678</v>
      </c>
      <c r="O108" s="389">
        <f>394.77/299.7</f>
        <v>1.3172172172172172</v>
      </c>
      <c r="P108" s="388">
        <f>+O108</f>
        <v>1.3172172172172172</v>
      </c>
      <c r="Q108" t="s">
        <v>679</v>
      </c>
      <c r="U108" s="297"/>
      <c r="X108">
        <f>+O34*1000000</f>
        <v>5830000</v>
      </c>
      <c r="Y108" t="s">
        <v>653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681</v>
      </c>
      <c r="U110" s="297"/>
      <c r="X110">
        <f>+X108*X105</f>
        <v>26235000</v>
      </c>
      <c r="Y110" t="s">
        <v>657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680</v>
      </c>
      <c r="O111" s="391">
        <f>79/(9*1000*24*365)</f>
        <v>1.002029426686961E-6</v>
      </c>
      <c r="P111" s="122">
        <f>+(O111/119.96)*1000000000</f>
        <v>8.3530295655798685</v>
      </c>
      <c r="Q111" t="s">
        <v>133</v>
      </c>
      <c r="U111" s="297"/>
      <c r="X111">
        <f>+X110*35.3147</f>
        <v>926481154.5</v>
      </c>
      <c r="Y111" t="s">
        <v>658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926.4811545</v>
      </c>
      <c r="Y112" t="s">
        <v>659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2.5383045328767122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628</v>
      </c>
      <c r="Q116" s="340" t="s">
        <v>555</v>
      </c>
      <c r="R116" s="399" t="s">
        <v>177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694</v>
      </c>
      <c r="O117" s="400" t="s">
        <v>629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">
        <v>51</v>
      </c>
      <c r="P123" s="16" t="str">
        <f>+C38</f>
        <v>H2-REF2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52" t="s">
        <v>682</v>
      </c>
      <c r="M128" s="487"/>
      <c r="N128" s="487"/>
      <c r="O128" s="487"/>
      <c r="P128" s="487"/>
      <c r="Q128" s="487"/>
      <c r="R128" s="487"/>
      <c r="S128" s="487"/>
      <c r="T128" s="487"/>
      <c r="U128" s="453"/>
      <c r="W128" t="s">
        <v>712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683</v>
      </c>
    </row>
    <row r="130" spans="2:25" x14ac:dyDescent="0.25">
      <c r="B130" s="1"/>
      <c r="C130" s="1"/>
      <c r="D130" s="1" t="s">
        <v>701</v>
      </c>
      <c r="E130" s="1">
        <v>1561</v>
      </c>
      <c r="F130" s="1" t="s">
        <v>562</v>
      </c>
      <c r="G130" s="1"/>
      <c r="H130" s="1"/>
      <c r="I130" s="1"/>
      <c r="L130" s="148"/>
      <c r="M130" s="351" t="s">
        <v>683</v>
      </c>
      <c r="N130" s="356" t="s">
        <v>685</v>
      </c>
      <c r="O130" s="356" t="s">
        <v>662</v>
      </c>
      <c r="P130" s="152"/>
      <c r="Q130" s="152" t="s">
        <v>686</v>
      </c>
      <c r="R130" s="363"/>
      <c r="S130" s="20"/>
      <c r="T130" s="20"/>
      <c r="U130" s="297"/>
      <c r="W130" t="s">
        <v>265</v>
      </c>
      <c r="X130" s="122">
        <f>+Q131</f>
        <v>181.10027784183313</v>
      </c>
    </row>
    <row r="131" spans="2:25" x14ac:dyDescent="0.25">
      <c r="B131" s="1"/>
      <c r="C131" s="1"/>
      <c r="D131" s="1" t="s">
        <v>702</v>
      </c>
      <c r="E131" s="1">
        <v>874.27499999999998</v>
      </c>
      <c r="F131" s="1" t="s">
        <v>255</v>
      </c>
      <c r="G131" s="434" t="s">
        <v>739</v>
      </c>
      <c r="H131" s="1">
        <f>643+289</f>
        <v>932</v>
      </c>
      <c r="I131" s="1"/>
      <c r="L131" s="148"/>
      <c r="M131" s="323" t="s">
        <v>684</v>
      </c>
      <c r="N131" s="19">
        <v>58</v>
      </c>
      <c r="O131" s="261">
        <f>43+643*I132</f>
        <v>485.45016077170419</v>
      </c>
      <c r="P131" t="s">
        <v>9</v>
      </c>
      <c r="Q131" s="122">
        <f>O131/(85*24*365*0.0036/1000)</f>
        <v>181.10027784183313</v>
      </c>
      <c r="R131" s="71" t="s">
        <v>688</v>
      </c>
      <c r="U131" s="297"/>
      <c r="W131" t="s">
        <v>711</v>
      </c>
      <c r="X131" s="57">
        <f>+Q132</f>
        <v>83.520672675452204</v>
      </c>
    </row>
    <row r="132" spans="2:25" x14ac:dyDescent="0.25">
      <c r="B132" s="1"/>
      <c r="C132" s="1"/>
      <c r="D132" s="1" t="s">
        <v>703</v>
      </c>
      <c r="E132" s="1">
        <f>+E130-E131</f>
        <v>686.72500000000002</v>
      </c>
      <c r="F132" s="1" t="s">
        <v>255</v>
      </c>
      <c r="G132" s="434" t="s">
        <v>740</v>
      </c>
      <c r="H132" s="1">
        <v>642</v>
      </c>
      <c r="I132" s="449">
        <f>+H132/(H132+H133)</f>
        <v>0.68810289389067525</v>
      </c>
      <c r="L132" s="148"/>
      <c r="M132" s="323" t="s">
        <v>517</v>
      </c>
      <c r="N132" s="436">
        <v>33.799999999999997</v>
      </c>
      <c r="O132" s="261">
        <f>643*I133</f>
        <v>200.54983922829581</v>
      </c>
      <c r="P132" t="s">
        <v>9</v>
      </c>
      <c r="Q132" s="122">
        <f>+O132/(O33*0.0036)</f>
        <v>83.520672675452204</v>
      </c>
      <c r="R132" t="s">
        <v>687</v>
      </c>
      <c r="U132" s="297"/>
      <c r="X132" s="122">
        <f>+X131+X130</f>
        <v>264.62095051728534</v>
      </c>
    </row>
    <row r="133" spans="2:25" x14ac:dyDescent="0.25">
      <c r="B133" s="1"/>
      <c r="C133" s="1"/>
      <c r="D133" s="1"/>
      <c r="E133" s="1"/>
      <c r="F133" s="1"/>
      <c r="G133" s="1" t="s">
        <v>50</v>
      </c>
      <c r="H133" s="1">
        <v>291</v>
      </c>
      <c r="I133" s="449">
        <f>+H133/(H132+H133)</f>
        <v>0.31189710610932475</v>
      </c>
      <c r="L133" s="148"/>
      <c r="M133" s="323" t="s">
        <v>209</v>
      </c>
      <c r="O133" s="19">
        <v>154</v>
      </c>
      <c r="P133" t="s">
        <v>9</v>
      </c>
      <c r="Q133" s="122">
        <f>+Q132+Q131</f>
        <v>264.62095051728534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639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708</v>
      </c>
      <c r="N135" s="438"/>
      <c r="O135" s="444">
        <f>+Q135*P33</f>
        <v>1.4407199999999998</v>
      </c>
      <c r="P135" s="438" t="s">
        <v>9</v>
      </c>
      <c r="Q135" s="434">
        <f>+(O138-O139)/O139</f>
        <v>0.6</v>
      </c>
      <c r="R135" t="s">
        <v>710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700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689</v>
      </c>
      <c r="O137">
        <v>193</v>
      </c>
      <c r="P137" t="s">
        <v>677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724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725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721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723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722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628</v>
      </c>
      <c r="Q144" s="327" t="s">
        <v>555</v>
      </c>
      <c r="R144" s="393" t="s">
        <v>177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AUTO-REF2</v>
      </c>
      <c r="O145" s="394" t="s">
        <v>629</v>
      </c>
      <c r="P145" s="395">
        <v>2019</v>
      </c>
      <c r="Q145" s="432"/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AUTO-REF2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635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555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AUTO-REF2</v>
      </c>
      <c r="O151" s="429" t="str">
        <f>+O77</f>
        <v>RFG</v>
      </c>
      <c r="P151" s="439">
        <f>+O132/(O132+O131+O133)</f>
        <v>0.23874980860511405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">
        <v>51</v>
      </c>
      <c r="P152" s="439">
        <f>+O131/(O132+O131+O133)</f>
        <v>0.57791685806155257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6" t="s">
        <v>50</v>
      </c>
      <c r="P153" s="439">
        <f>+O133/(O132+O131+O133)</f>
        <v>0.18333333333333332</v>
      </c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642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177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AUTO-REF2</v>
      </c>
      <c r="O158" s="430" t="str">
        <f>+C37</f>
        <v>ELC-REF2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STEAM-DRM-REF2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52" t="s">
        <v>715</v>
      </c>
      <c r="M162" s="487"/>
      <c r="N162" s="487"/>
      <c r="O162" s="487"/>
      <c r="P162" s="487"/>
      <c r="Q162" s="487"/>
      <c r="R162" s="487"/>
      <c r="S162" s="487"/>
      <c r="T162" s="487"/>
      <c r="U162" s="453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COMPRA-ELC-REF2</v>
      </c>
      <c r="O166" s="22" t="str">
        <f>+'1. EXP_IMP'!J51</f>
        <v>ELC-SIN</v>
      </c>
      <c r="P166" s="431" t="str">
        <f>+O158</f>
        <v>ELC-REF2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</row>
    <row r="170" spans="2:21" x14ac:dyDescent="0.25">
      <c r="B170" s="1"/>
      <c r="C170" s="1"/>
      <c r="D170" s="1"/>
      <c r="E170" s="1"/>
      <c r="F170" s="1"/>
      <c r="G170" s="1"/>
      <c r="H170" s="1"/>
      <c r="I170" s="1"/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654</v>
      </c>
    </row>
    <row r="196" spans="2:16" x14ac:dyDescent="0.25">
      <c r="O196">
        <f>+O195*365</f>
        <v>89425</v>
      </c>
      <c r="P196" t="s">
        <v>655</v>
      </c>
    </row>
    <row r="197" spans="2:16" x14ac:dyDescent="0.25">
      <c r="O197">
        <f>+O196/1000</f>
        <v>89.424999999999997</v>
      </c>
      <c r="P197" t="s">
        <v>648</v>
      </c>
    </row>
  </sheetData>
  <mergeCells count="11">
    <mergeCell ref="L48:U48"/>
    <mergeCell ref="L81:U81"/>
    <mergeCell ref="L104:U104"/>
    <mergeCell ref="L128:U128"/>
    <mergeCell ref="L162:U162"/>
    <mergeCell ref="L28:U28"/>
    <mergeCell ref="L7:U7"/>
    <mergeCell ref="N9:P9"/>
    <mergeCell ref="R10:S10"/>
    <mergeCell ref="O12:O13"/>
    <mergeCell ref="S12:S13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Ref_Barranca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2022-11-10T06:58:20Z</dcterms:modified>
</cp:coreProperties>
</file>