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9.xml" ContentType="application/vnd.openxmlformats-officedocument.drawing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8178F070-C91D-41F4-AB42-302A742EF994}" xr6:coauthVersionLast="47" xr6:coauthVersionMax="47" xr10:uidLastSave="{00000000-0000-0000-0000-000000000000}"/>
  <bookViews>
    <workbookView xWindow="11520" yWindow="0" windowWidth="11520" windowHeight="12360" firstSheet="12" activeTab="13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REF2" sheetId="17" r:id="rId9"/>
    <sheet name="4.2 Ref_Barranca" sheetId="9" r:id="rId10"/>
    <sheet name="4.1 Ref_Cart" sheetId="8" r:id="rId11"/>
    <sheet name="5. ANH" sheetId="10" r:id="rId12"/>
    <sheet name="5. GlobalData" sheetId="11" r:id="rId13"/>
    <sheet name="5. Data" sheetId="12" r:id="rId14"/>
    <sheet name="5. Oilfields" sheetId="13" r:id="rId15"/>
    <sheet name="General_SEC_SGC" sheetId="14" r:id="rId16"/>
    <sheet name="6. a Reservas" sheetId="15" r:id="rId17"/>
  </sheets>
  <definedNames>
    <definedName name="_xlnm._FilterDatabase" localSheetId="3" hidden="1">'1. EXP_IMP'!$I$234:$Q$234</definedName>
    <definedName name="_xlnm._FilterDatabase" localSheetId="11" hidden="1">'5. ANH'!$C$12:$W$12</definedName>
    <definedName name="_xlnm._FilterDatabase" localSheetId="13" hidden="1">'5. Data'!$J$98:$AA$98</definedName>
    <definedName name="_xlnm._FilterDatabase" localSheetId="12" hidden="1">'5. GlobalData'!$C$38:$K$38</definedName>
    <definedName name="solver_adj" localSheetId="7" hidden="1">'REF1'!$H$44:$H$45</definedName>
    <definedName name="solver_adj" localSheetId="8" hidden="1">'REF2'!$H$35:$H$36</definedName>
    <definedName name="solver_cvg" localSheetId="7" hidden="1">0.0001</definedName>
    <definedName name="solver_cvg" localSheetId="8" hidden="1">0.0001</definedName>
    <definedName name="solver_drv" localSheetId="7" hidden="1">2</definedName>
    <definedName name="solver_drv" localSheetId="8" hidden="1">2</definedName>
    <definedName name="solver_eng" localSheetId="7" hidden="1">1</definedName>
    <definedName name="solver_eng" localSheetId="8" hidden="1">1</definedName>
    <definedName name="solver_est" localSheetId="7" hidden="1">1</definedName>
    <definedName name="solver_est" localSheetId="8" hidden="1">1</definedName>
    <definedName name="solver_itr" localSheetId="7" hidden="1">2147483647</definedName>
    <definedName name="solver_itr" localSheetId="8" hidden="1">2147483647</definedName>
    <definedName name="solver_lhs1" localSheetId="7" hidden="1">'REF1'!$H$46</definedName>
    <definedName name="solver_lhs1" localSheetId="8" hidden="1">'REF2'!$H$38</definedName>
    <definedName name="solver_mip" localSheetId="7" hidden="1">2147483647</definedName>
    <definedName name="solver_mip" localSheetId="8" hidden="1">2147483647</definedName>
    <definedName name="solver_mni" localSheetId="7" hidden="1">30</definedName>
    <definedName name="solver_mni" localSheetId="8" hidden="1">30</definedName>
    <definedName name="solver_mrt" localSheetId="7" hidden="1">0.075</definedName>
    <definedName name="solver_mrt" localSheetId="8" hidden="1">0.075</definedName>
    <definedName name="solver_msl" localSheetId="7" hidden="1">2</definedName>
    <definedName name="solver_msl" localSheetId="8" hidden="1">2</definedName>
    <definedName name="solver_neg" localSheetId="7" hidden="1">1</definedName>
    <definedName name="solver_neg" localSheetId="8" hidden="1">1</definedName>
    <definedName name="solver_nod" localSheetId="7" hidden="1">2147483647</definedName>
    <definedName name="solver_nod" localSheetId="8" hidden="1">2147483647</definedName>
    <definedName name="solver_num" localSheetId="7" hidden="1">1</definedName>
    <definedName name="solver_num" localSheetId="8" hidden="1">1</definedName>
    <definedName name="solver_nwt" localSheetId="7" hidden="1">1</definedName>
    <definedName name="solver_nwt" localSheetId="8" hidden="1">1</definedName>
    <definedName name="solver_opt" localSheetId="7" hidden="1">'REF1'!$J$46</definedName>
    <definedName name="solver_opt" localSheetId="8" hidden="1">'REF2'!$J$38</definedName>
    <definedName name="solver_pre" localSheetId="7" hidden="1">0.000001</definedName>
    <definedName name="solver_pre" localSheetId="8" hidden="1">0.000001</definedName>
    <definedName name="solver_rbv" localSheetId="7" hidden="1">2</definedName>
    <definedName name="solver_rbv" localSheetId="8" hidden="1">2</definedName>
    <definedName name="solver_rel1" localSheetId="7" hidden="1">2</definedName>
    <definedName name="solver_rel1" localSheetId="8" hidden="1">2</definedName>
    <definedName name="solver_rhs1" localSheetId="7" hidden="1">100</definedName>
    <definedName name="solver_rhs1" localSheetId="8" hidden="1">100</definedName>
    <definedName name="solver_rlx" localSheetId="7" hidden="1">2</definedName>
    <definedName name="solver_rlx" localSheetId="8" hidden="1">2</definedName>
    <definedName name="solver_rsd" localSheetId="7" hidden="1">0</definedName>
    <definedName name="solver_rsd" localSheetId="8" hidden="1">0</definedName>
    <definedName name="solver_scl" localSheetId="7" hidden="1">2</definedName>
    <definedName name="solver_scl" localSheetId="8" hidden="1">2</definedName>
    <definedName name="solver_sho" localSheetId="7" hidden="1">2</definedName>
    <definedName name="solver_sho" localSheetId="8" hidden="1">2</definedName>
    <definedName name="solver_ssz" localSheetId="7" hidden="1">100</definedName>
    <definedName name="solver_ssz" localSheetId="8" hidden="1">100</definedName>
    <definedName name="solver_tim" localSheetId="7" hidden="1">2147483647</definedName>
    <definedName name="solver_tim" localSheetId="8" hidden="1">2147483647</definedName>
    <definedName name="solver_tol" localSheetId="7" hidden="1">0.01</definedName>
    <definedName name="solver_tol" localSheetId="8" hidden="1">0.01</definedName>
    <definedName name="solver_typ" localSheetId="7" hidden="1">3</definedName>
    <definedName name="solver_typ" localSheetId="8" hidden="1">3</definedName>
    <definedName name="solver_val" localSheetId="7" hidden="1">32677</definedName>
    <definedName name="solver_val" localSheetId="8" hidden="1">31836</definedName>
    <definedName name="solver_ver" localSheetId="7" hidden="1">3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7" i="17" l="1"/>
  <c r="F107" i="17"/>
  <c r="H107" i="17"/>
  <c r="H106" i="17"/>
  <c r="E205" i="17"/>
  <c r="E200" i="16"/>
  <c r="K85" i="17"/>
  <c r="I86" i="17"/>
  <c r="I85" i="17"/>
  <c r="I84" i="17"/>
  <c r="I83" i="17"/>
  <c r="I82" i="17"/>
  <c r="H85" i="17"/>
  <c r="H86" i="17"/>
  <c r="H84" i="17"/>
  <c r="H83" i="17"/>
  <c r="H82" i="17"/>
  <c r="G85" i="17"/>
  <c r="G86" i="17"/>
  <c r="E86" i="17"/>
  <c r="G84" i="17"/>
  <c r="G83" i="17"/>
  <c r="E82" i="17"/>
  <c r="G82" i="17"/>
  <c r="E85" i="17"/>
  <c r="E84" i="17"/>
  <c r="E83" i="17"/>
  <c r="K89" i="16"/>
  <c r="I89" i="16"/>
  <c r="H89" i="16"/>
  <c r="G89" i="16"/>
  <c r="I87" i="16"/>
  <c r="I86" i="16"/>
  <c r="E87" i="16"/>
  <c r="E61" i="16"/>
  <c r="G87" i="16"/>
  <c r="H87" i="16"/>
  <c r="H86" i="16"/>
  <c r="H85" i="16"/>
  <c r="G86" i="16"/>
  <c r="K86" i="17" l="1"/>
  <c r="K82" i="17"/>
  <c r="C17" i="16"/>
  <c r="F73" i="16"/>
  <c r="E86" i="16"/>
  <c r="K85" i="16"/>
  <c r="I85" i="16"/>
  <c r="G85" i="16"/>
  <c r="E85" i="16"/>
  <c r="E72" i="16"/>
  <c r="J95" i="17"/>
  <c r="J94" i="17"/>
  <c r="J93" i="17"/>
  <c r="E93" i="17"/>
  <c r="E92" i="17"/>
  <c r="J59" i="17"/>
  <c r="J58" i="17"/>
  <c r="F73" i="17"/>
  <c r="E73" i="17"/>
  <c r="F76" i="16"/>
  <c r="E89" i="16" l="1"/>
  <c r="E74" i="16" l="1"/>
  <c r="F72" i="17"/>
  <c r="E72" i="17" s="1"/>
  <c r="F97" i="17"/>
  <c r="G97" i="17"/>
  <c r="H72" i="16"/>
  <c r="F72" i="16"/>
  <c r="E177" i="16" l="1"/>
  <c r="F221" i="17" l="1"/>
  <c r="E182" i="17"/>
  <c r="E124" i="17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J118" i="4"/>
  <c r="J119" i="4"/>
  <c r="J117" i="4"/>
  <c r="CM9" i="13"/>
  <c r="CM10" i="13"/>
  <c r="T193" i="12"/>
  <c r="N196" i="12"/>
  <c r="N195" i="12"/>
  <c r="N157" i="12"/>
  <c r="P156" i="12"/>
  <c r="AD127" i="12"/>
  <c r="AD126" i="12"/>
  <c r="AD125" i="12"/>
  <c r="AD124" i="12"/>
  <c r="AD123" i="12"/>
  <c r="AD122" i="12"/>
  <c r="AD121" i="12"/>
  <c r="N127" i="12"/>
  <c r="N126" i="12"/>
  <c r="N125" i="12"/>
  <c r="N124" i="12"/>
  <c r="N123" i="12"/>
  <c r="N122" i="12"/>
  <c r="N121" i="12"/>
  <c r="AI100" i="12" l="1"/>
  <c r="AD100" i="12"/>
  <c r="O100" i="12"/>
  <c r="AB100" i="12"/>
  <c r="N99" i="12"/>
  <c r="N100" i="12"/>
  <c r="K11" i="12"/>
  <c r="M93" i="11" l="1"/>
  <c r="Q140" i="4"/>
  <c r="P140" i="4"/>
  <c r="O140" i="4"/>
  <c r="N140" i="4"/>
  <c r="M140" i="4"/>
  <c r="L140" i="4"/>
  <c r="K140" i="4"/>
  <c r="J140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K163" i="4"/>
  <c r="L67" i="4"/>
  <c r="E47" i="4"/>
  <c r="J163" i="4"/>
  <c r="K162" i="4"/>
  <c r="AO162" i="4" l="1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L54" i="4"/>
  <c r="CW27" i="13"/>
  <c r="CW28" i="13"/>
  <c r="CW29" i="13"/>
  <c r="CW30" i="13"/>
  <c r="CW31" i="13"/>
  <c r="CW32" i="13"/>
  <c r="CW26" i="13"/>
  <c r="DE26" i="13"/>
  <c r="DS35" i="13" l="1"/>
  <c r="DS34" i="13"/>
  <c r="DR35" i="13"/>
  <c r="DS10" i="13"/>
  <c r="DX10" i="13" s="1"/>
  <c r="DS11" i="13"/>
  <c r="DX11" i="13" s="1"/>
  <c r="DS12" i="13"/>
  <c r="DX12" i="13" s="1"/>
  <c r="DS13" i="13"/>
  <c r="DX13" i="13" s="1"/>
  <c r="DS14" i="13"/>
  <c r="DX14" i="13" s="1"/>
  <c r="DS15" i="13"/>
  <c r="DX15" i="13" s="1"/>
  <c r="DS9" i="13"/>
  <c r="DX9" i="13" s="1"/>
  <c r="M69" i="4"/>
  <c r="N69" i="4"/>
  <c r="O69" i="4"/>
  <c r="P69" i="4"/>
  <c r="Q69" i="4"/>
  <c r="R69" i="4"/>
  <c r="S69" i="4"/>
  <c r="L69" i="4"/>
  <c r="K69" i="4"/>
  <c r="I69" i="4"/>
  <c r="R14" i="13"/>
  <c r="DD28" i="13"/>
  <c r="DD27" i="13"/>
  <c r="CL18" i="13"/>
  <c r="CL12" i="13"/>
  <c r="CL10" i="13"/>
  <c r="CD14" i="13"/>
  <c r="DY10" i="13"/>
  <c r="DY11" i="13"/>
  <c r="DY12" i="13"/>
  <c r="DY13" i="13"/>
  <c r="DY14" i="13"/>
  <c r="CV31" i="13" s="1"/>
  <c r="DY15" i="13"/>
  <c r="CV32" i="13" s="1"/>
  <c r="DY9" i="13"/>
  <c r="DW10" i="13"/>
  <c r="DW11" i="13"/>
  <c r="DW12" i="13"/>
  <c r="DW13" i="13"/>
  <c r="DW14" i="13"/>
  <c r="DW15" i="13"/>
  <c r="DW9" i="13"/>
  <c r="DY28" i="13"/>
  <c r="DX25" i="13"/>
  <c r="DX26" i="13"/>
  <c r="DX27" i="13"/>
  <c r="DX28" i="13"/>
  <c r="DX22" i="13"/>
  <c r="DW28" i="13"/>
  <c r="DW23" i="13"/>
  <c r="DW24" i="13"/>
  <c r="DW25" i="13"/>
  <c r="DW26" i="13"/>
  <c r="DW27" i="13"/>
  <c r="DW22" i="13"/>
  <c r="DT28" i="13"/>
  <c r="DS25" i="13"/>
  <c r="DS26" i="13"/>
  <c r="DS27" i="13"/>
  <c r="DS28" i="13"/>
  <c r="DS22" i="13"/>
  <c r="DR23" i="13"/>
  <c r="DR24" i="13"/>
  <c r="DR25" i="13"/>
  <c r="DR26" i="13"/>
  <c r="DR27" i="13"/>
  <c r="DR28" i="13"/>
  <c r="DR22" i="13"/>
  <c r="DT10" i="13"/>
  <c r="CD10" i="13" s="1"/>
  <c r="DT11" i="13"/>
  <c r="CD12" i="13" s="1"/>
  <c r="DT12" i="13"/>
  <c r="DT13" i="13"/>
  <c r="CD16" i="13" s="1"/>
  <c r="DT14" i="13"/>
  <c r="CD18" i="13" s="1"/>
  <c r="DT15" i="13"/>
  <c r="DT9" i="13"/>
  <c r="DR10" i="13"/>
  <c r="DR11" i="13"/>
  <c r="DR12" i="13"/>
  <c r="DR13" i="13"/>
  <c r="DR14" i="13"/>
  <c r="DR15" i="13"/>
  <c r="DR9" i="13"/>
  <c r="DO26" i="13"/>
  <c r="DO28" i="13"/>
  <c r="DM23" i="13"/>
  <c r="DM24" i="13"/>
  <c r="DM25" i="13"/>
  <c r="DM26" i="13"/>
  <c r="DM27" i="13"/>
  <c r="DM28" i="13"/>
  <c r="DM22" i="13"/>
  <c r="DO11" i="13"/>
  <c r="DO10" i="13"/>
  <c r="DN15" i="13"/>
  <c r="DM14" i="13"/>
  <c r="DM15" i="13"/>
  <c r="DM10" i="13"/>
  <c r="DM11" i="13"/>
  <c r="DM12" i="13"/>
  <c r="DM13" i="13"/>
  <c r="DM9" i="13"/>
  <c r="BW17" i="13"/>
  <c r="BJ15" i="13" a="1"/>
  <c r="BJ15" i="13" s="1"/>
  <c r="BJ12" i="13" a="1"/>
  <c r="BJ12" i="13" s="1"/>
  <c r="AA222" i="12"/>
  <c r="AB222" i="12"/>
  <c r="Z222" i="12"/>
  <c r="Z221" i="12"/>
  <c r="BG15" i="13" a="1"/>
  <c r="BG15" i="13" s="1"/>
  <c r="BG12" i="13" a="1"/>
  <c r="BG12" i="13" s="1"/>
  <c r="BI10" i="13"/>
  <c r="BI11" i="13"/>
  <c r="BI12" i="13"/>
  <c r="BI13" i="13"/>
  <c r="BI14" i="13"/>
  <c r="BI15" i="13"/>
  <c r="BI16" i="13"/>
  <c r="BI17" i="13"/>
  <c r="BI18" i="13"/>
  <c r="BI19" i="13"/>
  <c r="BI20" i="13"/>
  <c r="BI21" i="13"/>
  <c r="BI22" i="13"/>
  <c r="BI23" i="13"/>
  <c r="BI24" i="13"/>
  <c r="BI25" i="13"/>
  <c r="BI26" i="13"/>
  <c r="BI27" i="13"/>
  <c r="BI28" i="13"/>
  <c r="BI29" i="13"/>
  <c r="BI9" i="13"/>
  <c r="BF13" i="13"/>
  <c r="BF14" i="13" s="1"/>
  <c r="BF15" i="13"/>
  <c r="BF16" i="13" s="1"/>
  <c r="BF17" i="13" s="1"/>
  <c r="BF12" i="13"/>
  <c r="BF9" i="13"/>
  <c r="BF11" i="13" s="1"/>
  <c r="BF10" i="13"/>
  <c r="BF18" i="13"/>
  <c r="CL14" i="13" s="1"/>
  <c r="BF21" i="13"/>
  <c r="CL16" i="13" s="1"/>
  <c r="BF22" i="13"/>
  <c r="BF23" i="13" s="1"/>
  <c r="BF24" i="13"/>
  <c r="BF25" i="13" s="1"/>
  <c r="BF26" i="13" s="1"/>
  <c r="BF27" i="13"/>
  <c r="BE9" i="13"/>
  <c r="BD28" i="13"/>
  <c r="BD29" i="13"/>
  <c r="BD26" i="13"/>
  <c r="BD27" i="13"/>
  <c r="BD23" i="13"/>
  <c r="BD24" i="13"/>
  <c r="BD25" i="13"/>
  <c r="BD12" i="13"/>
  <c r="BD13" i="13"/>
  <c r="BD14" i="13"/>
  <c r="BD15" i="13"/>
  <c r="BD16" i="13"/>
  <c r="BD17" i="13"/>
  <c r="BD18" i="13"/>
  <c r="BD19" i="13"/>
  <c r="BD20" i="13"/>
  <c r="BD21" i="13"/>
  <c r="BD22" i="13"/>
  <c r="BD10" i="13"/>
  <c r="BD11" i="13"/>
  <c r="BD9" i="13"/>
  <c r="BA28" i="13" a="1"/>
  <c r="BA28" i="13" s="1"/>
  <c r="BA25" i="13" a="1"/>
  <c r="BA25" i="13" s="1"/>
  <c r="BA22" i="13" a="1"/>
  <c r="BA22" i="13" s="1"/>
  <c r="BA19" i="13" a="1"/>
  <c r="BA19" i="13" s="1"/>
  <c r="BA17" i="13" a="1"/>
  <c r="BA17" i="13" s="1"/>
  <c r="BA15" i="13"/>
  <c r="BA12" i="13" a="1"/>
  <c r="BA12" i="13" s="1"/>
  <c r="AZ9" i="13" a="1"/>
  <c r="AZ9" i="13" s="1"/>
  <c r="AV26" i="13"/>
  <c r="BE25" i="13" s="1"/>
  <c r="AV10" i="13"/>
  <c r="BE10" i="13" s="1"/>
  <c r="AV16" i="13"/>
  <c r="BE15" i="13" s="1"/>
  <c r="AV19" i="13"/>
  <c r="BE18" i="13" s="1"/>
  <c r="AV9" i="13"/>
  <c r="AW28" i="13"/>
  <c r="AX16" i="13" a="1"/>
  <c r="AX16" i="13" s="1"/>
  <c r="AX12" i="13" a="1"/>
  <c r="AX12" i="13" s="1"/>
  <c r="AW17" i="13"/>
  <c r="AW18" i="13"/>
  <c r="AW16" i="13"/>
  <c r="AW13" i="13"/>
  <c r="AW14" i="13"/>
  <c r="AW15" i="13"/>
  <c r="AW12" i="13"/>
  <c r="AU17" i="13"/>
  <c r="AU18" i="13"/>
  <c r="AU13" i="13"/>
  <c r="AU14" i="13"/>
  <c r="AU15" i="13"/>
  <c r="AU16" i="13"/>
  <c r="AU12" i="13"/>
  <c r="AR49" i="13"/>
  <c r="AO26" i="13"/>
  <c r="AO28" i="13"/>
  <c r="AO30" i="13"/>
  <c r="AO32" i="13"/>
  <c r="AO34" i="13"/>
  <c r="AO36" i="13"/>
  <c r="AO24" i="13"/>
  <c r="AQ25" i="13"/>
  <c r="AQ26" i="13"/>
  <c r="AQ27" i="13"/>
  <c r="AQ28" i="13"/>
  <c r="AQ29" i="13"/>
  <c r="AQ30" i="13"/>
  <c r="AQ24" i="13"/>
  <c r="AR25" i="13"/>
  <c r="AQ48" i="13" s="1"/>
  <c r="AR26" i="13"/>
  <c r="AQ52" i="13" s="1"/>
  <c r="AR27" i="13"/>
  <c r="AQ56" i="13" s="1"/>
  <c r="AR28" i="13"/>
  <c r="AQ60" i="13" s="1"/>
  <c r="AR29" i="13"/>
  <c r="AQ64" i="13" s="1"/>
  <c r="AR30" i="13"/>
  <c r="AQ69" i="13" s="1"/>
  <c r="AR24" i="13"/>
  <c r="AQ43" i="13" s="1"/>
  <c r="AN26" i="13"/>
  <c r="AN28" i="13"/>
  <c r="AN30" i="13"/>
  <c r="AN32" i="13"/>
  <c r="AN34" i="13"/>
  <c r="AN36" i="13"/>
  <c r="AN24" i="13"/>
  <c r="AR23" i="13"/>
  <c r="AR48" i="13" s="1"/>
  <c r="AR16" i="13" a="1"/>
  <c r="AR16" i="13" s="1"/>
  <c r="AP43" i="13" s="1"/>
  <c r="AN23" i="13"/>
  <c r="AQ23" i="13" s="1"/>
  <c r="AN16" i="13" a="1"/>
  <c r="AN16" i="13" s="1"/>
  <c r="AQ16" i="13" s="1"/>
  <c r="AN9" i="13" a="1"/>
  <c r="AN9" i="13" s="1"/>
  <c r="AQ9" i="13" s="1"/>
  <c r="Q222" i="12"/>
  <c r="Q221" i="12"/>
  <c r="Z210" i="12"/>
  <c r="AB210" i="12"/>
  <c r="AC210" i="12"/>
  <c r="Z209" i="12"/>
  <c r="R209" i="12"/>
  <c r="R210" i="12"/>
  <c r="N101" i="12"/>
  <c r="E31" i="4"/>
  <c r="T22" i="3"/>
  <c r="AV29" i="13" l="1"/>
  <c r="BE28" i="13" s="1"/>
  <c r="AV25" i="13"/>
  <c r="BE24" i="13" s="1"/>
  <c r="AV12" i="13"/>
  <c r="BE12" i="13" s="1"/>
  <c r="AV20" i="13"/>
  <c r="BE19" i="13" s="1"/>
  <c r="AV13" i="13"/>
  <c r="BE13" i="13" s="1"/>
  <c r="AV15" i="13"/>
  <c r="BF19" i="13"/>
  <c r="BF20" i="13" s="1"/>
  <c r="AV17" i="13"/>
  <c r="BE16" i="13" s="1"/>
  <c r="AV22" i="13"/>
  <c r="BE21" i="13" s="1"/>
  <c r="AV28" i="13"/>
  <c r="BE27" i="13" s="1"/>
  <c r="AV23" i="13"/>
  <c r="BE22" i="13" s="1"/>
  <c r="DD26" i="13"/>
  <c r="AQ19" i="13"/>
  <c r="AQ15" i="13"/>
  <c r="AQ11" i="13"/>
  <c r="AQ22" i="13"/>
  <c r="AQ18" i="13"/>
  <c r="AQ14" i="13"/>
  <c r="AQ10" i="13"/>
  <c r="AQ21" i="13"/>
  <c r="AQ17" i="13"/>
  <c r="AQ13" i="13"/>
  <c r="AQ20" i="13"/>
  <c r="AQ12" i="13"/>
  <c r="D79" i="4"/>
  <c r="D74" i="4"/>
  <c r="I78" i="4"/>
  <c r="I77" i="4"/>
  <c r="T9" i="3"/>
  <c r="T10" i="3" s="1"/>
  <c r="P9" i="3"/>
  <c r="P10" i="3" s="1"/>
  <c r="E36" i="16"/>
  <c r="Y28" i="12"/>
  <c r="C223" i="17" l="1"/>
  <c r="C222" i="17"/>
  <c r="C221" i="17"/>
  <c r="C220" i="17"/>
  <c r="D184" i="17"/>
  <c r="E159" i="17"/>
  <c r="J180" i="17" s="1"/>
  <c r="K182" i="17"/>
  <c r="F168" i="17"/>
  <c r="E167" i="17"/>
  <c r="E109" i="17" l="1"/>
  <c r="E108" i="17"/>
  <c r="E102" i="16"/>
  <c r="E103" i="16"/>
  <c r="E111" i="17"/>
  <c r="I111" i="17" s="1"/>
  <c r="E102" i="17"/>
  <c r="G55" i="7"/>
  <c r="E110" i="17" l="1"/>
  <c r="D59" i="7"/>
  <c r="D58" i="7" s="1"/>
  <c r="E68" i="17" l="1"/>
  <c r="G223" i="17" s="1"/>
  <c r="E64" i="17"/>
  <c r="H38" i="17"/>
  <c r="E35" i="17"/>
  <c r="F167" i="17" s="1"/>
  <c r="C192" i="17"/>
  <c r="C198" i="17" s="1"/>
  <c r="D182" i="17"/>
  <c r="E198" i="17" s="1"/>
  <c r="D181" i="17"/>
  <c r="C167" i="17"/>
  <c r="C173" i="17" s="1"/>
  <c r="C159" i="17"/>
  <c r="E158" i="17"/>
  <c r="C158" i="17"/>
  <c r="E157" i="17"/>
  <c r="D186" i="17" s="1"/>
  <c r="C157" i="17"/>
  <c r="E156" i="17"/>
  <c r="D183" i="17" s="1"/>
  <c r="D198" i="17" s="1"/>
  <c r="C156" i="17"/>
  <c r="G193" i="17"/>
  <c r="E50" i="17"/>
  <c r="G47" i="17"/>
  <c r="H46" i="17"/>
  <c r="E45" i="17"/>
  <c r="G39" i="17"/>
  <c r="E36" i="17"/>
  <c r="F169" i="17" s="1"/>
  <c r="O22" i="17"/>
  <c r="K22" i="17"/>
  <c r="L22" i="17" s="1"/>
  <c r="J22" i="17"/>
  <c r="O21" i="17"/>
  <c r="K21" i="17"/>
  <c r="L21" i="17" s="1"/>
  <c r="J21" i="17"/>
  <c r="C21" i="17"/>
  <c r="O20" i="17"/>
  <c r="K20" i="17"/>
  <c r="L20" i="17" s="1"/>
  <c r="J20" i="17"/>
  <c r="O19" i="17"/>
  <c r="J19" i="17"/>
  <c r="O18" i="17"/>
  <c r="K18" i="17"/>
  <c r="L18" i="17" s="1"/>
  <c r="J18" i="17"/>
  <c r="O17" i="17"/>
  <c r="K17" i="17"/>
  <c r="L17" i="17" s="1"/>
  <c r="J17" i="17"/>
  <c r="C17" i="17"/>
  <c r="E17" i="17" s="1"/>
  <c r="B17" i="17"/>
  <c r="O16" i="17"/>
  <c r="K16" i="17"/>
  <c r="L16" i="17" s="1"/>
  <c r="J16" i="17"/>
  <c r="C16" i="17"/>
  <c r="E16" i="17" s="1"/>
  <c r="B16" i="17"/>
  <c r="O15" i="17"/>
  <c r="K15" i="17"/>
  <c r="L15" i="17" s="1"/>
  <c r="J15" i="17"/>
  <c r="B15" i="17"/>
  <c r="A15" i="17"/>
  <c r="O14" i="17"/>
  <c r="K14" i="17"/>
  <c r="L14" i="17" s="1"/>
  <c r="J14" i="17"/>
  <c r="B14" i="17"/>
  <c r="A14" i="17"/>
  <c r="O13" i="17"/>
  <c r="K13" i="17"/>
  <c r="L13" i="17" s="1"/>
  <c r="J13" i="17"/>
  <c r="B13" i="17"/>
  <c r="A13" i="17"/>
  <c r="O12" i="17"/>
  <c r="J12" i="17"/>
  <c r="B12" i="17"/>
  <c r="A12" i="17"/>
  <c r="O11" i="17"/>
  <c r="K11" i="17"/>
  <c r="L11" i="17" s="1"/>
  <c r="J11" i="17"/>
  <c r="B11" i="17"/>
  <c r="A11" i="17"/>
  <c r="O10" i="17"/>
  <c r="U11" i="17" s="1"/>
  <c r="J10" i="17"/>
  <c r="B10" i="17"/>
  <c r="A10" i="17"/>
  <c r="O9" i="17"/>
  <c r="J9" i="17"/>
  <c r="B9" i="17"/>
  <c r="A9" i="17"/>
  <c r="O8" i="17"/>
  <c r="K8" i="17"/>
  <c r="L8" i="17" s="1"/>
  <c r="J8" i="17"/>
  <c r="B8" i="17"/>
  <c r="A8" i="17"/>
  <c r="O7" i="17"/>
  <c r="K7" i="17"/>
  <c r="L7" i="17" s="1"/>
  <c r="J7" i="17"/>
  <c r="B7" i="17"/>
  <c r="A7" i="17"/>
  <c r="O6" i="17"/>
  <c r="K6" i="17"/>
  <c r="L6" i="17" s="1"/>
  <c r="J6" i="17"/>
  <c r="D6" i="17"/>
  <c r="C6" i="17"/>
  <c r="B6" i="17"/>
  <c r="O5" i="17"/>
  <c r="K5" i="17"/>
  <c r="J5" i="17"/>
  <c r="D5" i="17"/>
  <c r="K4" i="17"/>
  <c r="D4" i="17"/>
  <c r="C4" i="17"/>
  <c r="A2" i="17"/>
  <c r="C187" i="16"/>
  <c r="C193" i="16" s="1"/>
  <c r="J175" i="16"/>
  <c r="G177" i="16"/>
  <c r="K177" i="16"/>
  <c r="D178" i="16"/>
  <c r="D193" i="16" s="1"/>
  <c r="C154" i="16"/>
  <c r="D179" i="16" s="1"/>
  <c r="C153" i="16"/>
  <c r="D180" i="16" s="1"/>
  <c r="A154" i="16"/>
  <c r="A153" i="16"/>
  <c r="D177" i="16"/>
  <c r="E193" i="16" s="1"/>
  <c r="D176" i="16"/>
  <c r="F164" i="16"/>
  <c r="F163" i="16"/>
  <c r="F162" i="16"/>
  <c r="C162" i="16"/>
  <c r="C152" i="16"/>
  <c r="I175" i="16" s="1"/>
  <c r="A152" i="16"/>
  <c r="C151" i="16"/>
  <c r="H175" i="16" s="1"/>
  <c r="A151" i="16"/>
  <c r="E68" i="16"/>
  <c r="G218" i="16" s="1"/>
  <c r="K175" i="16" l="1"/>
  <c r="D185" i="17"/>
  <c r="K180" i="17"/>
  <c r="M6" i="17"/>
  <c r="P6" i="17" s="1"/>
  <c r="M7" i="17"/>
  <c r="P7" i="17" s="1"/>
  <c r="M8" i="17"/>
  <c r="P8" i="17" s="1"/>
  <c r="M11" i="17"/>
  <c r="P11" i="17" s="1"/>
  <c r="M13" i="17"/>
  <c r="P13" i="17" s="1"/>
  <c r="M14" i="17"/>
  <c r="P14" i="17" s="1"/>
  <c r="M15" i="17"/>
  <c r="P15" i="17" s="1"/>
  <c r="M17" i="17"/>
  <c r="P17" i="17" s="1"/>
  <c r="M18" i="17"/>
  <c r="P18" i="17" s="1"/>
  <c r="M20" i="17"/>
  <c r="P20" i="17" s="1"/>
  <c r="I46" i="17"/>
  <c r="J47" i="17" s="1"/>
  <c r="M16" i="17"/>
  <c r="P16" i="17" s="1"/>
  <c r="M21" i="17"/>
  <c r="P21" i="17" s="1"/>
  <c r="M22" i="17"/>
  <c r="P22" i="17" s="1"/>
  <c r="I38" i="17"/>
  <c r="J39" i="17" s="1"/>
  <c r="U10" i="17"/>
  <c r="U9" i="17"/>
  <c r="E38" i="17"/>
  <c r="E173" i="17"/>
  <c r="C193" i="17"/>
  <c r="C188" i="16"/>
  <c r="G38" i="17" l="1"/>
  <c r="G46" i="17"/>
  <c r="E64" i="16"/>
  <c r="O111" i="8"/>
  <c r="F96" i="16"/>
  <c r="G96" i="16" s="1"/>
  <c r="G188" i="16" s="1"/>
  <c r="C21" i="16"/>
  <c r="A2" i="16" l="1"/>
  <c r="G79" i="16"/>
  <c r="E50" i="16" l="1"/>
  <c r="D30" i="14" l="1"/>
  <c r="G47" i="16"/>
  <c r="H46" i="16"/>
  <c r="G39" i="16"/>
  <c r="H38" i="16"/>
  <c r="E45" i="16"/>
  <c r="E37" i="16"/>
  <c r="E38" i="16" s="1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J5" i="16"/>
  <c r="K5" i="16"/>
  <c r="O5" i="16"/>
  <c r="J6" i="16"/>
  <c r="K6" i="16"/>
  <c r="L6" i="16" s="1"/>
  <c r="J7" i="16"/>
  <c r="K7" i="16"/>
  <c r="L7" i="16" s="1"/>
  <c r="J8" i="16"/>
  <c r="K8" i="16"/>
  <c r="L8" i="16" s="1"/>
  <c r="J9" i="16"/>
  <c r="J10" i="16"/>
  <c r="J11" i="16"/>
  <c r="K11" i="16"/>
  <c r="L11" i="16" s="1"/>
  <c r="J12" i="16"/>
  <c r="J13" i="16"/>
  <c r="K13" i="16"/>
  <c r="L13" i="16" s="1"/>
  <c r="M13" i="16" s="1"/>
  <c r="J14" i="16"/>
  <c r="K14" i="16"/>
  <c r="L14" i="16" s="1"/>
  <c r="J15" i="16"/>
  <c r="K15" i="16"/>
  <c r="L15" i="16" s="1"/>
  <c r="J16" i="16"/>
  <c r="K16" i="16"/>
  <c r="L16" i="16" s="1"/>
  <c r="J17" i="16"/>
  <c r="K17" i="16"/>
  <c r="L17" i="16" s="1"/>
  <c r="M17" i="16" s="1"/>
  <c r="J18" i="16"/>
  <c r="K18" i="16"/>
  <c r="L18" i="16" s="1"/>
  <c r="J19" i="16"/>
  <c r="J20" i="16"/>
  <c r="K20" i="16"/>
  <c r="L20" i="16" s="1"/>
  <c r="J21" i="16"/>
  <c r="K21" i="16"/>
  <c r="L21" i="16" s="1"/>
  <c r="M21" i="16" s="1"/>
  <c r="J22" i="16"/>
  <c r="K22" i="16"/>
  <c r="L22" i="16" s="1"/>
  <c r="F108" i="16"/>
  <c r="B17" i="16"/>
  <c r="C16" i="16"/>
  <c r="E16" i="16" s="1"/>
  <c r="B16" i="16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D6" i="16"/>
  <c r="C6" i="16"/>
  <c r="B6" i="16"/>
  <c r="D5" i="16"/>
  <c r="D4" i="16"/>
  <c r="C4" i="16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N34" i="13"/>
  <c r="DP34" i="13" s="1"/>
  <c r="DP32" i="13"/>
  <c r="DP33" i="13"/>
  <c r="DP35" i="13" l="1"/>
  <c r="DN35" i="13"/>
  <c r="E17" i="16"/>
  <c r="E108" i="16" s="1"/>
  <c r="I46" i="16"/>
  <c r="G46" i="16" s="1"/>
  <c r="M22" i="16"/>
  <c r="P22" i="16" s="1"/>
  <c r="M14" i="16"/>
  <c r="P14" i="16" s="1"/>
  <c r="M7" i="16"/>
  <c r="M15" i="16"/>
  <c r="M11" i="16"/>
  <c r="M6" i="16"/>
  <c r="P6" i="16" s="1"/>
  <c r="M18" i="16"/>
  <c r="P18" i="16" s="1"/>
  <c r="M20" i="16"/>
  <c r="M16" i="16"/>
  <c r="U11" i="16"/>
  <c r="U10" i="16"/>
  <c r="M8" i="16"/>
  <c r="P8" i="16" s="1"/>
  <c r="P21" i="16"/>
  <c r="P17" i="16"/>
  <c r="P13" i="16"/>
  <c r="P15" i="16"/>
  <c r="P11" i="16"/>
  <c r="P7" i="16"/>
  <c r="U9" i="16"/>
  <c r="P20" i="16"/>
  <c r="P16" i="16"/>
  <c r="G184" i="12"/>
  <c r="G185" i="12" s="1"/>
  <c r="G186" i="12" s="1"/>
  <c r="Q135" i="8"/>
  <c r="V23" i="9"/>
  <c r="N144" i="12"/>
  <c r="N143" i="12"/>
  <c r="N142" i="12"/>
  <c r="N141" i="12"/>
  <c r="CI9" i="13"/>
  <c r="CE9" i="13" s="1"/>
  <c r="CE10" i="13" s="1"/>
  <c r="J47" i="16" l="1"/>
  <c r="O79" i="15"/>
  <c r="N79" i="15"/>
  <c r="O78" i="15"/>
  <c r="N78" i="15"/>
  <c r="O69" i="15"/>
  <c r="L69" i="15"/>
  <c r="O67" i="15" s="1"/>
  <c r="K69" i="15"/>
  <c r="N69" i="15" s="1"/>
  <c r="J69" i="15"/>
  <c r="J77" i="15" s="1"/>
  <c r="M68" i="15"/>
  <c r="M67" i="15"/>
  <c r="O66" i="15"/>
  <c r="O64" i="15"/>
  <c r="N64" i="15"/>
  <c r="M64" i="15"/>
  <c r="M63" i="15"/>
  <c r="M62" i="15"/>
  <c r="O61" i="15"/>
  <c r="M61" i="15"/>
  <c r="O60" i="15"/>
  <c r="N60" i="15"/>
  <c r="M60" i="15"/>
  <c r="M59" i="15"/>
  <c r="J53" i="15"/>
  <c r="O51" i="15" s="1"/>
  <c r="O50" i="15"/>
  <c r="O49" i="15"/>
  <c r="O48" i="15"/>
  <c r="O46" i="15"/>
  <c r="M3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P18" i="15"/>
  <c r="M18" i="15"/>
  <c r="L18" i="15"/>
  <c r="J18" i="15"/>
  <c r="B18" i="15"/>
  <c r="P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Q28" i="15" s="1"/>
  <c r="P13" i="15"/>
  <c r="P28" i="15" s="1"/>
  <c r="O13" i="15"/>
  <c r="O28" i="15" s="1"/>
  <c r="N13" i="15"/>
  <c r="N18" i="15" s="1"/>
  <c r="M13" i="15"/>
  <c r="M28" i="15" s="1"/>
  <c r="L13" i="15"/>
  <c r="L28" i="15" s="1"/>
  <c r="K13" i="15"/>
  <c r="K28" i="15" s="1"/>
  <c r="J13" i="15"/>
  <c r="J28" i="15" s="1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K27" i="14"/>
  <c r="J27" i="14"/>
  <c r="R27" i="14" s="1"/>
  <c r="E27" i="14"/>
  <c r="K26" i="14"/>
  <c r="S26" i="14" s="1"/>
  <c r="J26" i="14"/>
  <c r="R26" i="14" s="1"/>
  <c r="R25" i="14"/>
  <c r="K25" i="14"/>
  <c r="S25" i="14" s="1"/>
  <c r="S20" i="14"/>
  <c r="K20" i="14"/>
  <c r="J20" i="14"/>
  <c r="R20" i="14" s="1"/>
  <c r="S19" i="14"/>
  <c r="K19" i="14"/>
  <c r="J19" i="14"/>
  <c r="R19" i="14" s="1"/>
  <c r="F19" i="14"/>
  <c r="D19" i="14"/>
  <c r="R18" i="14"/>
  <c r="K18" i="14"/>
  <c r="S18" i="14" s="1"/>
  <c r="J18" i="14"/>
  <c r="S17" i="14"/>
  <c r="R17" i="14"/>
  <c r="U12" i="14"/>
  <c r="E12" i="14"/>
  <c r="U11" i="14"/>
  <c r="R11" i="14"/>
  <c r="J11" i="14"/>
  <c r="K11" i="14" s="1"/>
  <c r="U10" i="14"/>
  <c r="K10" i="14"/>
  <c r="S10" i="14" s="1"/>
  <c r="J10" i="14"/>
  <c r="R10" i="14" s="1"/>
  <c r="U9" i="14"/>
  <c r="R9" i="14"/>
  <c r="J9" i="14"/>
  <c r="U8" i="14"/>
  <c r="M8" i="14"/>
  <c r="D8" i="14"/>
  <c r="DE32" i="13"/>
  <c r="DI15" i="13" s="1"/>
  <c r="DE31" i="13"/>
  <c r="DE30" i="13"/>
  <c r="DI13" i="13" s="1"/>
  <c r="DE29" i="13"/>
  <c r="DH28" i="13"/>
  <c r="DE28" i="13"/>
  <c r="DI27" i="13"/>
  <c r="DE27" i="13"/>
  <c r="DI10" i="13" s="1"/>
  <c r="R22" i="13"/>
  <c r="BG27" i="13" a="1"/>
  <c r="BG28" i="13" s="1"/>
  <c r="BF28" i="13"/>
  <c r="AX28" i="13" a="1"/>
  <c r="AW29" i="13"/>
  <c r="AW30" i="13" s="1"/>
  <c r="R20" i="13"/>
  <c r="BG24" i="13" a="1"/>
  <c r="AX25" i="13" a="1"/>
  <c r="AX25" i="13" s="1"/>
  <c r="AW25" i="13"/>
  <c r="R18" i="13"/>
  <c r="CK17" i="13"/>
  <c r="CO13" i="13" s="1"/>
  <c r="CC17" i="13"/>
  <c r="CG13" i="13" s="1"/>
  <c r="R16" i="13"/>
  <c r="CK15" i="13"/>
  <c r="CO12" i="13" s="1"/>
  <c r="CC15" i="13"/>
  <c r="CG12" i="13" s="1"/>
  <c r="BG21" i="13" a="1"/>
  <c r="AX22" i="13" a="1"/>
  <c r="AX22" i="13" s="1"/>
  <c r="AW22" i="13"/>
  <c r="DO13" i="13" s="1"/>
  <c r="DN14" i="13"/>
  <c r="DI14" i="13"/>
  <c r="DN13" i="13"/>
  <c r="CQ13" i="13"/>
  <c r="CM17" i="13" s="1"/>
  <c r="CM18" i="13" s="1"/>
  <c r="CK13" i="13"/>
  <c r="CO11" i="13" s="1"/>
  <c r="CI13" i="13"/>
  <c r="CE17" i="13" s="1"/>
  <c r="CE18" i="13" s="1"/>
  <c r="CH13" i="13"/>
  <c r="CC13" i="13"/>
  <c r="CG11" i="13" s="1"/>
  <c r="DN12" i="13"/>
  <c r="DI12" i="13"/>
  <c r="CQ12" i="13"/>
  <c r="CM15" i="13" s="1"/>
  <c r="CM16" i="13" s="1"/>
  <c r="CI12" i="13"/>
  <c r="CE15" i="13" s="1"/>
  <c r="CE16" i="13" s="1"/>
  <c r="CH12" i="13"/>
  <c r="BG18" i="13" a="1"/>
  <c r="AX19" i="13" a="1"/>
  <c r="AW19" i="13"/>
  <c r="AW20" i="13" s="1"/>
  <c r="AW21" i="13" s="1"/>
  <c r="AU19" i="13" a="1"/>
  <c r="AU30" i="13" s="1"/>
  <c r="DN11" i="13"/>
  <c r="DI11" i="13"/>
  <c r="CQ11" i="13"/>
  <c r="CM13" i="13" s="1"/>
  <c r="CM14" i="13" s="1"/>
  <c r="CK11" i="13"/>
  <c r="CO10" i="13" s="1"/>
  <c r="CI11" i="13"/>
  <c r="CE13" i="13" s="1"/>
  <c r="CE14" i="13" s="1"/>
  <c r="CH11" i="13"/>
  <c r="CC11" i="13"/>
  <c r="CG10" i="13" s="1"/>
  <c r="DN10" i="13"/>
  <c r="CQ10" i="13"/>
  <c r="CM11" i="13" s="1"/>
  <c r="CM12" i="13" s="1"/>
  <c r="CI10" i="13"/>
  <c r="CE11" i="13" s="1"/>
  <c r="CE12" i="13" s="1"/>
  <c r="CH10" i="13"/>
  <c r="R10" i="13"/>
  <c r="CV29" i="13"/>
  <c r="DN9" i="13"/>
  <c r="DI9" i="13"/>
  <c r="CQ9" i="13"/>
  <c r="CK9" i="13"/>
  <c r="CO9" i="13" s="1"/>
  <c r="CH9" i="13"/>
  <c r="CC9" i="13"/>
  <c r="CG9" i="13" s="1"/>
  <c r="BG9" i="13" a="1"/>
  <c r="BG11" i="13" s="1"/>
  <c r="AX9" i="13" a="1"/>
  <c r="AX9" i="13" s="1"/>
  <c r="AW9" i="13"/>
  <c r="DO9" i="13" s="1"/>
  <c r="AU9" i="13" a="1"/>
  <c r="N9" i="13" a="1"/>
  <c r="N20" i="13" s="1"/>
  <c r="AB226" i="12"/>
  <c r="AA226" i="12"/>
  <c r="Z226" i="12"/>
  <c r="BJ27" i="13" s="1" a="1"/>
  <c r="AB225" i="12"/>
  <c r="AA225" i="12"/>
  <c r="Z225" i="12"/>
  <c r="AB224" i="12"/>
  <c r="AA224" i="12"/>
  <c r="Z224" i="12"/>
  <c r="AB223" i="12"/>
  <c r="AA223" i="12"/>
  <c r="Z223" i="12"/>
  <c r="AB221" i="12"/>
  <c r="AA221" i="12"/>
  <c r="AB220" i="12"/>
  <c r="AA220" i="12"/>
  <c r="BJ10" i="13" s="1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AC208" i="12"/>
  <c r="AB208" i="12"/>
  <c r="Z208" i="12"/>
  <c r="N197" i="12"/>
  <c r="CP27" i="13" s="1"/>
  <c r="T194" i="12"/>
  <c r="N194" i="12"/>
  <c r="CP24" i="13" s="1"/>
  <c r="CP26" i="13"/>
  <c r="X188" i="12"/>
  <c r="X187" i="12"/>
  <c r="X186" i="12"/>
  <c r="X185" i="12"/>
  <c r="X184" i="12"/>
  <c r="K178" i="12"/>
  <c r="K179" i="12" s="1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P157" i="12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K156" i="12"/>
  <c r="K183" i="12" s="1"/>
  <c r="K193" i="12" s="1"/>
  <c r="K208" i="12" s="1"/>
  <c r="K220" i="12" s="1"/>
  <c r="N147" i="12"/>
  <c r="AG32" i="13" s="1"/>
  <c r="J147" i="12"/>
  <c r="N146" i="12"/>
  <c r="AG31" i="13" s="1"/>
  <c r="M146" i="12"/>
  <c r="N145" i="12"/>
  <c r="AG30" i="13" s="1"/>
  <c r="J145" i="12"/>
  <c r="AG29" i="13"/>
  <c r="K144" i="12"/>
  <c r="AG28" i="13"/>
  <c r="AG27" i="13"/>
  <c r="AG26" i="13"/>
  <c r="J140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S22" i="13"/>
  <c r="M127" i="12"/>
  <c r="M162" i="12" s="1"/>
  <c r="M189" i="12" s="1"/>
  <c r="M199" i="12" s="1"/>
  <c r="M214" i="12" s="1"/>
  <c r="M226" i="12" s="1"/>
  <c r="L127" i="12"/>
  <c r="K127" i="12"/>
  <c r="K162" i="12" s="1"/>
  <c r="K189" i="12" s="1"/>
  <c r="K199" i="12" s="1"/>
  <c r="K214" i="12" s="1"/>
  <c r="K226" i="12" s="1"/>
  <c r="S20" i="13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S18" i="13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S16" i="13"/>
  <c r="S15" i="13" s="1"/>
  <c r="M124" i="12"/>
  <c r="M144" i="12" s="1"/>
  <c r="L124" i="12"/>
  <c r="K124" i="12"/>
  <c r="K159" i="12" s="1"/>
  <c r="K186" i="12" s="1"/>
  <c r="K196" i="12" s="1"/>
  <c r="K211" i="12" s="1"/>
  <c r="K223" i="12" s="1"/>
  <c r="J124" i="12"/>
  <c r="J144" i="12" s="1"/>
  <c r="S14" i="13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S12" i="13"/>
  <c r="M122" i="12"/>
  <c r="M157" i="12" s="1"/>
  <c r="M184" i="12" s="1"/>
  <c r="M194" i="12" s="1"/>
  <c r="M209" i="12" s="1"/>
  <c r="M221" i="12" s="1"/>
  <c r="L122" i="12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S10" i="13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CU89" i="12"/>
  <c r="CT89" i="12"/>
  <c r="CO89" i="12"/>
  <c r="CN89" i="12"/>
  <c r="DB89" i="12" s="1"/>
  <c r="CM89" i="12"/>
  <c r="DA89" i="12" s="1"/>
  <c r="CL89" i="12"/>
  <c r="CZ89" i="12" s="1"/>
  <c r="CK89" i="12"/>
  <c r="CY89" i="12" s="1"/>
  <c r="CJ89" i="12"/>
  <c r="CX89" i="12" s="1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Q89" i="12" s="1"/>
  <c r="CB89" i="12"/>
  <c r="CP89" i="12" s="1"/>
  <c r="DA88" i="12"/>
  <c r="CX88" i="12"/>
  <c r="CP88" i="12"/>
  <c r="CO88" i="12"/>
  <c r="DC88" i="12" s="1"/>
  <c r="CN88" i="12"/>
  <c r="DB88" i="12" s="1"/>
  <c r="CM88" i="12"/>
  <c r="CL88" i="12"/>
  <c r="CZ88" i="12" s="1"/>
  <c r="CK88" i="12"/>
  <c r="CY88" i="12" s="1"/>
  <c r="CJ88" i="12"/>
  <c r="CI88" i="12"/>
  <c r="CW88" i="12" s="1"/>
  <c r="CH88" i="12"/>
  <c r="CV88" i="12" s="1"/>
  <c r="CG88" i="12"/>
  <c r="CU88" i="12" s="1"/>
  <c r="CF88" i="12"/>
  <c r="CT88" i="12" s="1"/>
  <c r="CE88" i="12"/>
  <c r="CS88" i="12" s="1"/>
  <c r="CD88" i="12"/>
  <c r="CR88" i="12" s="1"/>
  <c r="CC88" i="12"/>
  <c r="CQ88" i="12" s="1"/>
  <c r="CB88" i="12"/>
  <c r="DP87" i="12"/>
  <c r="DN87" i="12"/>
  <c r="DL87" i="12"/>
  <c r="DJ87" i="12"/>
  <c r="DH87" i="12"/>
  <c r="DB87" i="12"/>
  <c r="CT87" i="12"/>
  <c r="CS87" i="12"/>
  <c r="CO87" i="12"/>
  <c r="DC87" i="12" s="1"/>
  <c r="CN87" i="12"/>
  <c r="CM87" i="12"/>
  <c r="DA87" i="12" s="1"/>
  <c r="CL87" i="12"/>
  <c r="CZ87" i="12" s="1"/>
  <c r="CK87" i="12"/>
  <c r="CY87" i="12" s="1"/>
  <c r="CJ87" i="12"/>
  <c r="CX87" i="12" s="1"/>
  <c r="CI87" i="12"/>
  <c r="CW87" i="12" s="1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CP87" i="12" s="1"/>
  <c r="DP86" i="12"/>
  <c r="DN86" i="12"/>
  <c r="DL86" i="12"/>
  <c r="DJ86" i="12"/>
  <c r="DH86" i="12"/>
  <c r="DF86" i="12"/>
  <c r="DB86" i="12"/>
  <c r="CX86" i="12"/>
  <c r="CP86" i="12"/>
  <c r="CO86" i="12"/>
  <c r="DC86" i="12" s="1"/>
  <c r="CN86" i="12"/>
  <c r="CM86" i="12"/>
  <c r="DA86" i="12" s="1"/>
  <c r="CL86" i="12"/>
  <c r="CZ86" i="12" s="1"/>
  <c r="CK86" i="12"/>
  <c r="CY86" i="12" s="1"/>
  <c r="CJ86" i="12"/>
  <c r="CI86" i="12"/>
  <c r="CW86" i="12" s="1"/>
  <c r="CH86" i="12"/>
  <c r="CV86" i="12" s="1"/>
  <c r="CG86" i="12"/>
  <c r="CU86" i="12" s="1"/>
  <c r="CF86" i="12"/>
  <c r="CT86" i="12" s="1"/>
  <c r="CE86" i="12"/>
  <c r="CS86" i="12" s="1"/>
  <c r="CD86" i="12"/>
  <c r="CR86" i="12" s="1"/>
  <c r="CC86" i="12"/>
  <c r="CQ86" i="12" s="1"/>
  <c r="CB86" i="12"/>
  <c r="DP85" i="12"/>
  <c r="DN85" i="12"/>
  <c r="DL85" i="12"/>
  <c r="DJ85" i="12"/>
  <c r="DH85" i="12"/>
  <c r="CZ85" i="12"/>
  <c r="CV85" i="12"/>
  <c r="CR85" i="12"/>
  <c r="CO85" i="12"/>
  <c r="DC85" i="12" s="1"/>
  <c r="CN85" i="12"/>
  <c r="DB85" i="12" s="1"/>
  <c r="CM85" i="12"/>
  <c r="DA85" i="12" s="1"/>
  <c r="CL85" i="12"/>
  <c r="CK85" i="12"/>
  <c r="CY85" i="12" s="1"/>
  <c r="CJ85" i="12"/>
  <c r="CX85" i="12" s="1"/>
  <c r="CI85" i="12"/>
  <c r="CW85" i="12" s="1"/>
  <c r="CH85" i="12"/>
  <c r="CG85" i="12"/>
  <c r="CU85" i="12" s="1"/>
  <c r="CF85" i="12"/>
  <c r="CT85" i="12" s="1"/>
  <c r="CE85" i="12"/>
  <c r="CS85" i="12" s="1"/>
  <c r="CD85" i="12"/>
  <c r="CC85" i="12"/>
  <c r="CQ85" i="12" s="1"/>
  <c r="CB85" i="12"/>
  <c r="CP85" i="12" s="1"/>
  <c r="DP84" i="12"/>
  <c r="DN84" i="12"/>
  <c r="DB84" i="12"/>
  <c r="CS84" i="12"/>
  <c r="CO84" i="12"/>
  <c r="DC84" i="12" s="1"/>
  <c r="CN84" i="12"/>
  <c r="CM84" i="12"/>
  <c r="DA84" i="12" s="1"/>
  <c r="CL84" i="12"/>
  <c r="CZ84" i="12" s="1"/>
  <c r="CK84" i="12"/>
  <c r="CY84" i="12" s="1"/>
  <c r="CJ84" i="12"/>
  <c r="CX84" i="12" s="1"/>
  <c r="CI84" i="12"/>
  <c r="CW84" i="12" s="1"/>
  <c r="CH84" i="12"/>
  <c r="CV84" i="12" s="1"/>
  <c r="CG84" i="12"/>
  <c r="CU84" i="12" s="1"/>
  <c r="CF84" i="12"/>
  <c r="CT84" i="12" s="1"/>
  <c r="CE84" i="12"/>
  <c r="CD84" i="12"/>
  <c r="CR84" i="12" s="1"/>
  <c r="CC84" i="12"/>
  <c r="CQ84" i="12" s="1"/>
  <c r="CB84" i="12"/>
  <c r="CP84" i="12" s="1"/>
  <c r="DL83" i="12"/>
  <c r="DJ83" i="12"/>
  <c r="DH83" i="12"/>
  <c r="DF83" i="12"/>
  <c r="DB83" i="12"/>
  <c r="CT83" i="12"/>
  <c r="CS83" i="12"/>
  <c r="CO83" i="12"/>
  <c r="DC83" i="12" s="1"/>
  <c r="CN83" i="12"/>
  <c r="CM83" i="12"/>
  <c r="DA83" i="12" s="1"/>
  <c r="CL83" i="12"/>
  <c r="CZ83" i="12" s="1"/>
  <c r="CK83" i="12"/>
  <c r="CY83" i="12" s="1"/>
  <c r="CJ83" i="12"/>
  <c r="CX83" i="12" s="1"/>
  <c r="CI83" i="12"/>
  <c r="CW83" i="12" s="1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CP83" i="12" s="1"/>
  <c r="K83" i="12"/>
  <c r="DP82" i="12"/>
  <c r="DN82" i="12"/>
  <c r="DL82" i="12"/>
  <c r="DJ82" i="12"/>
  <c r="DH82" i="12"/>
  <c r="DF82" i="12"/>
  <c r="CZ82" i="12"/>
  <c r="CV82" i="12"/>
  <c r="CO82" i="12"/>
  <c r="DC82" i="12" s="1"/>
  <c r="CN82" i="12"/>
  <c r="DB82" i="12" s="1"/>
  <c r="CM82" i="12"/>
  <c r="DA82" i="12" s="1"/>
  <c r="CL82" i="12"/>
  <c r="CK82" i="12"/>
  <c r="CY82" i="12" s="1"/>
  <c r="CJ82" i="12"/>
  <c r="CX82" i="12" s="1"/>
  <c r="CI82" i="12"/>
  <c r="CW82" i="12" s="1"/>
  <c r="CH82" i="12"/>
  <c r="CG82" i="12"/>
  <c r="CU82" i="12" s="1"/>
  <c r="CF82" i="12"/>
  <c r="CT82" i="12" s="1"/>
  <c r="CE82" i="12"/>
  <c r="CS82" i="12" s="1"/>
  <c r="CD82" i="12"/>
  <c r="CR82" i="12" s="1"/>
  <c r="CC82" i="12"/>
  <c r="CQ82" i="12" s="1"/>
  <c r="CB82" i="12"/>
  <c r="CP82" i="12" s="1"/>
  <c r="DN81" i="12"/>
  <c r="DL81" i="12"/>
  <c r="DI81" i="12"/>
  <c r="DH81" i="12"/>
  <c r="CV81" i="12"/>
  <c r="CS81" i="12"/>
  <c r="CO81" i="12"/>
  <c r="DC81" i="12" s="1"/>
  <c r="CN81" i="12"/>
  <c r="DB81" i="12" s="1"/>
  <c r="CM81" i="12"/>
  <c r="DA81" i="12" s="1"/>
  <c r="CL81" i="12"/>
  <c r="CZ81" i="12" s="1"/>
  <c r="CK81" i="12"/>
  <c r="CY81" i="12" s="1"/>
  <c r="CJ81" i="12"/>
  <c r="CX81" i="12" s="1"/>
  <c r="CI81" i="12"/>
  <c r="CW81" i="12" s="1"/>
  <c r="CH81" i="12"/>
  <c r="CG81" i="12"/>
  <c r="CU81" i="12" s="1"/>
  <c r="CF81" i="12"/>
  <c r="CT81" i="12" s="1"/>
  <c r="CE81" i="12"/>
  <c r="CD81" i="12"/>
  <c r="CR81" i="12" s="1"/>
  <c r="CC81" i="12"/>
  <c r="CQ81" i="12" s="1"/>
  <c r="CB81" i="12"/>
  <c r="CP81" i="12" s="1"/>
  <c r="DN80" i="12"/>
  <c r="DL80" i="12"/>
  <c r="DJ80" i="12"/>
  <c r="DH80" i="12"/>
  <c r="DA80" i="12"/>
  <c r="CO80" i="12"/>
  <c r="DC80" i="12" s="1"/>
  <c r="CN80" i="12"/>
  <c r="DB80" i="12" s="1"/>
  <c r="CM80" i="12"/>
  <c r="CL80" i="12"/>
  <c r="CZ80" i="12" s="1"/>
  <c r="CK80" i="12"/>
  <c r="CY80" i="12" s="1"/>
  <c r="CJ80" i="12"/>
  <c r="CX80" i="12" s="1"/>
  <c r="CI80" i="12"/>
  <c r="CW80" i="12" s="1"/>
  <c r="CH80" i="12"/>
  <c r="CV80" i="12" s="1"/>
  <c r="CG80" i="12"/>
  <c r="CU80" i="12" s="1"/>
  <c r="CF80" i="12"/>
  <c r="CT80" i="12" s="1"/>
  <c r="CE80" i="12"/>
  <c r="CS80" i="12" s="1"/>
  <c r="CD80" i="12"/>
  <c r="CR80" i="12" s="1"/>
  <c r="CC80" i="12"/>
  <c r="CQ80" i="12" s="1"/>
  <c r="CB80" i="12"/>
  <c r="CP80" i="12" s="1"/>
  <c r="DL79" i="12"/>
  <c r="DJ79" i="12"/>
  <c r="DH79" i="12"/>
  <c r="DF79" i="12"/>
  <c r="DA79" i="12"/>
  <c r="CW79" i="12"/>
  <c r="CV79" i="12"/>
  <c r="CS79" i="12"/>
  <c r="CO79" i="12"/>
  <c r="DC79" i="12" s="1"/>
  <c r="CN79" i="12"/>
  <c r="DB79" i="12" s="1"/>
  <c r="CM79" i="12"/>
  <c r="CL79" i="12"/>
  <c r="CZ79" i="12" s="1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R79" i="12" s="1"/>
  <c r="CC79" i="12"/>
  <c r="CQ79" i="12" s="1"/>
  <c r="CB79" i="12"/>
  <c r="CP79" i="12" s="1"/>
  <c r="DL78" i="12"/>
  <c r="DJ78" i="12"/>
  <c r="DH78" i="12"/>
  <c r="DC78" i="12"/>
  <c r="CZ78" i="12"/>
  <c r="CV78" i="12"/>
  <c r="CU78" i="12"/>
  <c r="CR78" i="12"/>
  <c r="CO78" i="12"/>
  <c r="CN78" i="12"/>
  <c r="DB78" i="12" s="1"/>
  <c r="CM78" i="12"/>
  <c r="DA78" i="12" s="1"/>
  <c r="CL78" i="12"/>
  <c r="CK78" i="12"/>
  <c r="CY78" i="12" s="1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Q78" i="12" s="1"/>
  <c r="CB78" i="12"/>
  <c r="CP78" i="12" s="1"/>
  <c r="U78" i="12"/>
  <c r="DN77" i="12"/>
  <c r="DL77" i="12"/>
  <c r="DJ77" i="12"/>
  <c r="DH77" i="12"/>
  <c r="CV77" i="12"/>
  <c r="CR77" i="12"/>
  <c r="CQ77" i="12"/>
  <c r="CO77" i="12"/>
  <c r="DC77" i="12" s="1"/>
  <c r="CN77" i="12"/>
  <c r="DB77" i="12" s="1"/>
  <c r="CM77" i="12"/>
  <c r="DA77" i="12" s="1"/>
  <c r="CL77" i="12"/>
  <c r="CZ77" i="12" s="1"/>
  <c r="CK77" i="12"/>
  <c r="CY77" i="12" s="1"/>
  <c r="CJ77" i="12"/>
  <c r="CX77" i="12" s="1"/>
  <c r="CI77" i="12"/>
  <c r="CW77" i="12" s="1"/>
  <c r="CH77" i="12"/>
  <c r="CG77" i="12"/>
  <c r="CU77" i="12" s="1"/>
  <c r="CF77" i="12"/>
  <c r="CT77" i="12" s="1"/>
  <c r="CE77" i="12"/>
  <c r="CS77" i="12" s="1"/>
  <c r="CD77" i="12"/>
  <c r="CC77" i="12"/>
  <c r="CB77" i="12"/>
  <c r="CP77" i="12" s="1"/>
  <c r="U77" i="12"/>
  <c r="DH76" i="12"/>
  <c r="CV76" i="12"/>
  <c r="CO76" i="12"/>
  <c r="DC76" i="12" s="1"/>
  <c r="CN76" i="12"/>
  <c r="DB76" i="12" s="1"/>
  <c r="CM76" i="12"/>
  <c r="DA76" i="12" s="1"/>
  <c r="CL76" i="12"/>
  <c r="CZ76" i="12" s="1"/>
  <c r="CK76" i="12"/>
  <c r="CY76" i="12" s="1"/>
  <c r="CJ76" i="12"/>
  <c r="CX76" i="12" s="1"/>
  <c r="CI76" i="12"/>
  <c r="CW76" i="12" s="1"/>
  <c r="CH76" i="12"/>
  <c r="CG76" i="12"/>
  <c r="CU76" i="12" s="1"/>
  <c r="CF76" i="12"/>
  <c r="CT76" i="12" s="1"/>
  <c r="CE76" i="12"/>
  <c r="CS76" i="12" s="1"/>
  <c r="CD76" i="12"/>
  <c r="CR76" i="12" s="1"/>
  <c r="CC76" i="12"/>
  <c r="CQ76" i="12" s="1"/>
  <c r="CB76" i="12"/>
  <c r="CP76" i="12" s="1"/>
  <c r="K76" i="12"/>
  <c r="DP75" i="12"/>
  <c r="DO75" i="12"/>
  <c r="DN75" i="12"/>
  <c r="DL75" i="12"/>
  <c r="DJ75" i="12"/>
  <c r="DH75" i="12"/>
  <c r="CZ75" i="12"/>
  <c r="CV75" i="12"/>
  <c r="CR75" i="12"/>
  <c r="CO75" i="12"/>
  <c r="DC75" i="12" s="1"/>
  <c r="CN75" i="12"/>
  <c r="DB75" i="12" s="1"/>
  <c r="CM75" i="12"/>
  <c r="DA75" i="12" s="1"/>
  <c r="CL75" i="12"/>
  <c r="CK75" i="12"/>
  <c r="CY75" i="12" s="1"/>
  <c r="CJ75" i="12"/>
  <c r="CX75" i="12" s="1"/>
  <c r="CI75" i="12"/>
  <c r="CW75" i="12" s="1"/>
  <c r="CH75" i="12"/>
  <c r="CG75" i="12"/>
  <c r="CU75" i="12" s="1"/>
  <c r="CF75" i="12"/>
  <c r="CT75" i="12" s="1"/>
  <c r="CE75" i="12"/>
  <c r="CS75" i="12" s="1"/>
  <c r="CD75" i="12"/>
  <c r="CC75" i="12"/>
  <c r="CQ75" i="12" s="1"/>
  <c r="CB75" i="12"/>
  <c r="CP75" i="12" s="1"/>
  <c r="DJ74" i="12"/>
  <c r="DH74" i="12"/>
  <c r="DF74" i="12"/>
  <c r="CU74" i="12"/>
  <c r="CO74" i="12"/>
  <c r="DC74" i="12" s="1"/>
  <c r="CN74" i="12"/>
  <c r="DB74" i="12" s="1"/>
  <c r="CM74" i="12"/>
  <c r="DA74" i="12" s="1"/>
  <c r="CL74" i="12"/>
  <c r="CZ74" i="12" s="1"/>
  <c r="CK74" i="12"/>
  <c r="CY74" i="12" s="1"/>
  <c r="CJ74" i="12"/>
  <c r="CX74" i="12" s="1"/>
  <c r="CI74" i="12"/>
  <c r="CW74" i="12" s="1"/>
  <c r="CH74" i="12"/>
  <c r="CV74" i="12" s="1"/>
  <c r="CG74" i="12"/>
  <c r="CF74" i="12"/>
  <c r="CT74" i="12" s="1"/>
  <c r="CE74" i="12"/>
  <c r="CS74" i="12" s="1"/>
  <c r="CD74" i="12"/>
  <c r="CR74" i="12" s="1"/>
  <c r="CC74" i="12"/>
  <c r="CQ74" i="12" s="1"/>
  <c r="CB74" i="12"/>
  <c r="CP74" i="12" s="1"/>
  <c r="K74" i="12"/>
  <c r="DP73" i="12"/>
  <c r="DN73" i="12"/>
  <c r="DL73" i="12"/>
  <c r="DJ73" i="12"/>
  <c r="DC73" i="12"/>
  <c r="CY73" i="12"/>
  <c r="CU73" i="12"/>
  <c r="CQ73" i="12"/>
  <c r="CO73" i="12"/>
  <c r="CN73" i="12"/>
  <c r="DB73" i="12" s="1"/>
  <c r="CM73" i="12"/>
  <c r="DA73" i="12" s="1"/>
  <c r="CL73" i="12"/>
  <c r="CZ73" i="12" s="1"/>
  <c r="CK73" i="12"/>
  <c r="CJ73" i="12"/>
  <c r="CX73" i="12" s="1"/>
  <c r="CI73" i="12"/>
  <c r="CW73" i="12" s="1"/>
  <c r="CH73" i="12"/>
  <c r="CV73" i="12" s="1"/>
  <c r="CG73" i="12"/>
  <c r="CF73" i="12"/>
  <c r="CT73" i="12" s="1"/>
  <c r="CE73" i="12"/>
  <c r="CS73" i="12" s="1"/>
  <c r="CD73" i="12"/>
  <c r="CR73" i="12" s="1"/>
  <c r="CC73" i="12"/>
  <c r="CB73" i="12"/>
  <c r="CP73" i="12" s="1"/>
  <c r="U73" i="12"/>
  <c r="K73" i="12"/>
  <c r="CZ72" i="12"/>
  <c r="CW72" i="12"/>
  <c r="CO72" i="12"/>
  <c r="DC72" i="12" s="1"/>
  <c r="CN72" i="12"/>
  <c r="DB72" i="12" s="1"/>
  <c r="CM72" i="12"/>
  <c r="DA72" i="12" s="1"/>
  <c r="CL72" i="12"/>
  <c r="CK72" i="12"/>
  <c r="CY72" i="12" s="1"/>
  <c r="CJ72" i="12"/>
  <c r="CX72" i="12" s="1"/>
  <c r="CI72" i="12"/>
  <c r="CH72" i="12"/>
  <c r="CV72" i="12" s="1"/>
  <c r="CG72" i="12"/>
  <c r="CU72" i="12" s="1"/>
  <c r="CF72" i="12"/>
  <c r="CT72" i="12" s="1"/>
  <c r="CE72" i="12"/>
  <c r="CS72" i="12" s="1"/>
  <c r="CD72" i="12"/>
  <c r="CR72" i="12" s="1"/>
  <c r="CC72" i="12"/>
  <c r="CQ72" i="12" s="1"/>
  <c r="CB72" i="12"/>
  <c r="CP72" i="12" s="1"/>
  <c r="DF71" i="12"/>
  <c r="DA71" i="12"/>
  <c r="CW71" i="12"/>
  <c r="CS71" i="12"/>
  <c r="CO71" i="12"/>
  <c r="DC71" i="12" s="1"/>
  <c r="CN71" i="12"/>
  <c r="DB71" i="12" s="1"/>
  <c r="CM71" i="12"/>
  <c r="CL71" i="12"/>
  <c r="CZ71" i="12" s="1"/>
  <c r="CK71" i="12"/>
  <c r="CY71" i="12" s="1"/>
  <c r="CJ71" i="12"/>
  <c r="CX71" i="12" s="1"/>
  <c r="CI71" i="12"/>
  <c r="CH71" i="12"/>
  <c r="CV71" i="12" s="1"/>
  <c r="CG71" i="12"/>
  <c r="CU71" i="12" s="1"/>
  <c r="CF71" i="12"/>
  <c r="CT71" i="12" s="1"/>
  <c r="CE71" i="12"/>
  <c r="CD71" i="12"/>
  <c r="CR71" i="12" s="1"/>
  <c r="CC71" i="12"/>
  <c r="CQ71" i="12" s="1"/>
  <c r="CB71" i="12"/>
  <c r="CP71" i="12" s="1"/>
  <c r="DP70" i="12"/>
  <c r="DN70" i="12"/>
  <c r="DL70" i="12"/>
  <c r="DJ70" i="12"/>
  <c r="DH70" i="12"/>
  <c r="CX70" i="12"/>
  <c r="CU70" i="12"/>
  <c r="CO70" i="12"/>
  <c r="DC70" i="12" s="1"/>
  <c r="CN70" i="12"/>
  <c r="DB70" i="12" s="1"/>
  <c r="CM70" i="12"/>
  <c r="DA70" i="12" s="1"/>
  <c r="CL70" i="12"/>
  <c r="CZ70" i="12" s="1"/>
  <c r="CK70" i="12"/>
  <c r="CY70" i="12" s="1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R70" i="12" s="1"/>
  <c r="CC70" i="12"/>
  <c r="CQ70" i="12" s="1"/>
  <c r="CB70" i="12"/>
  <c r="CP70" i="12" s="1"/>
  <c r="DC69" i="12"/>
  <c r="CY69" i="12"/>
  <c r="CU69" i="12"/>
  <c r="CR69" i="12"/>
  <c r="CQ69" i="12"/>
  <c r="CO69" i="12"/>
  <c r="CN69" i="12"/>
  <c r="DB69" i="12" s="1"/>
  <c r="CM69" i="12"/>
  <c r="DA69" i="12" s="1"/>
  <c r="CL69" i="12"/>
  <c r="CZ69" i="12" s="1"/>
  <c r="CK69" i="12"/>
  <c r="CJ69" i="12"/>
  <c r="CX69" i="12" s="1"/>
  <c r="CI69" i="12"/>
  <c r="CW69" i="12" s="1"/>
  <c r="CH69" i="12"/>
  <c r="CV69" i="12" s="1"/>
  <c r="CG69" i="12"/>
  <c r="CF69" i="12"/>
  <c r="CT69" i="12" s="1"/>
  <c r="CE69" i="12"/>
  <c r="CS69" i="12" s="1"/>
  <c r="CD69" i="12"/>
  <c r="CC69" i="12"/>
  <c r="CB69" i="12"/>
  <c r="CP69" i="12" s="1"/>
  <c r="CV68" i="12"/>
  <c r="CU68" i="12"/>
  <c r="CO68" i="12"/>
  <c r="DC68" i="12" s="1"/>
  <c r="CN68" i="12"/>
  <c r="DB68" i="12" s="1"/>
  <c r="CM68" i="12"/>
  <c r="DA68" i="12" s="1"/>
  <c r="CL68" i="12"/>
  <c r="CZ68" i="12" s="1"/>
  <c r="CK68" i="12"/>
  <c r="CY68" i="12" s="1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R68" i="12" s="1"/>
  <c r="CC68" i="12"/>
  <c r="CQ68" i="12" s="1"/>
  <c r="CB68" i="12"/>
  <c r="CP68" i="12" s="1"/>
  <c r="DF67" i="12"/>
  <c r="CZ67" i="12"/>
  <c r="CV67" i="12"/>
  <c r="CO67" i="12"/>
  <c r="DC67" i="12" s="1"/>
  <c r="CN67" i="12"/>
  <c r="DB67" i="12" s="1"/>
  <c r="CM67" i="12"/>
  <c r="DA67" i="12" s="1"/>
  <c r="CL67" i="12"/>
  <c r="CK67" i="12"/>
  <c r="CY67" i="12" s="1"/>
  <c r="CJ67" i="12"/>
  <c r="CX67" i="12" s="1"/>
  <c r="CI67" i="12"/>
  <c r="CW67" i="12" s="1"/>
  <c r="CH67" i="12"/>
  <c r="CG67" i="12"/>
  <c r="CU67" i="12" s="1"/>
  <c r="CF67" i="12"/>
  <c r="CT67" i="12" s="1"/>
  <c r="CE67" i="12"/>
  <c r="CS67" i="12" s="1"/>
  <c r="CD67" i="12"/>
  <c r="CR67" i="12" s="1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Y55" i="12"/>
  <c r="N87" i="12" s="1"/>
  <c r="AE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Y54" i="12"/>
  <c r="N86" i="12" s="1"/>
  <c r="X54" i="12"/>
  <c r="V86" i="12" s="1"/>
  <c r="W54" i="12"/>
  <c r="U86" i="12" s="1"/>
  <c r="V54" i="12"/>
  <c r="T86" i="12" s="1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Y48" i="12"/>
  <c r="N80" i="12" s="1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Y46" i="12"/>
  <c r="N78" i="12" s="1"/>
  <c r="X46" i="12"/>
  <c r="V78" i="12" s="1"/>
  <c r="W46" i="12"/>
  <c r="V46" i="12"/>
  <c r="T78" i="12" s="1"/>
  <c r="U46" i="12"/>
  <c r="S78" i="12" s="1"/>
  <c r="T46" i="12"/>
  <c r="R78" i="12" s="1"/>
  <c r="S46" i="12"/>
  <c r="R46" i="12"/>
  <c r="Q46" i="12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R72" i="12" s="1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Y38" i="12"/>
  <c r="N70" i="12" s="1"/>
  <c r="X38" i="12"/>
  <c r="V70" i="12" s="1"/>
  <c r="Q70" i="12" s="1"/>
  <c r="W38" i="12"/>
  <c r="U70" i="12" s="1"/>
  <c r="V38" i="12"/>
  <c r="T70" i="12" s="1"/>
  <c r="U38" i="12"/>
  <c r="S70" i="12" s="1"/>
  <c r="T38" i="12"/>
  <c r="R70" i="12" s="1"/>
  <c r="S38" i="12"/>
  <c r="R38" i="12"/>
  <c r="Q38" i="12"/>
  <c r="Y37" i="12"/>
  <c r="N69" i="12" s="1"/>
  <c r="X37" i="12"/>
  <c r="V69" i="12" s="1"/>
  <c r="W37" i="12"/>
  <c r="U69" i="12" s="1"/>
  <c r="V37" i="12"/>
  <c r="T69" i="12" s="1"/>
  <c r="U37" i="12"/>
  <c r="S69" i="12" s="1"/>
  <c r="T37" i="12"/>
  <c r="R69" i="12" s="1"/>
  <c r="S37" i="12"/>
  <c r="R37" i="12"/>
  <c r="Q37" i="12"/>
  <c r="Y36" i="12"/>
  <c r="N68" i="12" s="1"/>
  <c r="X36" i="12"/>
  <c r="V68" i="12" s="1"/>
  <c r="W36" i="12"/>
  <c r="U68" i="12" s="1"/>
  <c r="V36" i="12"/>
  <c r="T68" i="12" s="1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AB27" i="12"/>
  <c r="AE27" i="12" s="1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P22" i="12"/>
  <c r="P52" i="12" s="1"/>
  <c r="O22" i="12"/>
  <c r="N22" i="12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P20" i="12"/>
  <c r="AB20" i="12" s="1"/>
  <c r="AE20" i="12" s="1"/>
  <c r="O20" i="12"/>
  <c r="O50" i="12" s="1"/>
  <c r="N20" i="12"/>
  <c r="Z20" i="12" s="1"/>
  <c r="AC20" i="12" s="1"/>
  <c r="AF20" i="12" s="1"/>
  <c r="Z19" i="12"/>
  <c r="AC19" i="12" s="1"/>
  <c r="AF19" i="12" s="1"/>
  <c r="P19" i="12"/>
  <c r="O19" i="12"/>
  <c r="O49" i="12" s="1"/>
  <c r="N19" i="12"/>
  <c r="N49" i="12" s="1"/>
  <c r="Z49" i="12" s="1"/>
  <c r="O81" i="12" s="1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O17" i="12"/>
  <c r="O47" i="12" s="1"/>
  <c r="N17" i="12"/>
  <c r="N47" i="12" s="1"/>
  <c r="Z47" i="12" s="1"/>
  <c r="O79" i="12" s="1"/>
  <c r="P16" i="12"/>
  <c r="AB16" i="12" s="1"/>
  <c r="AE16" i="12" s="1"/>
  <c r="O16" i="12"/>
  <c r="O46" i="12" s="1"/>
  <c r="N16" i="12"/>
  <c r="Z16" i="12" s="1"/>
  <c r="AC16" i="12" s="1"/>
  <c r="AF16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K14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P11" i="12"/>
  <c r="AB11" i="12" s="1"/>
  <c r="AE11" i="12" s="1"/>
  <c r="O11" i="12"/>
  <c r="O41" i="12" s="1"/>
  <c r="N11" i="12"/>
  <c r="Z10" i="12"/>
  <c r="AC10" i="12" s="1"/>
  <c r="AF10" i="12" s="1"/>
  <c r="P10" i="12"/>
  <c r="O10" i="12"/>
  <c r="O40" i="12" s="1"/>
  <c r="N10" i="12"/>
  <c r="N40" i="12" s="1"/>
  <c r="Z40" i="12" s="1"/>
  <c r="O72" i="12" s="1"/>
  <c r="P9" i="12"/>
  <c r="P39" i="12" s="1"/>
  <c r="O9" i="12"/>
  <c r="O39" i="12" s="1"/>
  <c r="N9" i="12"/>
  <c r="Z8" i="12"/>
  <c r="AC8" i="12" s="1"/>
  <c r="AF8" i="12" s="1"/>
  <c r="P8" i="12"/>
  <c r="AB8" i="12" s="1"/>
  <c r="AE8" i="12" s="1"/>
  <c r="O8" i="12"/>
  <c r="O38" i="12" s="1"/>
  <c r="N8" i="12"/>
  <c r="N38" i="12" s="1"/>
  <c r="P7" i="12"/>
  <c r="P37" i="12" s="1"/>
  <c r="O7" i="12"/>
  <c r="O37" i="12" s="1"/>
  <c r="N7" i="12"/>
  <c r="AB6" i="12"/>
  <c r="AE6" i="12" s="1"/>
  <c r="Z6" i="12"/>
  <c r="AC6" i="12" s="1"/>
  <c r="AF6" i="12" s="1"/>
  <c r="P6" i="12"/>
  <c r="P36" i="12" s="1"/>
  <c r="O6" i="12"/>
  <c r="O36" i="12" s="1"/>
  <c r="N6" i="12"/>
  <c r="N36" i="12" s="1"/>
  <c r="AB5" i="12"/>
  <c r="AE5" i="12" s="1"/>
  <c r="P5" i="12"/>
  <c r="O5" i="12"/>
  <c r="N5" i="12"/>
  <c r="N28" i="12" s="1"/>
  <c r="M4" i="12"/>
  <c r="Z154" i="11"/>
  <c r="W139" i="11"/>
  <c r="W166" i="11" s="1"/>
  <c r="Y138" i="11"/>
  <c r="U138" i="11"/>
  <c r="M138" i="11"/>
  <c r="W137" i="11"/>
  <c r="W164" i="11" s="1"/>
  <c r="S137" i="11"/>
  <c r="S164" i="11" s="1"/>
  <c r="U136" i="11"/>
  <c r="U163" i="11" s="1"/>
  <c r="Q136" i="11"/>
  <c r="Q163" i="11" s="1"/>
  <c r="M136" i="11"/>
  <c r="Y134" i="11"/>
  <c r="Y161" i="11" s="1"/>
  <c r="W133" i="11"/>
  <c r="W160" i="11" s="1"/>
  <c r="U132" i="11"/>
  <c r="U159" i="11" s="1"/>
  <c r="V130" i="11"/>
  <c r="V157" i="11" s="1"/>
  <c r="Q130" i="11"/>
  <c r="Q157" i="11" s="1"/>
  <c r="O129" i="11"/>
  <c r="O156" i="11" s="1"/>
  <c r="M129" i="11"/>
  <c r="W128" i="11"/>
  <c r="W155" i="11" s="1"/>
  <c r="O124" i="11"/>
  <c r="O151" i="11" s="1"/>
  <c r="M120" i="11"/>
  <c r="Y118" i="11"/>
  <c r="Y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T110" i="11"/>
  <c r="S110" i="11"/>
  <c r="R110" i="11"/>
  <c r="Q110" i="1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Q138" i="11" s="1"/>
  <c r="P109" i="11"/>
  <c r="P138" i="11" s="1"/>
  <c r="O109" i="11"/>
  <c r="O138" i="11" s="1"/>
  <c r="N109" i="11"/>
  <c r="N138" i="11" s="1"/>
  <c r="M109" i="1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Y136" i="11" s="1"/>
  <c r="Y163" i="11" s="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W135" i="11" s="1"/>
  <c r="W162" i="11" s="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T105" i="11"/>
  <c r="T134" i="11" s="1"/>
  <c r="T161" i="11" s="1"/>
  <c r="S105" i="11"/>
  <c r="S134" i="11" s="1"/>
  <c r="S161" i="11" s="1"/>
  <c r="R105" i="11"/>
  <c r="R134" i="11" s="1"/>
  <c r="R161" i="11" s="1"/>
  <c r="Q105" i="11"/>
  <c r="P105" i="11"/>
  <c r="P134" i="11" s="1"/>
  <c r="P161" i="11" s="1"/>
  <c r="O105" i="11"/>
  <c r="O134" i="11" s="1"/>
  <c r="O161" i="11" s="1"/>
  <c r="N105" i="11"/>
  <c r="N134" i="11" s="1"/>
  <c r="N161" i="11" s="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Z132" i="11" s="1"/>
  <c r="Z159" i="11" s="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N102" i="11"/>
  <c r="M102" i="11"/>
  <c r="Z101" i="11"/>
  <c r="Z130" i="11" s="1"/>
  <c r="Z157" i="11" s="1"/>
  <c r="Y101" i="1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T129" i="11" s="1"/>
  <c r="T156" i="11" s="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U99" i="11"/>
  <c r="U128" i="11" s="1"/>
  <c r="U155" i="11" s="1"/>
  <c r="T99" i="11"/>
  <c r="S99" i="11"/>
  <c r="S128" i="11" s="1"/>
  <c r="S155" i="11" s="1"/>
  <c r="R99" i="11"/>
  <c r="Q99" i="11"/>
  <c r="Q128" i="11" s="1"/>
  <c r="Q155" i="11" s="1"/>
  <c r="P99" i="11"/>
  <c r="O99" i="11"/>
  <c r="N99" i="11"/>
  <c r="M99" i="11"/>
  <c r="M128" i="11" s="1"/>
  <c r="Z98" i="11"/>
  <c r="Z127" i="11" s="1"/>
  <c r="Y98" i="11"/>
  <c r="X98" i="11"/>
  <c r="X127" i="11" s="1"/>
  <c r="X154" i="11" s="1"/>
  <c r="W98" i="11"/>
  <c r="W127" i="11" s="1"/>
  <c r="W154" i="11" s="1"/>
  <c r="V98" i="11"/>
  <c r="U98" i="11"/>
  <c r="U127" i="11" s="1"/>
  <c r="U154" i="11" s="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Y126" i="11" s="1"/>
  <c r="Y153" i="11" s="1"/>
  <c r="X97" i="11"/>
  <c r="X126" i="11" s="1"/>
  <c r="X153" i="11" s="1"/>
  <c r="W97" i="11"/>
  <c r="V97" i="11"/>
  <c r="U97" i="11"/>
  <c r="T97" i="11"/>
  <c r="S97" i="11"/>
  <c r="S126" i="11" s="1"/>
  <c r="S153" i="11" s="1"/>
  <c r="R97" i="11"/>
  <c r="Q97" i="11"/>
  <c r="Q126" i="11" s="1"/>
  <c r="Q153" i="11" s="1"/>
  <c r="P97" i="11"/>
  <c r="O97" i="11"/>
  <c r="N97" i="11"/>
  <c r="M97" i="11"/>
  <c r="M126" i="11" s="1"/>
  <c r="Z96" i="11"/>
  <c r="Y96" i="11"/>
  <c r="Y125" i="11" s="1"/>
  <c r="Y152" i="11" s="1"/>
  <c r="X96" i="11"/>
  <c r="X125" i="11" s="1"/>
  <c r="X152" i="11" s="1"/>
  <c r="W96" i="11"/>
  <c r="W125" i="11" s="1"/>
  <c r="W152" i="11" s="1"/>
  <c r="V96" i="11"/>
  <c r="U96" i="11"/>
  <c r="T96" i="11"/>
  <c r="T125" i="11" s="1"/>
  <c r="T152" i="11" s="1"/>
  <c r="S96" i="11"/>
  <c r="S125" i="11" s="1"/>
  <c r="S152" i="11" s="1"/>
  <c r="R96" i="11"/>
  <c r="Q96" i="11"/>
  <c r="Q125" i="11" s="1"/>
  <c r="Q152" i="11" s="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U124" i="11" s="1"/>
  <c r="U151" i="11" s="1"/>
  <c r="T95" i="11"/>
  <c r="S95" i="11"/>
  <c r="S124" i="11" s="1"/>
  <c r="S151" i="11" s="1"/>
  <c r="R95" i="11"/>
  <c r="Q95" i="11"/>
  <c r="Q124" i="11" s="1"/>
  <c r="Q151" i="11" s="1"/>
  <c r="P95" i="11"/>
  <c r="O95" i="11"/>
  <c r="N95" i="1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S123" i="11" s="1"/>
  <c r="S150" i="11" s="1"/>
  <c r="R94" i="11"/>
  <c r="Q94" i="11"/>
  <c r="P94" i="11"/>
  <c r="P123" i="11" s="1"/>
  <c r="P150" i="11" s="1"/>
  <c r="O94" i="11"/>
  <c r="O123" i="11" s="1"/>
  <c r="O150" i="11" s="1"/>
  <c r="N94" i="11"/>
  <c r="M94" i="11"/>
  <c r="M123" i="11" s="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U93" i="11"/>
  <c r="T93" i="11"/>
  <c r="S93" i="11"/>
  <c r="R93" i="11"/>
  <c r="Q93" i="11"/>
  <c r="Q122" i="11" s="1"/>
  <c r="Q149" i="11" s="1"/>
  <c r="P93" i="11"/>
  <c r="O93" i="11"/>
  <c r="N93" i="11"/>
  <c r="M122" i="1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T121" i="11" s="1"/>
  <c r="T148" i="11" s="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O121" i="11" s="1"/>
  <c r="O148" i="11" s="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R120" i="11" s="1"/>
  <c r="R147" i="11" s="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Z146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R146" i="11" s="1"/>
  <c r="Q90" i="11"/>
  <c r="P90" i="11"/>
  <c r="O90" i="1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T89" i="11"/>
  <c r="T118" i="11" s="1"/>
  <c r="T145" i="11" s="1"/>
  <c r="S89" i="11"/>
  <c r="S118" i="11" s="1"/>
  <c r="S145" i="11" s="1"/>
  <c r="R89" i="11"/>
  <c r="R118" i="11" s="1"/>
  <c r="R145" i="11" s="1"/>
  <c r="Q89" i="11"/>
  <c r="P89" i="11"/>
  <c r="P118" i="11" s="1"/>
  <c r="P145" i="11" s="1"/>
  <c r="O89" i="11"/>
  <c r="O118" i="11" s="1"/>
  <c r="O145" i="11" s="1"/>
  <c r="N89" i="11"/>
  <c r="N118" i="11" s="1"/>
  <c r="N145" i="11" s="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G74" i="11"/>
  <c r="F74" i="11"/>
  <c r="AQ73" i="11"/>
  <c r="AB73" i="11"/>
  <c r="AP73" i="11" s="1"/>
  <c r="Z27" i="11" s="1"/>
  <c r="AN27" i="11" s="1"/>
  <c r="AA73" i="11"/>
  <c r="F73" i="11"/>
  <c r="G73" i="11" s="1"/>
  <c r="H73" i="11" s="1"/>
  <c r="L73" i="11" s="1"/>
  <c r="AP72" i="11"/>
  <c r="AB72" i="11"/>
  <c r="AA72" i="11"/>
  <c r="H72" i="11"/>
  <c r="L72" i="11" s="1"/>
  <c r="F72" i="11"/>
  <c r="G72" i="11" s="1"/>
  <c r="AB71" i="11"/>
  <c r="AP71" i="11" s="1"/>
  <c r="Z21" i="11" s="1"/>
  <c r="AN21" i="11" s="1"/>
  <c r="AA71" i="11"/>
  <c r="I71" i="11"/>
  <c r="F71" i="11"/>
  <c r="J71" i="11" s="1"/>
  <c r="G71" i="11" s="1"/>
  <c r="H71" i="11" s="1"/>
  <c r="L71" i="11" s="1"/>
  <c r="AI70" i="11"/>
  <c r="S25" i="11" s="1"/>
  <c r="AG25" i="11" s="1"/>
  <c r="AB70" i="11"/>
  <c r="AA70" i="11"/>
  <c r="J70" i="11"/>
  <c r="G70" i="11" s="1"/>
  <c r="F70" i="11"/>
  <c r="AQ69" i="11"/>
  <c r="AP69" i="11"/>
  <c r="AF69" i="11"/>
  <c r="P20" i="11" s="1"/>
  <c r="AD20" i="11" s="1"/>
  <c r="AB69" i="11"/>
  <c r="AA69" i="11"/>
  <c r="F69" i="11"/>
  <c r="J69" i="11" s="1"/>
  <c r="G69" i="11" s="1"/>
  <c r="AB68" i="11"/>
  <c r="AA68" i="1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B67" i="11"/>
  <c r="AI67" i="11" s="1"/>
  <c r="S13" i="11" s="1"/>
  <c r="AA67" i="11"/>
  <c r="F67" i="11"/>
  <c r="G67" i="11" s="1"/>
  <c r="H67" i="11" s="1"/>
  <c r="L67" i="11" s="1"/>
  <c r="AQ66" i="11"/>
  <c r="AP66" i="11"/>
  <c r="Z11" i="11" s="1"/>
  <c r="AO66" i="11"/>
  <c r="AN66" i="11"/>
  <c r="AM66" i="11"/>
  <c r="AL66" i="11"/>
  <c r="AK66" i="11"/>
  <c r="AJ66" i="11"/>
  <c r="AE66" i="11"/>
  <c r="AB66" i="11"/>
  <c r="AH66" i="11" s="1"/>
  <c r="AA66" i="11"/>
  <c r="F66" i="11"/>
  <c r="J66" i="11" s="1"/>
  <c r="G66" i="11" s="1"/>
  <c r="H66" i="11" s="1"/>
  <c r="L66" i="11" s="1"/>
  <c r="AQ65" i="11"/>
  <c r="AP65" i="11"/>
  <c r="AO65" i="11"/>
  <c r="AN65" i="11"/>
  <c r="AB65" i="11"/>
  <c r="AE65" i="11" s="1"/>
  <c r="AA65" i="11"/>
  <c r="J65" i="11"/>
  <c r="G65" i="11" s="1"/>
  <c r="F65" i="11"/>
  <c r="AQ64" i="11"/>
  <c r="AP64" i="11"/>
  <c r="AO64" i="11"/>
  <c r="AE64" i="11"/>
  <c r="O18" i="11" s="1"/>
  <c r="AC18" i="11" s="1"/>
  <c r="AB64" i="11"/>
  <c r="AA64" i="11"/>
  <c r="F64" i="11"/>
  <c r="J64" i="11" s="1"/>
  <c r="G64" i="11" s="1"/>
  <c r="AQ63" i="11"/>
  <c r="AP63" i="11"/>
  <c r="AO63" i="11"/>
  <c r="AN63" i="11"/>
  <c r="AB63" i="11"/>
  <c r="AA63" i="11"/>
  <c r="AI63" i="11" s="1"/>
  <c r="F63" i="11"/>
  <c r="J63" i="11" s="1"/>
  <c r="G63" i="11" s="1"/>
  <c r="AQ62" i="11"/>
  <c r="AP62" i="11"/>
  <c r="AO62" i="11"/>
  <c r="Y22" i="11" s="1"/>
  <c r="AN62" i="11"/>
  <c r="AF62" i="11"/>
  <c r="AB62" i="11"/>
  <c r="AA62" i="1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B61" i="11"/>
  <c r="AA61" i="11"/>
  <c r="AG61" i="11" s="1"/>
  <c r="L61" i="11"/>
  <c r="I61" i="11"/>
  <c r="F61" i="11"/>
  <c r="G61" i="11" s="1"/>
  <c r="H61" i="11" s="1"/>
  <c r="AB60" i="11"/>
  <c r="AA60" i="11"/>
  <c r="AQ60" i="11" s="1"/>
  <c r="L60" i="11"/>
  <c r="I60" i="11"/>
  <c r="F60" i="11"/>
  <c r="G60" i="11" s="1"/>
  <c r="H60" i="11" s="1"/>
  <c r="AQ59" i="11"/>
  <c r="AA12" i="11" s="1"/>
  <c r="AO12" i="11" s="1"/>
  <c r="AP59" i="11"/>
  <c r="AO59" i="11"/>
  <c r="AN59" i="11"/>
  <c r="AM59" i="11"/>
  <c r="AL59" i="11"/>
  <c r="AK59" i="11"/>
  <c r="AJ59" i="11"/>
  <c r="AI59" i="11"/>
  <c r="AB59" i="11"/>
  <c r="AA59" i="11"/>
  <c r="AG59" i="11" s="1"/>
  <c r="F59" i="11"/>
  <c r="J59" i="11" s="1"/>
  <c r="G59" i="11" s="1"/>
  <c r="AQ58" i="11"/>
  <c r="AP58" i="11"/>
  <c r="Z23" i="11" s="1"/>
  <c r="AO58" i="11"/>
  <c r="AN58" i="11"/>
  <c r="AM58" i="11"/>
  <c r="AB58" i="11"/>
  <c r="AA58" i="11"/>
  <c r="AK58" i="11" s="1"/>
  <c r="G58" i="11"/>
  <c r="H58" i="11" s="1"/>
  <c r="L58" i="11" s="1"/>
  <c r="F58" i="11"/>
  <c r="J58" i="11" s="1"/>
  <c r="AN57" i="11"/>
  <c r="AJ57" i="11"/>
  <c r="AF57" i="11"/>
  <c r="AE57" i="11"/>
  <c r="AB57" i="11"/>
  <c r="AL57" i="11" s="1"/>
  <c r="AA57" i="11"/>
  <c r="F57" i="11"/>
  <c r="J57" i="11" s="1"/>
  <c r="G57" i="11" s="1"/>
  <c r="AQ56" i="11"/>
  <c r="AP56" i="11"/>
  <c r="AO56" i="11"/>
  <c r="AN56" i="11"/>
  <c r="X23" i="11" s="1"/>
  <c r="AL23" i="11" s="1"/>
  <c r="AM56" i="11"/>
  <c r="AL56" i="11"/>
  <c r="AK56" i="11"/>
  <c r="AJ56" i="11"/>
  <c r="AB56" i="11"/>
  <c r="AA56" i="11"/>
  <c r="AF56" i="11" s="1"/>
  <c r="H56" i="11"/>
  <c r="L56" i="11" s="1"/>
  <c r="F56" i="11"/>
  <c r="J56" i="11" s="1"/>
  <c r="G56" i="11" s="1"/>
  <c r="AQ55" i="11"/>
  <c r="AP55" i="11"/>
  <c r="Z10" i="11" s="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P54" i="11"/>
  <c r="AO54" i="11"/>
  <c r="AN54" i="11"/>
  <c r="AM54" i="11"/>
  <c r="AL54" i="11"/>
  <c r="AK54" i="11"/>
  <c r="U10" i="11" s="1"/>
  <c r="AJ54" i="11"/>
  <c r="AI54" i="11"/>
  <c r="AH54" i="11"/>
  <c r="AG54" i="11"/>
  <c r="AE54" i="11"/>
  <c r="AB54" i="11"/>
  <c r="AA54" i="11"/>
  <c r="F54" i="11"/>
  <c r="M10" i="11" s="1"/>
  <c r="AB71" i="12" s="1"/>
  <c r="AB53" i="11"/>
  <c r="AA53" i="11"/>
  <c r="AE53" i="11" s="1"/>
  <c r="J53" i="11"/>
  <c r="G53" i="11" s="1"/>
  <c r="F53" i="11"/>
  <c r="AQ52" i="11"/>
  <c r="AJ52" i="11"/>
  <c r="AB52" i="11"/>
  <c r="AA52" i="11"/>
  <c r="AE52" i="11" s="1"/>
  <c r="J52" i="11"/>
  <c r="G52" i="11" s="1"/>
  <c r="F52" i="11"/>
  <c r="AQ51" i="11"/>
  <c r="AP51" i="11"/>
  <c r="AO51" i="11"/>
  <c r="AN51" i="11"/>
  <c r="AM51" i="11"/>
  <c r="AL51" i="11"/>
  <c r="AK51" i="11"/>
  <c r="AB51" i="11"/>
  <c r="AA51" i="11"/>
  <c r="F51" i="11"/>
  <c r="J51" i="11" s="1"/>
  <c r="G51" i="11" s="1"/>
  <c r="AQ50" i="11"/>
  <c r="AP50" i="11"/>
  <c r="Z6" i="11" s="1"/>
  <c r="AO50" i="11"/>
  <c r="Y6" i="11" s="1"/>
  <c r="AN50" i="11"/>
  <c r="AM50" i="11"/>
  <c r="W6" i="11" s="1"/>
  <c r="AL50" i="11"/>
  <c r="V6" i="11" s="1"/>
  <c r="AK50" i="11"/>
  <c r="AJ50" i="11"/>
  <c r="T6" i="11" s="1"/>
  <c r="AI50" i="11"/>
  <c r="S6" i="11" s="1"/>
  <c r="AH50" i="11"/>
  <c r="R6" i="11" s="1"/>
  <c r="AB50" i="11"/>
  <c r="AA50" i="11"/>
  <c r="AG50" i="11" s="1"/>
  <c r="Q6" i="11" s="1"/>
  <c r="AE6" i="11" s="1"/>
  <c r="F50" i="11"/>
  <c r="G50" i="11" s="1"/>
  <c r="AQ49" i="11"/>
  <c r="AP49" i="11"/>
  <c r="AO49" i="11"/>
  <c r="Y15" i="11" s="1"/>
  <c r="AB49" i="11"/>
  <c r="AN49" i="11" s="1"/>
  <c r="X15" i="11" s="1"/>
  <c r="AL15" i="11" s="1"/>
  <c r="AA49" i="11"/>
  <c r="F49" i="11"/>
  <c r="J49" i="11" s="1"/>
  <c r="G49" i="11" s="1"/>
  <c r="AQ48" i="11"/>
  <c r="AP48" i="11"/>
  <c r="AO48" i="11"/>
  <c r="AN48" i="11"/>
  <c r="AM48" i="11"/>
  <c r="AB48" i="11"/>
  <c r="AE48" i="11" s="1"/>
  <c r="AA48" i="11"/>
  <c r="F48" i="11"/>
  <c r="M15" i="11" s="1"/>
  <c r="AB76" i="12" s="1"/>
  <c r="AN47" i="11"/>
  <c r="AF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X14" i="11" s="1"/>
  <c r="AL14" i="11" s="1"/>
  <c r="AB46" i="11"/>
  <c r="AA46" i="11"/>
  <c r="AM46" i="11" s="1"/>
  <c r="F46" i="11"/>
  <c r="M14" i="11" s="1"/>
  <c r="AQ45" i="11"/>
  <c r="AP45" i="11"/>
  <c r="AO45" i="11"/>
  <c r="AN45" i="11"/>
  <c r="AM45" i="11"/>
  <c r="AL45" i="11"/>
  <c r="AB45" i="11"/>
  <c r="AA45" i="11"/>
  <c r="AI45" i="11" s="1"/>
  <c r="F45" i="11"/>
  <c r="G45" i="11" s="1"/>
  <c r="AN44" i="11"/>
  <c r="X19" i="11" s="1"/>
  <c r="AL19" i="11" s="1"/>
  <c r="AM44" i="11"/>
  <c r="AF44" i="11"/>
  <c r="AE44" i="11"/>
  <c r="AB44" i="11"/>
  <c r="AA44" i="11"/>
  <c r="AP44" i="11" s="1"/>
  <c r="Z19" i="11" s="1"/>
  <c r="AN19" i="11" s="1"/>
  <c r="F44" i="11"/>
  <c r="M19" i="11" s="1"/>
  <c r="AQ43" i="11"/>
  <c r="AA19" i="11" s="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A42" i="11"/>
  <c r="AJ42" i="11" s="1"/>
  <c r="T7" i="11" s="1"/>
  <c r="AH7" i="11" s="1"/>
  <c r="BA6" i="11" s="1"/>
  <c r="F42" i="11"/>
  <c r="G42" i="11" s="1"/>
  <c r="AQ41" i="11"/>
  <c r="AP41" i="11"/>
  <c r="AO41" i="11"/>
  <c r="Y17" i="11" s="1"/>
  <c r="AN41" i="11"/>
  <c r="X17" i="11" s="1"/>
  <c r="AB41" i="11"/>
  <c r="AL41" i="11" s="1"/>
  <c r="AA41" i="11"/>
  <c r="F41" i="11"/>
  <c r="J41" i="11" s="1"/>
  <c r="G41" i="11" s="1"/>
  <c r="AQ40" i="11"/>
  <c r="AA17" i="11" s="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A40" i="11"/>
  <c r="AG40" i="11" s="1"/>
  <c r="F40" i="11"/>
  <c r="M17" i="11" s="1"/>
  <c r="AB78" i="12" s="1"/>
  <c r="AQ39" i="11"/>
  <c r="AA16" i="11" s="1"/>
  <c r="AB39" i="11"/>
  <c r="AA39" i="11"/>
  <c r="AP39" i="11" s="1"/>
  <c r="Z16" i="11" s="1"/>
  <c r="AN16" i="11" s="1"/>
  <c r="F39" i="11"/>
  <c r="E38" i="11"/>
  <c r="AA28" i="11"/>
  <c r="Z28" i="11"/>
  <c r="AN28" i="11" s="1"/>
  <c r="Y28" i="11"/>
  <c r="AM28" i="11" s="1"/>
  <c r="X28" i="11"/>
  <c r="AL28" i="11" s="1"/>
  <c r="W28" i="11"/>
  <c r="M28" i="11"/>
  <c r="AB89" i="12" s="1"/>
  <c r="AA27" i="11"/>
  <c r="AO27" i="11" s="1"/>
  <c r="M27" i="11"/>
  <c r="AB88" i="12" s="1"/>
  <c r="Z26" i="11"/>
  <c r="AN26" i="11" s="1"/>
  <c r="M26" i="11"/>
  <c r="AB87" i="12" s="1"/>
  <c r="M25" i="11"/>
  <c r="AB86" i="12" s="1"/>
  <c r="M24" i="11"/>
  <c r="AB85" i="12" s="1"/>
  <c r="AA23" i="11"/>
  <c r="AA22" i="11"/>
  <c r="Z22" i="11"/>
  <c r="X22" i="11"/>
  <c r="W22" i="11"/>
  <c r="M21" i="11"/>
  <c r="AB82" i="12" s="1"/>
  <c r="AA20" i="11"/>
  <c r="Z20" i="11"/>
  <c r="M20" i="11"/>
  <c r="AB81" i="12" s="1"/>
  <c r="AA18" i="11"/>
  <c r="Z18" i="11"/>
  <c r="Y18" i="11"/>
  <c r="M18" i="11"/>
  <c r="AB79" i="12" s="1"/>
  <c r="AA15" i="11"/>
  <c r="Y13" i="11"/>
  <c r="X13" i="11"/>
  <c r="M13" i="11"/>
  <c r="AB74" i="12" s="1"/>
  <c r="M12" i="11"/>
  <c r="AB73" i="12" s="1"/>
  <c r="AK11" i="11"/>
  <c r="AA11" i="11"/>
  <c r="Y11" i="11"/>
  <c r="X11" i="11"/>
  <c r="W11" i="11"/>
  <c r="M11" i="11"/>
  <c r="AB72" i="12" s="1"/>
  <c r="Y10" i="11"/>
  <c r="X10" i="11"/>
  <c r="V10" i="11"/>
  <c r="T10" i="11"/>
  <c r="R10" i="11"/>
  <c r="Q10" i="11"/>
  <c r="AA8" i="11"/>
  <c r="Z8" i="11"/>
  <c r="X8" i="11"/>
  <c r="W8" i="11"/>
  <c r="V8" i="11"/>
  <c r="T8" i="11"/>
  <c r="S8" i="11"/>
  <c r="R8" i="11"/>
  <c r="Q8" i="11"/>
  <c r="AE8" i="11" s="1"/>
  <c r="P8" i="11"/>
  <c r="AD8" i="11" s="1"/>
  <c r="M8" i="11"/>
  <c r="AB69" i="12" s="1"/>
  <c r="AA7" i="11"/>
  <c r="Z7" i="11"/>
  <c r="X7" i="11"/>
  <c r="W7" i="11"/>
  <c r="M7" i="11"/>
  <c r="AB68" i="12" s="1"/>
  <c r="AA6" i="11"/>
  <c r="X6" i="11"/>
  <c r="U6" i="1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L81" i="10"/>
  <c r="N81" i="10" s="1"/>
  <c r="O81" i="10" s="1"/>
  <c r="J65" i="10"/>
  <c r="J64" i="10"/>
  <c r="J63" i="10"/>
  <c r="J62" i="10"/>
  <c r="J61" i="10"/>
  <c r="J66" i="10" s="1"/>
  <c r="K65" i="10" s="1"/>
  <c r="M35" i="10"/>
  <c r="L35" i="10"/>
  <c r="K35" i="10"/>
  <c r="W35" i="10" s="1"/>
  <c r="J35" i="10"/>
  <c r="M34" i="10"/>
  <c r="L34" i="10"/>
  <c r="K34" i="10"/>
  <c r="W34" i="10" s="1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L26" i="10"/>
  <c r="K26" i="10"/>
  <c r="W26" i="10" s="1"/>
  <c r="J26" i="10"/>
  <c r="M25" i="10"/>
  <c r="G63" i="10" s="1"/>
  <c r="L25" i="10"/>
  <c r="K25" i="10"/>
  <c r="W25" i="10" s="1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J20" i="10" s="1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6" i="9"/>
  <c r="O197" i="9" s="1"/>
  <c r="O170" i="9"/>
  <c r="U23" i="9" s="1"/>
  <c r="N170" i="9"/>
  <c r="O166" i="9"/>
  <c r="N166" i="9"/>
  <c r="O159" i="9"/>
  <c r="O44" i="9" s="1"/>
  <c r="O158" i="9"/>
  <c r="P166" i="9" s="1"/>
  <c r="O151" i="9"/>
  <c r="R146" i="9"/>
  <c r="N145" i="9"/>
  <c r="N151" i="9" s="1"/>
  <c r="X142" i="9"/>
  <c r="Y142" i="9" s="1"/>
  <c r="P159" i="9" s="1"/>
  <c r="Y141" i="9"/>
  <c r="P158" i="9" s="1"/>
  <c r="Q135" i="9"/>
  <c r="X136" i="9" s="1"/>
  <c r="X137" i="9" s="1"/>
  <c r="I133" i="9"/>
  <c r="O132" i="9"/>
  <c r="I132" i="9"/>
  <c r="O131" i="9" s="1"/>
  <c r="E132" i="9"/>
  <c r="H131" i="9"/>
  <c r="P123" i="9"/>
  <c r="N117" i="9"/>
  <c r="N118" i="9" s="1"/>
  <c r="N123" i="9" s="1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N72" i="9"/>
  <c r="N97" i="9" s="1"/>
  <c r="O64" i="9"/>
  <c r="O65" i="9" s="1"/>
  <c r="P89" i="9" s="1"/>
  <c r="Q63" i="9"/>
  <c r="O63" i="9"/>
  <c r="P55" i="9" s="1"/>
  <c r="P61" i="9"/>
  <c r="P77" i="9" s="1"/>
  <c r="P60" i="9"/>
  <c r="P58" i="9"/>
  <c r="P75" i="9" s="1"/>
  <c r="P57" i="9"/>
  <c r="P74" i="9" s="1"/>
  <c r="P56" i="9"/>
  <c r="P73" i="9" s="1"/>
  <c r="D47" i="9"/>
  <c r="O153" i="9" s="1"/>
  <c r="B47" i="9"/>
  <c r="D46" i="9"/>
  <c r="O123" i="9" s="1"/>
  <c r="B46" i="9"/>
  <c r="O43" i="9"/>
  <c r="O42" i="9"/>
  <c r="N41" i="9"/>
  <c r="Y40" i="9"/>
  <c r="Z38" i="9" s="1"/>
  <c r="P34" i="9"/>
  <c r="P33" i="9"/>
  <c r="P22" i="9"/>
  <c r="O41" i="9" s="1"/>
  <c r="N22" i="9"/>
  <c r="T23" i="9" s="1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O44" i="8" s="1"/>
  <c r="P158" i="8"/>
  <c r="Q145" i="8" s="1"/>
  <c r="O158" i="8"/>
  <c r="P166" i="8" s="1"/>
  <c r="O151" i="8"/>
  <c r="R146" i="8"/>
  <c r="N145" i="8"/>
  <c r="X142" i="8"/>
  <c r="Y142" i="8" s="1"/>
  <c r="P159" i="8" s="1"/>
  <c r="Y141" i="8"/>
  <c r="O132" i="8"/>
  <c r="Q132" i="8" s="1"/>
  <c r="X131" i="8" s="1"/>
  <c r="E132" i="8"/>
  <c r="G132" i="8" s="1"/>
  <c r="G131" i="8"/>
  <c r="P123" i="8"/>
  <c r="N118" i="8"/>
  <c r="N123" i="8" s="1"/>
  <c r="P111" i="8"/>
  <c r="O108" i="8"/>
  <c r="P108" i="8" s="1"/>
  <c r="R118" i="8" s="1"/>
  <c r="R100" i="8"/>
  <c r="O98" i="8"/>
  <c r="O86" i="8"/>
  <c r="R72" i="8"/>
  <c r="R79" i="8" s="1"/>
  <c r="N72" i="8"/>
  <c r="N97" i="8" s="1"/>
  <c r="O63" i="8"/>
  <c r="N63" i="8"/>
  <c r="P60" i="8"/>
  <c r="Q59" i="8"/>
  <c r="P58" i="8"/>
  <c r="P75" i="8" s="1"/>
  <c r="Q57" i="8"/>
  <c r="P56" i="8"/>
  <c r="P73" i="8" s="1"/>
  <c r="Q55" i="8"/>
  <c r="D47" i="8"/>
  <c r="B47" i="8"/>
  <c r="D46" i="8"/>
  <c r="O123" i="8" s="1"/>
  <c r="O152" i="8" s="1"/>
  <c r="B46" i="8"/>
  <c r="O43" i="8"/>
  <c r="O42" i="8"/>
  <c r="O41" i="8"/>
  <c r="N41" i="8"/>
  <c r="O34" i="8"/>
  <c r="O33" i="8"/>
  <c r="S33" i="8" s="1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O23" i="8" s="1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9" i="7"/>
  <c r="E15" i="7" s="1"/>
  <c r="O11" i="8" s="1"/>
  <c r="D9" i="7"/>
  <c r="D15" i="7" s="1"/>
  <c r="O11" i="9" s="1"/>
  <c r="F8" i="7"/>
  <c r="F7" i="7"/>
  <c r="B26" i="6"/>
  <c r="G17" i="6"/>
  <c r="G18" i="6" s="1"/>
  <c r="G19" i="6" s="1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H11" i="5"/>
  <c r="P11" i="5" s="1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95" i="4"/>
  <c r="J94" i="4"/>
  <c r="K87" i="4"/>
  <c r="K88" i="4" s="1"/>
  <c r="L88" i="4" s="1"/>
  <c r="L86" i="4"/>
  <c r="S68" i="4"/>
  <c r="R68" i="4"/>
  <c r="Q68" i="4"/>
  <c r="P68" i="4"/>
  <c r="O68" i="4"/>
  <c r="N68" i="4"/>
  <c r="M68" i="4"/>
  <c r="L68" i="4"/>
  <c r="I67" i="4"/>
  <c r="DR34" i="13" s="1"/>
  <c r="J55" i="4"/>
  <c r="K68" i="4" s="1"/>
  <c r="I54" i="4"/>
  <c r="E45" i="4"/>
  <c r="E46" i="4" s="1"/>
  <c r="D39" i="4"/>
  <c r="K21" i="4" a="1"/>
  <c r="K30" i="4" s="1"/>
  <c r="S18" i="4"/>
  <c r="T18" i="4" s="1"/>
  <c r="R17" i="4"/>
  <c r="S17" i="4" s="1"/>
  <c r="T17" i="4" s="1"/>
  <c r="S16" i="4"/>
  <c r="T16" i="4" s="1"/>
  <c r="S15" i="4"/>
  <c r="T15" i="4" s="1"/>
  <c r="S14" i="4"/>
  <c r="T14" i="4" s="1"/>
  <c r="S13" i="4"/>
  <c r="T13" i="4" s="1"/>
  <c r="S12" i="4"/>
  <c r="T12" i="4" s="1"/>
  <c r="S11" i="4"/>
  <c r="T11" i="4" s="1"/>
  <c r="S10" i="4"/>
  <c r="T10" i="4" s="1"/>
  <c r="S9" i="4"/>
  <c r="T9" i="4" s="1"/>
  <c r="S8" i="4"/>
  <c r="T8" i="4" s="1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G214" i="3"/>
  <c r="K214" i="3" s="1"/>
  <c r="P213" i="3"/>
  <c r="N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G210" i="3"/>
  <c r="K210" i="3" s="1"/>
  <c r="P209" i="3"/>
  <c r="N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G206" i="3"/>
  <c r="K206" i="3" s="1"/>
  <c r="P205" i="3"/>
  <c r="N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G202" i="3"/>
  <c r="K202" i="3" s="1"/>
  <c r="P201" i="3"/>
  <c r="N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G198" i="3"/>
  <c r="K198" i="3" s="1"/>
  <c r="P197" i="3"/>
  <c r="N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G194" i="3"/>
  <c r="K194" i="3" s="1"/>
  <c r="P193" i="3"/>
  <c r="N193" i="3"/>
  <c r="G193" i="3"/>
  <c r="J193" i="3" s="1"/>
  <c r="P192" i="3"/>
  <c r="N192" i="3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H189" i="3"/>
  <c r="I189" i="3" s="1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G186" i="3"/>
  <c r="P185" i="3"/>
  <c r="N185" i="3"/>
  <c r="I185" i="3"/>
  <c r="H185" i="3"/>
  <c r="G185" i="3"/>
  <c r="P184" i="3"/>
  <c r="N184" i="3"/>
  <c r="H184" i="3"/>
  <c r="I184" i="3" s="1"/>
  <c r="G184" i="3"/>
  <c r="P183" i="3"/>
  <c r="N183" i="3"/>
  <c r="H183" i="3"/>
  <c r="I183" i="3" s="1"/>
  <c r="G131" i="3" s="1"/>
  <c r="G183" i="3"/>
  <c r="P182" i="3"/>
  <c r="N182" i="3"/>
  <c r="H182" i="3"/>
  <c r="I182" i="3" s="1"/>
  <c r="G182" i="3"/>
  <c r="P181" i="3"/>
  <c r="N181" i="3"/>
  <c r="H181" i="3"/>
  <c r="I181" i="3" s="1"/>
  <c r="J181" i="3" s="1"/>
  <c r="G181" i="3"/>
  <c r="P180" i="3"/>
  <c r="N180" i="3"/>
  <c r="H180" i="3"/>
  <c r="I180" i="3" s="1"/>
  <c r="G180" i="3"/>
  <c r="P179" i="3"/>
  <c r="N179" i="3"/>
  <c r="H179" i="3"/>
  <c r="I179" i="3" s="1"/>
  <c r="K179" i="3" s="1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G176" i="3"/>
  <c r="P175" i="3"/>
  <c r="N175" i="3"/>
  <c r="H175" i="3"/>
  <c r="I175" i="3" s="1"/>
  <c r="G175" i="3"/>
  <c r="P173" i="3"/>
  <c r="N173" i="3"/>
  <c r="E173" i="3"/>
  <c r="P172" i="3"/>
  <c r="N172" i="3"/>
  <c r="E172" i="3"/>
  <c r="P171" i="3"/>
  <c r="N171" i="3"/>
  <c r="E171" i="3"/>
  <c r="P170" i="3"/>
  <c r="N170" i="3"/>
  <c r="E170" i="3"/>
  <c r="P169" i="3"/>
  <c r="N169" i="3"/>
  <c r="E169" i="3"/>
  <c r="P168" i="3"/>
  <c r="N168" i="3"/>
  <c r="E168" i="3"/>
  <c r="P167" i="3"/>
  <c r="N167" i="3"/>
  <c r="E167" i="3"/>
  <c r="P166" i="3"/>
  <c r="T129" i="3" s="1"/>
  <c r="N166" i="3"/>
  <c r="S111" i="3" s="1"/>
  <c r="E166" i="3"/>
  <c r="P165" i="3"/>
  <c r="N165" i="3"/>
  <c r="E165" i="3"/>
  <c r="P164" i="3"/>
  <c r="N164" i="3"/>
  <c r="E164" i="3"/>
  <c r="P163" i="3"/>
  <c r="N163" i="3"/>
  <c r="E163" i="3"/>
  <c r="P162" i="3"/>
  <c r="N162" i="3"/>
  <c r="E162" i="3"/>
  <c r="P161" i="3"/>
  <c r="N161" i="3"/>
  <c r="G161" i="3"/>
  <c r="K161" i="3" s="1"/>
  <c r="E161" i="3"/>
  <c r="P160" i="3"/>
  <c r="N160" i="3"/>
  <c r="E160" i="3"/>
  <c r="P159" i="3"/>
  <c r="N159" i="3"/>
  <c r="E159" i="3"/>
  <c r="P158" i="3"/>
  <c r="N158" i="3"/>
  <c r="E158" i="3"/>
  <c r="P157" i="3"/>
  <c r="N157" i="3"/>
  <c r="G157" i="3"/>
  <c r="K157" i="3" s="1"/>
  <c r="E157" i="3"/>
  <c r="H152" i="3"/>
  <c r="H149" i="3"/>
  <c r="R148" i="3"/>
  <c r="H146" i="3"/>
  <c r="I172" i="3" s="1"/>
  <c r="H143" i="3"/>
  <c r="G173" i="3" s="1"/>
  <c r="K173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E137" i="3"/>
  <c r="D137" i="3"/>
  <c r="L136" i="3"/>
  <c r="G135" i="3"/>
  <c r="E135" i="3"/>
  <c r="D135" i="3"/>
  <c r="L134" i="3"/>
  <c r="L133" i="3"/>
  <c r="F52" i="3" s="1"/>
  <c r="L132" i="3"/>
  <c r="L137" i="3" s="1"/>
  <c r="H132" i="3"/>
  <c r="H122" i="3" s="1"/>
  <c r="F132" i="3"/>
  <c r="F135" i="3" s="1"/>
  <c r="L131" i="3"/>
  <c r="K130" i="3"/>
  <c r="J130" i="3"/>
  <c r="H130" i="3"/>
  <c r="F130" i="3"/>
  <c r="I130" i="3" s="1"/>
  <c r="K129" i="3"/>
  <c r="I129" i="3"/>
  <c r="F129" i="3"/>
  <c r="H129" i="3" s="1"/>
  <c r="J129" i="3" s="1"/>
  <c r="L128" i="3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F54" i="3" s="1"/>
  <c r="F56" i="3" s="1"/>
  <c r="G122" i="3"/>
  <c r="F122" i="3"/>
  <c r="E122" i="3"/>
  <c r="H121" i="3"/>
  <c r="G121" i="3"/>
  <c r="E121" i="3"/>
  <c r="K120" i="3"/>
  <c r="F120" i="3"/>
  <c r="L119" i="3"/>
  <c r="G119" i="3"/>
  <c r="F119" i="3" s="1"/>
  <c r="L118" i="3"/>
  <c r="L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K112" i="3"/>
  <c r="I112" i="3"/>
  <c r="F112" i="3"/>
  <c r="H112" i="3" s="1"/>
  <c r="J112" i="3" s="1"/>
  <c r="L111" i="3"/>
  <c r="S110" i="3"/>
  <c r="L110" i="3"/>
  <c r="G110" i="3"/>
  <c r="K110" i="3" s="1"/>
  <c r="S109" i="3"/>
  <c r="L109" i="3"/>
  <c r="W105" i="3"/>
  <c r="I101" i="3"/>
  <c r="I102" i="3" s="1"/>
  <c r="N100" i="3"/>
  <c r="I100" i="3"/>
  <c r="N99" i="3"/>
  <c r="N55" i="3"/>
  <c r="N54" i="3"/>
  <c r="N53" i="3"/>
  <c r="F53" i="3"/>
  <c r="G14" i="3" s="1"/>
  <c r="N52" i="3"/>
  <c r="N51" i="3"/>
  <c r="F51" i="3"/>
  <c r="G12" i="3" s="1"/>
  <c r="N50" i="3"/>
  <c r="F50" i="3"/>
  <c r="N49" i="3"/>
  <c r="F49" i="3"/>
  <c r="G10" i="3" s="1"/>
  <c r="N46" i="3"/>
  <c r="F46" i="3"/>
  <c r="E46" i="3"/>
  <c r="F7" i="3" s="1"/>
  <c r="N45" i="3"/>
  <c r="I45" i="3"/>
  <c r="F45" i="3"/>
  <c r="G6" i="3" s="1"/>
  <c r="AL35" i="3"/>
  <c r="AL34" i="3"/>
  <c r="AL30" i="3"/>
  <c r="AL31" i="3" s="1"/>
  <c r="G25" i="3"/>
  <c r="G24" i="3"/>
  <c r="AN23" i="3"/>
  <c r="AN22" i="3"/>
  <c r="AL20" i="3"/>
  <c r="AN20" i="3" s="1"/>
  <c r="AN19" i="3"/>
  <c r="AN18" i="3"/>
  <c r="AL14" i="3"/>
  <c r="G13" i="3"/>
  <c r="G11" i="3"/>
  <c r="J7" i="3"/>
  <c r="G7" i="3"/>
  <c r="N99" i="2" a="1"/>
  <c r="N105" i="2" s="1"/>
  <c r="N92" i="2" a="1"/>
  <c r="N98" i="2" s="1"/>
  <c r="N85" i="2" a="1"/>
  <c r="N91" i="2" s="1"/>
  <c r="N68" i="2" a="1"/>
  <c r="N74" i="2" s="1"/>
  <c r="CY15" i="13" s="1"/>
  <c r="N61" i="2" a="1"/>
  <c r="N67" i="2" s="1"/>
  <c r="N54" i="2" a="1"/>
  <c r="N59" i="2" s="1"/>
  <c r="N44" i="2" a="1"/>
  <c r="N52" i="2" s="1"/>
  <c r="O34" i="2" a="1"/>
  <c r="O41" i="2" s="1"/>
  <c r="N34" i="2" a="1"/>
  <c r="N40" i="2" s="1"/>
  <c r="O24" i="2" a="1"/>
  <c r="O33" i="2" s="1"/>
  <c r="N24" i="2" a="1"/>
  <c r="N32" i="2" s="1"/>
  <c r="E24" i="2" a="1"/>
  <c r="E31" i="2" s="1"/>
  <c r="D24" i="2" a="1"/>
  <c r="D30" i="2" s="1"/>
  <c r="D95" i="1"/>
  <c r="D87" i="1" a="1"/>
  <c r="D90" i="1" s="1"/>
  <c r="D53" i="1" a="1"/>
  <c r="D59" i="1" s="1"/>
  <c r="E43" i="1" a="1"/>
  <c r="E52" i="1" s="1"/>
  <c r="D43" i="1" a="1"/>
  <c r="D51" i="1" s="1"/>
  <c r="Z30" i="1" a="1"/>
  <c r="Z34" i="1" s="1"/>
  <c r="I104" i="5" s="1"/>
  <c r="AJ20" i="13"/>
  <c r="O27" i="1" a="1"/>
  <c r="O30" i="1" s="1"/>
  <c r="AA25" i="1" a="1"/>
  <c r="AA28" i="1" s="1"/>
  <c r="Z25" i="1" a="1"/>
  <c r="Z26" i="1" s="1"/>
  <c r="AL20" i="1" a="1"/>
  <c r="AL28" i="1" s="1"/>
  <c r="AK20" i="1" a="1"/>
  <c r="AK27" i="1" s="1"/>
  <c r="AA20" i="1" a="1"/>
  <c r="AA21" i="1" s="1"/>
  <c r="Z20" i="1" a="1"/>
  <c r="Z23" i="1" s="1"/>
  <c r="O20" i="1" a="1"/>
  <c r="O23" i="1" s="1"/>
  <c r="E20" i="1" a="1"/>
  <c r="E26" i="1" s="1"/>
  <c r="D20" i="1" a="1"/>
  <c r="D29" i="1" s="1"/>
  <c r="BG10" i="13" l="1"/>
  <c r="AJ21" i="13"/>
  <c r="AO22" i="13"/>
  <c r="R12" i="13"/>
  <c r="DO15" i="13"/>
  <c r="D54" i="1"/>
  <c r="D44" i="1"/>
  <c r="BG9" i="13"/>
  <c r="N85" i="2"/>
  <c r="AX26" i="13"/>
  <c r="D45" i="1"/>
  <c r="N62" i="2"/>
  <c r="N93" i="2"/>
  <c r="N100" i="2"/>
  <c r="N64" i="2"/>
  <c r="N90" i="2"/>
  <c r="N95" i="2"/>
  <c r="N102" i="2"/>
  <c r="N92" i="2"/>
  <c r="N97" i="2"/>
  <c r="AU24" i="13"/>
  <c r="AA20" i="1"/>
  <c r="AL26" i="1"/>
  <c r="Z32" i="1"/>
  <c r="I102" i="5" s="1"/>
  <c r="D50" i="1"/>
  <c r="D53" i="1"/>
  <c r="D58" i="1"/>
  <c r="D62" i="1"/>
  <c r="AA22" i="1"/>
  <c r="AL21" i="1"/>
  <c r="E45" i="1"/>
  <c r="AL27" i="1"/>
  <c r="AA23" i="1"/>
  <c r="AL22" i="1"/>
  <c r="Z31" i="1"/>
  <c r="I101" i="5" s="1"/>
  <c r="D49" i="1"/>
  <c r="E49" i="1"/>
  <c r="D56" i="1"/>
  <c r="D13" i="17"/>
  <c r="D13" i="16"/>
  <c r="D7" i="17"/>
  <c r="D7" i="16"/>
  <c r="J189" i="3"/>
  <c r="K189" i="3"/>
  <c r="G128" i="3"/>
  <c r="D26" i="1"/>
  <c r="E27" i="1"/>
  <c r="AL20" i="1"/>
  <c r="AL23" i="1"/>
  <c r="AL29" i="1"/>
  <c r="Z28" i="1"/>
  <c r="AA27" i="1"/>
  <c r="Z30" i="1"/>
  <c r="I100" i="5" s="1"/>
  <c r="Z33" i="1"/>
  <c r="I103" i="5" s="1"/>
  <c r="AO19" i="13"/>
  <c r="D43" i="1"/>
  <c r="D46" i="1"/>
  <c r="D52" i="1"/>
  <c r="D27" i="2"/>
  <c r="N26" i="2"/>
  <c r="L37" i="13" s="1"/>
  <c r="Q13" i="13" s="1"/>
  <c r="U11" i="13" s="1"/>
  <c r="N31" i="2"/>
  <c r="O30" i="2"/>
  <c r="N37" i="2"/>
  <c r="N46" i="2"/>
  <c r="N51" i="2"/>
  <c r="N61" i="2"/>
  <c r="N66" i="2"/>
  <c r="N71" i="2"/>
  <c r="CY12" i="13" s="1"/>
  <c r="N86" i="2"/>
  <c r="N99" i="2"/>
  <c r="N104" i="2"/>
  <c r="D12" i="17"/>
  <c r="D12" i="16"/>
  <c r="G15" i="3"/>
  <c r="E26" i="6" s="1"/>
  <c r="G117" i="3"/>
  <c r="F121" i="3"/>
  <c r="L121" i="3"/>
  <c r="K175" i="3"/>
  <c r="G136" i="3"/>
  <c r="F136" i="3" s="1"/>
  <c r="K181" i="3"/>
  <c r="K193" i="3"/>
  <c r="J194" i="3"/>
  <c r="K197" i="3"/>
  <c r="J198" i="3"/>
  <c r="K201" i="3"/>
  <c r="J202" i="3"/>
  <c r="K205" i="3"/>
  <c r="J206" i="3"/>
  <c r="K209" i="3"/>
  <c r="J210" i="3"/>
  <c r="K213" i="3"/>
  <c r="J214" i="3"/>
  <c r="P34" i="8"/>
  <c r="X108" i="8"/>
  <c r="X110" i="8" s="1"/>
  <c r="X111" i="8" s="1"/>
  <c r="X112" i="8" s="1"/>
  <c r="X113" i="8" s="1"/>
  <c r="S34" i="8"/>
  <c r="P152" i="9"/>
  <c r="Q131" i="9"/>
  <c r="X130" i="9" s="1"/>
  <c r="H42" i="11"/>
  <c r="L42" i="11" s="1"/>
  <c r="D31" i="2"/>
  <c r="N29" i="2"/>
  <c r="L79" i="13" s="1"/>
  <c r="Q19" i="13" s="1"/>
  <c r="U14" i="13" s="1"/>
  <c r="N41" i="2"/>
  <c r="N49" i="2"/>
  <c r="CU32" i="13"/>
  <c r="CU21" i="13"/>
  <c r="D8" i="17"/>
  <c r="D9" i="17" s="1"/>
  <c r="D10" i="17" s="1"/>
  <c r="D8" i="16"/>
  <c r="D9" i="16" s="1"/>
  <c r="D10" i="16" s="1"/>
  <c r="D14" i="17"/>
  <c r="D14" i="16"/>
  <c r="D16" i="17"/>
  <c r="D16" i="16"/>
  <c r="C8" i="17"/>
  <c r="C8" i="16"/>
  <c r="H137" i="3"/>
  <c r="J132" i="3"/>
  <c r="I171" i="3"/>
  <c r="I170" i="3"/>
  <c r="I168" i="3"/>
  <c r="I160" i="3"/>
  <c r="I162" i="3"/>
  <c r="J185" i="3"/>
  <c r="K185" i="3"/>
  <c r="D22" i="1"/>
  <c r="E23" i="1"/>
  <c r="Z27" i="1"/>
  <c r="AA26" i="1"/>
  <c r="AO17" i="13"/>
  <c r="D25" i="2"/>
  <c r="D33" i="2"/>
  <c r="N25" i="2"/>
  <c r="L23" i="13" s="1"/>
  <c r="Q11" i="13" s="1"/>
  <c r="U10" i="13" s="1"/>
  <c r="N30" i="2"/>
  <c r="L93" i="13" s="1"/>
  <c r="Q21" i="13" s="1"/>
  <c r="U15" i="13" s="1"/>
  <c r="O26" i="2"/>
  <c r="N35" i="2"/>
  <c r="N43" i="2"/>
  <c r="N45" i="2"/>
  <c r="N50" i="2"/>
  <c r="N56" i="2"/>
  <c r="N69" i="2"/>
  <c r="CY10" i="13" s="1"/>
  <c r="D17" i="17"/>
  <c r="J177" i="16"/>
  <c r="D17" i="16"/>
  <c r="I158" i="3"/>
  <c r="N158" i="8"/>
  <c r="N146" i="8"/>
  <c r="E20" i="1"/>
  <c r="AL25" i="1"/>
  <c r="Z25" i="1"/>
  <c r="AA25" i="1"/>
  <c r="AO21" i="13"/>
  <c r="D48" i="1"/>
  <c r="D60" i="1"/>
  <c r="D24" i="2"/>
  <c r="D29" i="2"/>
  <c r="N24" i="2"/>
  <c r="L9" i="13" s="1"/>
  <c r="Q9" i="13" s="1"/>
  <c r="U9" i="13" s="1"/>
  <c r="N27" i="2"/>
  <c r="L51" i="13" s="1"/>
  <c r="Q15" i="13" s="1"/>
  <c r="U12" i="13" s="1"/>
  <c r="N33" i="2"/>
  <c r="N34" i="2"/>
  <c r="N39" i="2"/>
  <c r="N44" i="2"/>
  <c r="N47" i="2"/>
  <c r="N53" i="2"/>
  <c r="N68" i="2"/>
  <c r="CY9" i="13" s="1"/>
  <c r="N73" i="2"/>
  <c r="CY14" i="13" s="1"/>
  <c r="N88" i="2"/>
  <c r="D11" i="17"/>
  <c r="D11" i="16"/>
  <c r="D15" i="17"/>
  <c r="D15" i="16"/>
  <c r="G113" i="3"/>
  <c r="F113" i="3" s="1"/>
  <c r="H120" i="3"/>
  <c r="J120" i="3" s="1"/>
  <c r="I120" i="3"/>
  <c r="L122" i="3"/>
  <c r="I132" i="3"/>
  <c r="F137" i="3"/>
  <c r="G170" i="3"/>
  <c r="K170" i="3" s="1"/>
  <c r="G169" i="3"/>
  <c r="K169" i="3" s="1"/>
  <c r="I164" i="3"/>
  <c r="G165" i="3"/>
  <c r="K165" i="3" s="1"/>
  <c r="I166" i="3"/>
  <c r="S129" i="3"/>
  <c r="P33" i="8"/>
  <c r="O135" i="8" s="1"/>
  <c r="O90" i="8"/>
  <c r="Q56" i="8"/>
  <c r="P72" i="9"/>
  <c r="AE39" i="11"/>
  <c r="O16" i="11" s="1"/>
  <c r="AC16" i="11" s="1"/>
  <c r="AM39" i="11"/>
  <c r="W16" i="11" s="1"/>
  <c r="AK16" i="11" s="1"/>
  <c r="AI44" i="11"/>
  <c r="S19" i="11" s="1"/>
  <c r="AG19" i="11" s="1"/>
  <c r="W14" i="11"/>
  <c r="AK14" i="11" s="1"/>
  <c r="AJ47" i="11"/>
  <c r="AF48" i="11"/>
  <c r="AI49" i="11"/>
  <c r="AE50" i="11"/>
  <c r="O6" i="11" s="1"/>
  <c r="AC6" i="11" s="1"/>
  <c r="AJ53" i="11"/>
  <c r="J54" i="11"/>
  <c r="G54" i="11" s="1"/>
  <c r="AF58" i="11"/>
  <c r="P23" i="11" s="1"/>
  <c r="AD23" i="11" s="1"/>
  <c r="AE59" i="11"/>
  <c r="AE60" i="11"/>
  <c r="AN60" i="11"/>
  <c r="X12" i="11" s="1"/>
  <c r="AL12" i="11" s="1"/>
  <c r="AK62" i="11"/>
  <c r="AE62" i="11"/>
  <c r="O22" i="11" s="1"/>
  <c r="AJ62" i="11"/>
  <c r="AE63" i="11"/>
  <c r="AK64" i="11"/>
  <c r="U18" i="11" s="1"/>
  <c r="AI18" i="11" s="1"/>
  <c r="BB9" i="11" s="1"/>
  <c r="AN64" i="11"/>
  <c r="X18" i="11" s="1"/>
  <c r="AL18" i="11" s="1"/>
  <c r="AF64" i="11"/>
  <c r="P18" i="11" s="1"/>
  <c r="AD18" i="11" s="1"/>
  <c r="AW9" i="11" s="1"/>
  <c r="AJ64" i="11"/>
  <c r="T18" i="11" s="1"/>
  <c r="AH18" i="11" s="1"/>
  <c r="BA9" i="11" s="1"/>
  <c r="O11" i="11"/>
  <c r="AG13" i="11"/>
  <c r="AO69" i="11"/>
  <c r="Y20" i="11" s="1"/>
  <c r="AM20" i="11" s="1"/>
  <c r="AJ69" i="11"/>
  <c r="T20" i="11" s="1"/>
  <c r="AH20" i="11" s="1"/>
  <c r="AN70" i="11"/>
  <c r="X25" i="11" s="1"/>
  <c r="AL25" i="11" s="1"/>
  <c r="AE70" i="11"/>
  <c r="O25" i="11" s="1"/>
  <c r="AQ70" i="11"/>
  <c r="AA25" i="11" s="1"/>
  <c r="AO25" i="11" s="1"/>
  <c r="P45" i="12"/>
  <c r="AB15" i="12"/>
  <c r="AE15" i="12" s="1"/>
  <c r="P61" i="8"/>
  <c r="P77" i="8" s="1"/>
  <c r="P90" i="8"/>
  <c r="P59" i="9"/>
  <c r="P76" i="9" s="1"/>
  <c r="G64" i="10"/>
  <c r="K64" i="10"/>
  <c r="M9" i="11"/>
  <c r="AB70" i="12" s="1"/>
  <c r="AC70" i="12" s="1"/>
  <c r="AK28" i="11"/>
  <c r="AO28" i="11"/>
  <c r="AF39" i="11"/>
  <c r="P16" i="11" s="1"/>
  <c r="AD16" i="11" s="1"/>
  <c r="AN39" i="11"/>
  <c r="X16" i="11" s="1"/>
  <c r="AL16" i="11" s="1"/>
  <c r="BE8" i="11" s="1"/>
  <c r="AF40" i="11"/>
  <c r="AJ41" i="11"/>
  <c r="T17" i="11" s="1"/>
  <c r="AH17" i="11" s="1"/>
  <c r="AJ44" i="11"/>
  <c r="AE47" i="11"/>
  <c r="AM47" i="11"/>
  <c r="AL48" i="11"/>
  <c r="AI48" i="11"/>
  <c r="S15" i="11" s="1"/>
  <c r="AG15" i="11" s="1"/>
  <c r="AK49" i="11"/>
  <c r="AM49" i="11"/>
  <c r="W15" i="11" s="1"/>
  <c r="AK15" i="11" s="1"/>
  <c r="AI51" i="11"/>
  <c r="AP53" i="11"/>
  <c r="Z9" i="11" s="1"/>
  <c r="AN9" i="11" s="1"/>
  <c r="BG7" i="11" s="1"/>
  <c r="AG56" i="11"/>
  <c r="AM57" i="11"/>
  <c r="W23" i="11" s="1"/>
  <c r="AK23" i="11" s="1"/>
  <c r="AG58" i="11"/>
  <c r="AF59" i="11"/>
  <c r="AF60" i="11"/>
  <c r="AL62" i="11"/>
  <c r="AL64" i="11"/>
  <c r="V18" i="11" s="1"/>
  <c r="AJ18" i="11" s="1"/>
  <c r="BC9" i="11" s="1"/>
  <c r="AM64" i="11"/>
  <c r="W18" i="11" s="1"/>
  <c r="AK18" i="11" s="1"/>
  <c r="BD9" i="11" s="1"/>
  <c r="AI65" i="11"/>
  <c r="AE67" i="11"/>
  <c r="O13" i="11" s="1"/>
  <c r="AP68" i="11"/>
  <c r="Z24" i="11" s="1"/>
  <c r="AN24" i="11" s="1"/>
  <c r="AP70" i="11"/>
  <c r="Z25" i="11" s="1"/>
  <c r="AN25" i="11" s="1"/>
  <c r="AL71" i="11"/>
  <c r="V21" i="11" s="1"/>
  <c r="AJ21" i="11" s="1"/>
  <c r="AQ72" i="11"/>
  <c r="AA26" i="11" s="1"/>
  <c r="AO26" i="11" s="1"/>
  <c r="AH72" i="11"/>
  <c r="R26" i="11" s="1"/>
  <c r="AF26" i="11" s="1"/>
  <c r="AL73" i="11"/>
  <c r="V27" i="11" s="1"/>
  <c r="AJ27" i="11" s="1"/>
  <c r="I74" i="11"/>
  <c r="U122" i="11"/>
  <c r="U149" i="11" s="1"/>
  <c r="U126" i="11"/>
  <c r="U153" i="11" s="1"/>
  <c r="N41" i="12"/>
  <c r="Z41" i="12" s="1"/>
  <c r="O73" i="12" s="1"/>
  <c r="Z11" i="12"/>
  <c r="AC11" i="12" s="1"/>
  <c r="AF11" i="12" s="1"/>
  <c r="AB13" i="12"/>
  <c r="AE13" i="12" s="1"/>
  <c r="AI39" i="11"/>
  <c r="S16" i="11" s="1"/>
  <c r="AG16" i="11" s="1"/>
  <c r="W19" i="11"/>
  <c r="AK19" i="11" s="1"/>
  <c r="AJ48" i="11"/>
  <c r="AO60" i="11"/>
  <c r="Y12" i="11" s="1"/>
  <c r="AM12" i="11" s="1"/>
  <c r="AJ60" i="11"/>
  <c r="T12" i="11" s="1"/>
  <c r="AH12" i="11" s="1"/>
  <c r="AI60" i="11"/>
  <c r="S12" i="11" s="1"/>
  <c r="AG12" i="11" s="1"/>
  <c r="AK63" i="11"/>
  <c r="U22" i="11" s="1"/>
  <c r="AI22" i="11" s="1"/>
  <c r="AF63" i="11"/>
  <c r="P22" i="11" s="1"/>
  <c r="AD22" i="11" s="1"/>
  <c r="AJ63" i="11"/>
  <c r="H74" i="11"/>
  <c r="L74" i="11" s="1"/>
  <c r="Q119" i="11"/>
  <c r="Q146" i="11" s="1"/>
  <c r="N122" i="11"/>
  <c r="N149" i="11" s="1"/>
  <c r="R122" i="11"/>
  <c r="R149" i="11" s="1"/>
  <c r="V122" i="11"/>
  <c r="V149" i="11" s="1"/>
  <c r="N124" i="11"/>
  <c r="N151" i="11" s="1"/>
  <c r="R124" i="11"/>
  <c r="R151" i="11" s="1"/>
  <c r="N126" i="11"/>
  <c r="N153" i="11" s="1"/>
  <c r="R126" i="11"/>
  <c r="R153" i="11" s="1"/>
  <c r="V126" i="11"/>
  <c r="V153" i="11" s="1"/>
  <c r="N128" i="11"/>
  <c r="N155" i="11" s="1"/>
  <c r="R128" i="11"/>
  <c r="R155" i="11" s="1"/>
  <c r="V128" i="11"/>
  <c r="V155" i="11" s="1"/>
  <c r="X131" i="11"/>
  <c r="X158" i="11" s="1"/>
  <c r="Q139" i="11"/>
  <c r="U139" i="11"/>
  <c r="P40" i="12"/>
  <c r="AB10" i="12"/>
  <c r="AE10" i="12" s="1"/>
  <c r="P49" i="12"/>
  <c r="AB19" i="12"/>
  <c r="AE19" i="12" s="1"/>
  <c r="K12" i="17"/>
  <c r="L12" i="17" s="1"/>
  <c r="M12" i="17" s="1"/>
  <c r="P12" i="17" s="1"/>
  <c r="K12" i="16"/>
  <c r="L12" i="16" s="1"/>
  <c r="M12" i="16" s="1"/>
  <c r="P12" i="16" s="1"/>
  <c r="AN24" i="3"/>
  <c r="I176" i="3"/>
  <c r="I186" i="3"/>
  <c r="K186" i="3" s="1"/>
  <c r="P153" i="9"/>
  <c r="O152" i="9"/>
  <c r="G65" i="10"/>
  <c r="K62" i="10"/>
  <c r="M23" i="11"/>
  <c r="AB84" i="12" s="1"/>
  <c r="AF84" i="12" s="1"/>
  <c r="AJ39" i="11"/>
  <c r="T16" i="11" s="1"/>
  <c r="AH16" i="11" s="1"/>
  <c r="AL42" i="11"/>
  <c r="V7" i="11" s="1"/>
  <c r="AJ7" i="11" s="1"/>
  <c r="BC6" i="11" s="1"/>
  <c r="G46" i="11"/>
  <c r="AI47" i="11"/>
  <c r="AQ47" i="11"/>
  <c r="AA14" i="11" s="1"/>
  <c r="AO14" i="11" s="1"/>
  <c r="BH8" i="11" s="1"/>
  <c r="AE49" i="11"/>
  <c r="O15" i="11" s="1"/>
  <c r="AC15" i="11" s="1"/>
  <c r="Z15" i="11"/>
  <c r="AF50" i="11"/>
  <c r="P6" i="11" s="1"/>
  <c r="AD6" i="11" s="1"/>
  <c r="AP6" i="11" s="1"/>
  <c r="AM53" i="11"/>
  <c r="AM60" i="11"/>
  <c r="W12" i="11" s="1"/>
  <c r="AK12" i="11" s="1"/>
  <c r="AE61" i="11"/>
  <c r="O8" i="11" s="1"/>
  <c r="AC8" i="11" s="1"/>
  <c r="AI62" i="11"/>
  <c r="S22" i="11" s="1"/>
  <c r="AG22" i="11" s="1"/>
  <c r="AL63" i="11"/>
  <c r="AI64" i="11"/>
  <c r="S18" i="11" s="1"/>
  <c r="AG18" i="11" s="1"/>
  <c r="AZ9" i="11" s="1"/>
  <c r="AK65" i="11"/>
  <c r="U11" i="11" s="1"/>
  <c r="AI11" i="11" s="1"/>
  <c r="AH65" i="11"/>
  <c r="R11" i="11" s="1"/>
  <c r="AF11" i="11" s="1"/>
  <c r="AN69" i="11"/>
  <c r="X20" i="11" s="1"/>
  <c r="AL20" i="11" s="1"/>
  <c r="AM70" i="11"/>
  <c r="W25" i="11" s="1"/>
  <c r="AK25" i="11" s="1"/>
  <c r="AQ71" i="11"/>
  <c r="AA21" i="11" s="1"/>
  <c r="AO21" i="11" s="1"/>
  <c r="AH71" i="11"/>
  <c r="R21" i="11" s="1"/>
  <c r="AF21" i="11" s="1"/>
  <c r="AL72" i="11"/>
  <c r="V26" i="11" s="1"/>
  <c r="AJ26" i="11" s="1"/>
  <c r="AM73" i="11"/>
  <c r="W27" i="11" s="1"/>
  <c r="AK27" i="11" s="1"/>
  <c r="AH73" i="11"/>
  <c r="R27" i="11" s="1"/>
  <c r="AF27" i="11" s="1"/>
  <c r="O122" i="11"/>
  <c r="O149" i="11" s="1"/>
  <c r="S122" i="11"/>
  <c r="S149" i="11" s="1"/>
  <c r="Q123" i="11"/>
  <c r="Q150" i="11" s="1"/>
  <c r="U125" i="11"/>
  <c r="U152" i="11" s="1"/>
  <c r="O126" i="11"/>
  <c r="O153" i="11" s="1"/>
  <c r="W126" i="11"/>
  <c r="W153" i="11" s="1"/>
  <c r="Y127" i="11"/>
  <c r="Y154" i="11" s="1"/>
  <c r="O128" i="11"/>
  <c r="O155" i="11" s="1"/>
  <c r="Z14" i="12"/>
  <c r="AC14" i="12" s="1"/>
  <c r="AF14" i="12" s="1"/>
  <c r="N44" i="12"/>
  <c r="Z44" i="12" s="1"/>
  <c r="O76" i="12" s="1"/>
  <c r="AB17" i="12"/>
  <c r="AE17" i="12" s="1"/>
  <c r="P47" i="12"/>
  <c r="N46" i="12"/>
  <c r="Z46" i="12" s="1"/>
  <c r="O78" i="12" s="1"/>
  <c r="X78" i="12" s="1"/>
  <c r="O28" i="12"/>
  <c r="Z38" i="12"/>
  <c r="O70" i="12" s="1"/>
  <c r="AB21" i="12"/>
  <c r="AE21" i="12" s="1"/>
  <c r="Z53" i="12"/>
  <c r="O85" i="12" s="1"/>
  <c r="AF85" i="12" s="1"/>
  <c r="AG85" i="12" s="1"/>
  <c r="P41" i="12"/>
  <c r="K9" i="17"/>
  <c r="L9" i="17" s="1"/>
  <c r="M9" i="17" s="1"/>
  <c r="P9" i="17" s="1"/>
  <c r="V9" i="17" s="1"/>
  <c r="W9" i="17" s="1"/>
  <c r="X9" i="17" s="1"/>
  <c r="G35" i="17" s="1"/>
  <c r="K9" i="16"/>
  <c r="L9" i="16" s="1"/>
  <c r="M9" i="16" s="1"/>
  <c r="P9" i="16" s="1"/>
  <c r="V9" i="16" s="1"/>
  <c r="W9" i="16" s="1"/>
  <c r="X9" i="16" s="1"/>
  <c r="G35" i="16" s="1"/>
  <c r="G43" i="16" s="1"/>
  <c r="I43" i="16" s="1"/>
  <c r="J43" i="16" s="1"/>
  <c r="K19" i="17"/>
  <c r="L19" i="17" s="1"/>
  <c r="M19" i="17" s="1"/>
  <c r="P19" i="17" s="1"/>
  <c r="V10" i="17" s="1"/>
  <c r="W10" i="17" s="1"/>
  <c r="X10" i="17" s="1"/>
  <c r="G36" i="17" s="1"/>
  <c r="K19" i="16"/>
  <c r="L19" i="16" s="1"/>
  <c r="M19" i="16" s="1"/>
  <c r="P19" i="16" s="1"/>
  <c r="V10" i="16" s="1"/>
  <c r="W10" i="16" s="1"/>
  <c r="X10" i="16" s="1"/>
  <c r="G36" i="16" s="1"/>
  <c r="L142" i="12"/>
  <c r="L157" i="12"/>
  <c r="L184" i="12" s="1"/>
  <c r="L194" i="12" s="1"/>
  <c r="L209" i="12" s="1"/>
  <c r="L221" i="12" s="1"/>
  <c r="L162" i="12"/>
  <c r="L189" i="12" s="1"/>
  <c r="L199" i="12" s="1"/>
  <c r="L214" i="12" s="1"/>
  <c r="L226" i="12" s="1"/>
  <c r="L147" i="12"/>
  <c r="AX19" i="13"/>
  <c r="AX20" i="13"/>
  <c r="AW23" i="13"/>
  <c r="AW24" i="13" s="1"/>
  <c r="S11" i="14"/>
  <c r="L11" i="14"/>
  <c r="T11" i="14" s="1"/>
  <c r="AM52" i="11"/>
  <c r="W9" i="11" s="1"/>
  <c r="AK9" i="11" s="1"/>
  <c r="BD7" i="11" s="1"/>
  <c r="S10" i="11"/>
  <c r="W10" i="11"/>
  <c r="AA10" i="11"/>
  <c r="AO57" i="11"/>
  <c r="Y23" i="11" s="1"/>
  <c r="AI57" i="11"/>
  <c r="AH59" i="11"/>
  <c r="AP60" i="11"/>
  <c r="Z12" i="11" s="1"/>
  <c r="AN12" i="11" s="1"/>
  <c r="AG66" i="11"/>
  <c r="AI66" i="11"/>
  <c r="Q118" i="11"/>
  <c r="Q145" i="11" s="1"/>
  <c r="U118" i="11"/>
  <c r="U145" i="11" s="1"/>
  <c r="O119" i="11"/>
  <c r="O146" i="11" s="1"/>
  <c r="Y130" i="11"/>
  <c r="Y157" i="11" s="1"/>
  <c r="O131" i="11"/>
  <c r="O158" i="11" s="1"/>
  <c r="Q134" i="11"/>
  <c r="Q161" i="11" s="1"/>
  <c r="U134" i="11"/>
  <c r="U161" i="11" s="1"/>
  <c r="M165" i="11"/>
  <c r="Q165" i="11" s="1"/>
  <c r="P35" i="12"/>
  <c r="P28" i="12"/>
  <c r="AA78" i="12"/>
  <c r="AA84" i="12"/>
  <c r="AW26" i="13"/>
  <c r="AW27" i="13" s="1"/>
  <c r="DO14" i="13"/>
  <c r="M98" i="12"/>
  <c r="M120" i="12" s="1"/>
  <c r="N5" i="17"/>
  <c r="N5" i="16"/>
  <c r="Q69" i="12"/>
  <c r="L144" i="12"/>
  <c r="L159" i="12"/>
  <c r="L186" i="12" s="1"/>
  <c r="L196" i="12" s="1"/>
  <c r="L211" i="12" s="1"/>
  <c r="L223" i="12" s="1"/>
  <c r="BJ21" i="13" a="1"/>
  <c r="BJ23" i="13" s="1"/>
  <c r="L9" i="14"/>
  <c r="BJ18" i="13" a="1"/>
  <c r="BJ20" i="13" s="1"/>
  <c r="Q85" i="12"/>
  <c r="AC85" i="12" s="1"/>
  <c r="Z55" i="12"/>
  <c r="O87" i="12" s="1"/>
  <c r="Z56" i="12"/>
  <c r="O88" i="12" s="1"/>
  <c r="Z57" i="12"/>
  <c r="O89" i="12" s="1"/>
  <c r="K10" i="17"/>
  <c r="L10" i="17" s="1"/>
  <c r="M10" i="17" s="1"/>
  <c r="P10" i="17" s="1"/>
  <c r="V11" i="17" s="1"/>
  <c r="W11" i="17" s="1"/>
  <c r="X11" i="17" s="1"/>
  <c r="G37" i="17" s="1"/>
  <c r="K10" i="16"/>
  <c r="L10" i="16" s="1"/>
  <c r="M10" i="16" s="1"/>
  <c r="P10" i="16" s="1"/>
  <c r="M142" i="12"/>
  <c r="K155" i="12"/>
  <c r="K182" i="12" s="1"/>
  <c r="K192" i="12" s="1"/>
  <c r="K207" i="12" s="1"/>
  <c r="K219" i="12" s="1"/>
  <c r="J158" i="12"/>
  <c r="J185" i="12" s="1"/>
  <c r="J195" i="12" s="1"/>
  <c r="J210" i="12" s="1"/>
  <c r="J222" i="12" s="1"/>
  <c r="BJ24" i="13" a="1"/>
  <c r="BJ24" i="13" s="1"/>
  <c r="CO29" i="13" a="1"/>
  <c r="K18" i="15"/>
  <c r="K17" i="15" s="1"/>
  <c r="O18" i="15"/>
  <c r="J36" i="15" s="1" a="1"/>
  <c r="N28" i="15"/>
  <c r="J78" i="15"/>
  <c r="M78" i="15" s="1"/>
  <c r="Q78" i="15" s="1"/>
  <c r="L10" i="14"/>
  <c r="T10" i="14" s="1"/>
  <c r="N59" i="15"/>
  <c r="N63" i="15"/>
  <c r="N68" i="15"/>
  <c r="K70" i="15"/>
  <c r="J79" i="15"/>
  <c r="M79" i="15" s="1"/>
  <c r="Q79" i="15" s="1"/>
  <c r="J141" i="12"/>
  <c r="CV30" i="13"/>
  <c r="J8" i="14"/>
  <c r="K9" i="14"/>
  <c r="Q18" i="15"/>
  <c r="Q17" i="15" s="1"/>
  <c r="O47" i="15"/>
  <c r="O59" i="15"/>
  <c r="N62" i="15"/>
  <c r="O63" i="15"/>
  <c r="M66" i="15"/>
  <c r="N67" i="15"/>
  <c r="O68" i="15"/>
  <c r="M69" i="15"/>
  <c r="L70" i="15"/>
  <c r="N17" i="15"/>
  <c r="N61" i="15"/>
  <c r="O62" i="15"/>
  <c r="N66" i="15"/>
  <c r="L87" i="4"/>
  <c r="M87" i="4" s="1"/>
  <c r="AI118" i="4" s="1"/>
  <c r="K29" i="4"/>
  <c r="K16" i="4"/>
  <c r="M135" i="4"/>
  <c r="Q135" i="4"/>
  <c r="K11" i="4"/>
  <c r="K24" i="4"/>
  <c r="M88" i="4"/>
  <c r="W119" i="4" s="1"/>
  <c r="I36" i="16"/>
  <c r="J36" i="16" s="1"/>
  <c r="G44" i="16"/>
  <c r="I44" i="16" s="1"/>
  <c r="J44" i="16" s="1"/>
  <c r="I35" i="16"/>
  <c r="J35" i="16" s="1"/>
  <c r="AU20" i="13"/>
  <c r="CV27" i="13"/>
  <c r="DO12" i="13"/>
  <c r="AU28" i="13"/>
  <c r="AX21" i="13"/>
  <c r="AX23" i="13"/>
  <c r="CO24" i="13" a="1"/>
  <c r="CO24" i="13" s="1"/>
  <c r="L94" i="10"/>
  <c r="E8" i="8"/>
  <c r="E8" i="9"/>
  <c r="J9" i="3"/>
  <c r="J10" i="3" s="1"/>
  <c r="F15" i="9"/>
  <c r="G8" i="6"/>
  <c r="I177" i="16" s="1"/>
  <c r="F15" i="8"/>
  <c r="J184" i="3"/>
  <c r="K184" i="3"/>
  <c r="M67" i="4"/>
  <c r="N67" i="4" s="1"/>
  <c r="O67" i="4" s="1"/>
  <c r="P67" i="4" s="1"/>
  <c r="Q67" i="4" s="1"/>
  <c r="R67" i="4" s="1"/>
  <c r="S67" i="4" s="1"/>
  <c r="M54" i="4"/>
  <c r="N54" i="4" s="1"/>
  <c r="O54" i="4" s="1"/>
  <c r="P54" i="4" s="1"/>
  <c r="Q54" i="4" s="1"/>
  <c r="R54" i="4" s="1"/>
  <c r="S54" i="4" s="1"/>
  <c r="AL15" i="3"/>
  <c r="I113" i="3"/>
  <c r="H113" i="3"/>
  <c r="J113" i="3" s="1"/>
  <c r="G16" i="3"/>
  <c r="J180" i="3"/>
  <c r="K180" i="3"/>
  <c r="S119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J190" i="3"/>
  <c r="K190" i="3"/>
  <c r="G133" i="3"/>
  <c r="C26" i="6"/>
  <c r="F11" i="9"/>
  <c r="F11" i="8"/>
  <c r="I119" i="3"/>
  <c r="H119" i="3"/>
  <c r="J119" i="3" s="1"/>
  <c r="J170" i="3"/>
  <c r="K182" i="3"/>
  <c r="J182" i="3"/>
  <c r="G124" i="3"/>
  <c r="G134" i="3"/>
  <c r="J188" i="3"/>
  <c r="K188" i="3"/>
  <c r="O24" i="1"/>
  <c r="D91" i="1"/>
  <c r="F13" i="9"/>
  <c r="F13" i="8"/>
  <c r="O66" i="7" s="1"/>
  <c r="G6" i="6"/>
  <c r="H49" i="11"/>
  <c r="L49" i="11" s="1"/>
  <c r="I49" i="11"/>
  <c r="AC22" i="11"/>
  <c r="H69" i="11"/>
  <c r="L69" i="11" s="1"/>
  <c r="AC25" i="11"/>
  <c r="O25" i="1"/>
  <c r="AK25" i="1"/>
  <c r="E43" i="1"/>
  <c r="E46" i="1"/>
  <c r="E50" i="1"/>
  <c r="D57" i="1"/>
  <c r="D61" i="1"/>
  <c r="D88" i="1"/>
  <c r="D92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N54" i="2"/>
  <c r="N57" i="2"/>
  <c r="N65" i="2"/>
  <c r="N72" i="2"/>
  <c r="CY13" i="13" s="1"/>
  <c r="N89" i="2"/>
  <c r="N96" i="2"/>
  <c r="N103" i="2"/>
  <c r="AO75" i="13"/>
  <c r="AQ44" i="13" s="1"/>
  <c r="V19" i="13"/>
  <c r="G9" i="6"/>
  <c r="H177" i="1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35" i="4"/>
  <c r="N135" i="4"/>
  <c r="P11" i="9"/>
  <c r="Q22" i="9"/>
  <c r="AP8" i="11"/>
  <c r="H43" i="11"/>
  <c r="L43" i="11" s="1"/>
  <c r="H50" i="11"/>
  <c r="L50" i="11" s="1"/>
  <c r="H53" i="11"/>
  <c r="I53" i="11"/>
  <c r="H55" i="11"/>
  <c r="L55" i="11" s="1"/>
  <c r="I55" i="11"/>
  <c r="H62" i="11"/>
  <c r="L62" i="11" s="1"/>
  <c r="L68" i="11"/>
  <c r="I68" i="11"/>
  <c r="Z24" i="1"/>
  <c r="O38" i="2"/>
  <c r="F16" i="9"/>
  <c r="G14" i="6"/>
  <c r="F16" i="8"/>
  <c r="K114" i="3"/>
  <c r="K119" i="3"/>
  <c r="J135" i="3"/>
  <c r="K136" i="3"/>
  <c r="B145" i="3"/>
  <c r="N98" i="9"/>
  <c r="N99" i="9"/>
  <c r="N100" i="9"/>
  <c r="H41" i="11"/>
  <c r="L41" i="11" s="1"/>
  <c r="H64" i="11"/>
  <c r="L64" i="11" s="1"/>
  <c r="D20" i="1"/>
  <c r="D23" i="1"/>
  <c r="D27" i="1"/>
  <c r="E24" i="1"/>
  <c r="E28" i="1"/>
  <c r="O21" i="1"/>
  <c r="Z21" i="1"/>
  <c r="AK21" i="1"/>
  <c r="DN23" i="13" s="1"/>
  <c r="DS23" i="13" s="1"/>
  <c r="DX23" i="13" s="1"/>
  <c r="AK29" i="1"/>
  <c r="O28" i="1"/>
  <c r="AA24" i="1"/>
  <c r="AK22" i="1"/>
  <c r="DN24" i="13" s="1"/>
  <c r="DS24" i="13" s="1"/>
  <c r="DX24" i="13" s="1"/>
  <c r="AK26" i="1"/>
  <c r="AN70" i="13" s="1"/>
  <c r="E47" i="1"/>
  <c r="E51" i="1"/>
  <c r="D89" i="1"/>
  <c r="D93" i="1"/>
  <c r="E26" i="2"/>
  <c r="E30" i="2"/>
  <c r="O28" i="2"/>
  <c r="O32" i="2"/>
  <c r="O36" i="2"/>
  <c r="O40" i="2"/>
  <c r="N58" i="2"/>
  <c r="AO79" i="13"/>
  <c r="AO44" i="13" s="1"/>
  <c r="AO70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39" i="4"/>
  <c r="L139" i="4"/>
  <c r="P138" i="4"/>
  <c r="R51" i="4" s="1"/>
  <c r="R64" i="4" s="1"/>
  <c r="L138" i="4"/>
  <c r="N51" i="4" s="1"/>
  <c r="N64" i="4" s="1"/>
  <c r="P134" i="4"/>
  <c r="R50" i="4" s="1"/>
  <c r="R63" i="4" s="1"/>
  <c r="L134" i="4"/>
  <c r="N50" i="4" s="1"/>
  <c r="N63" i="4" s="1"/>
  <c r="P133" i="4"/>
  <c r="R49" i="4" s="1"/>
  <c r="R62" i="4" s="1"/>
  <c r="L133" i="4"/>
  <c r="N49" i="4" s="1"/>
  <c r="N62" i="4" s="1"/>
  <c r="P132" i="4"/>
  <c r="R48" i="4" s="1"/>
  <c r="R61" i="4" s="1"/>
  <c r="L132" i="4"/>
  <c r="N48" i="4" s="1"/>
  <c r="N61" i="4" s="1"/>
  <c r="P131" i="4"/>
  <c r="R47" i="4" s="1"/>
  <c r="R60" i="4" s="1"/>
  <c r="L131" i="4"/>
  <c r="N47" i="4" s="1"/>
  <c r="N60" i="4" s="1"/>
  <c r="P130" i="4"/>
  <c r="R46" i="4" s="1"/>
  <c r="R59" i="4" s="1"/>
  <c r="L130" i="4"/>
  <c r="N46" i="4" s="1"/>
  <c r="N59" i="4" s="1"/>
  <c r="P129" i="4"/>
  <c r="R45" i="4" s="1"/>
  <c r="R58" i="4" s="1"/>
  <c r="L129" i="4"/>
  <c r="N45" i="4" s="1"/>
  <c r="N58" i="4" s="1"/>
  <c r="P128" i="4"/>
  <c r="R44" i="4" s="1"/>
  <c r="R57" i="4" s="1"/>
  <c r="L128" i="4"/>
  <c r="N44" i="4" s="1"/>
  <c r="N57" i="4" s="1"/>
  <c r="P127" i="4"/>
  <c r="R43" i="4" s="1"/>
  <c r="R56" i="4" s="1"/>
  <c r="L127" i="4"/>
  <c r="N43" i="4" s="1"/>
  <c r="N56" i="4" s="1"/>
  <c r="O139" i="4"/>
  <c r="K139" i="4"/>
  <c r="O138" i="4"/>
  <c r="Q51" i="4" s="1"/>
  <c r="Q64" i="4" s="1"/>
  <c r="K138" i="4"/>
  <c r="M51" i="4" s="1"/>
  <c r="M64" i="4" s="1"/>
  <c r="O134" i="4"/>
  <c r="Q50" i="4" s="1"/>
  <c r="Q63" i="4" s="1"/>
  <c r="K134" i="4"/>
  <c r="M50" i="4" s="1"/>
  <c r="M63" i="4" s="1"/>
  <c r="O133" i="4"/>
  <c r="Q49" i="4" s="1"/>
  <c r="Q62" i="4" s="1"/>
  <c r="K133" i="4"/>
  <c r="M49" i="4" s="1"/>
  <c r="M62" i="4" s="1"/>
  <c r="O132" i="4"/>
  <c r="Q48" i="4" s="1"/>
  <c r="Q61" i="4" s="1"/>
  <c r="K132" i="4"/>
  <c r="M48" i="4" s="1"/>
  <c r="M61" i="4" s="1"/>
  <c r="O131" i="4"/>
  <c r="Q47" i="4" s="1"/>
  <c r="Q60" i="4" s="1"/>
  <c r="K131" i="4"/>
  <c r="M47" i="4" s="1"/>
  <c r="M60" i="4" s="1"/>
  <c r="O130" i="4"/>
  <c r="Q46" i="4" s="1"/>
  <c r="Q59" i="4" s="1"/>
  <c r="K130" i="4"/>
  <c r="M46" i="4" s="1"/>
  <c r="M59" i="4" s="1"/>
  <c r="O129" i="4"/>
  <c r="Q45" i="4" s="1"/>
  <c r="Q58" i="4" s="1"/>
  <c r="K129" i="4"/>
  <c r="M45" i="4" s="1"/>
  <c r="M58" i="4" s="1"/>
  <c r="O128" i="4"/>
  <c r="Q44" i="4" s="1"/>
  <c r="Q57" i="4" s="1"/>
  <c r="K128" i="4"/>
  <c r="M44" i="4" s="1"/>
  <c r="M57" i="4" s="1"/>
  <c r="O127" i="4"/>
  <c r="Q43" i="4" s="1"/>
  <c r="Q56" i="4" s="1"/>
  <c r="K127" i="4"/>
  <c r="M43" i="4" s="1"/>
  <c r="M56" i="4" s="1"/>
  <c r="N139" i="4"/>
  <c r="J139" i="4"/>
  <c r="N138" i="4"/>
  <c r="P51" i="4" s="1"/>
  <c r="P64" i="4" s="1"/>
  <c r="J138" i="4"/>
  <c r="L51" i="4" s="1"/>
  <c r="L64" i="4" s="1"/>
  <c r="N134" i="4"/>
  <c r="P50" i="4" s="1"/>
  <c r="P63" i="4" s="1"/>
  <c r="J134" i="4"/>
  <c r="L50" i="4" s="1"/>
  <c r="N133" i="4"/>
  <c r="P49" i="4" s="1"/>
  <c r="P62" i="4" s="1"/>
  <c r="J133" i="4"/>
  <c r="L49" i="4" s="1"/>
  <c r="L62" i="4" s="1"/>
  <c r="N132" i="4"/>
  <c r="P48" i="4" s="1"/>
  <c r="P61" i="4" s="1"/>
  <c r="J132" i="4"/>
  <c r="L48" i="4" s="1"/>
  <c r="L61" i="4" s="1"/>
  <c r="N131" i="4"/>
  <c r="P47" i="4" s="1"/>
  <c r="P60" i="4" s="1"/>
  <c r="J131" i="4"/>
  <c r="L47" i="4" s="1"/>
  <c r="L60" i="4" s="1"/>
  <c r="N130" i="4"/>
  <c r="P46" i="4" s="1"/>
  <c r="P59" i="4" s="1"/>
  <c r="J130" i="4"/>
  <c r="L46" i="4" s="1"/>
  <c r="L59" i="4" s="1"/>
  <c r="N129" i="4"/>
  <c r="P45" i="4" s="1"/>
  <c r="P58" i="4" s="1"/>
  <c r="J129" i="4"/>
  <c r="L45" i="4" s="1"/>
  <c r="L58" i="4" s="1"/>
  <c r="N128" i="4"/>
  <c r="P44" i="4" s="1"/>
  <c r="P57" i="4" s="1"/>
  <c r="J128" i="4"/>
  <c r="L44" i="4" s="1"/>
  <c r="N127" i="4"/>
  <c r="P43" i="4" s="1"/>
  <c r="P56" i="4" s="1"/>
  <c r="J127" i="4"/>
  <c r="L43" i="4" s="1"/>
  <c r="Q139" i="4"/>
  <c r="M139" i="4"/>
  <c r="Q138" i="4"/>
  <c r="S51" i="4" s="1"/>
  <c r="S64" i="4" s="1"/>
  <c r="M138" i="4"/>
  <c r="O51" i="4" s="1"/>
  <c r="O64" i="4" s="1"/>
  <c r="Q134" i="4"/>
  <c r="S50" i="4" s="1"/>
  <c r="S63" i="4" s="1"/>
  <c r="M134" i="4"/>
  <c r="O50" i="4" s="1"/>
  <c r="O63" i="4" s="1"/>
  <c r="Q133" i="4"/>
  <c r="S49" i="4" s="1"/>
  <c r="S62" i="4" s="1"/>
  <c r="M133" i="4"/>
  <c r="O49" i="4" s="1"/>
  <c r="O62" i="4" s="1"/>
  <c r="Q132" i="4"/>
  <c r="S48" i="4" s="1"/>
  <c r="S61" i="4" s="1"/>
  <c r="M132" i="4"/>
  <c r="O48" i="4" s="1"/>
  <c r="O61" i="4" s="1"/>
  <c r="Q131" i="4"/>
  <c r="S47" i="4" s="1"/>
  <c r="S60" i="4" s="1"/>
  <c r="M131" i="4"/>
  <c r="O47" i="4" s="1"/>
  <c r="O60" i="4" s="1"/>
  <c r="Q130" i="4"/>
  <c r="S46" i="4" s="1"/>
  <c r="S59" i="4" s="1"/>
  <c r="M130" i="4"/>
  <c r="O46" i="4" s="1"/>
  <c r="O59" i="4" s="1"/>
  <c r="Q129" i="4"/>
  <c r="S45" i="4" s="1"/>
  <c r="S58" i="4" s="1"/>
  <c r="M129" i="4"/>
  <c r="O45" i="4" s="1"/>
  <c r="O58" i="4" s="1"/>
  <c r="Q128" i="4"/>
  <c r="S44" i="4" s="1"/>
  <c r="S57" i="4" s="1"/>
  <c r="M128" i="4"/>
  <c r="O44" i="4" s="1"/>
  <c r="O57" i="4" s="1"/>
  <c r="Q127" i="4"/>
  <c r="S43" i="4" s="1"/>
  <c r="S56" i="4" s="1"/>
  <c r="M127" i="4"/>
  <c r="O43" i="4" s="1"/>
  <c r="O56" i="4" s="1"/>
  <c r="K17" i="4"/>
  <c r="K13" i="4"/>
  <c r="K9" i="4"/>
  <c r="K14" i="4"/>
  <c r="K31" i="4"/>
  <c r="K27" i="4"/>
  <c r="K23" i="4"/>
  <c r="K26" i="4"/>
  <c r="K135" i="4"/>
  <c r="O135" i="4"/>
  <c r="P36" i="8"/>
  <c r="Q79" i="9"/>
  <c r="M21" i="12"/>
  <c r="M51" i="12"/>
  <c r="M83" i="12" s="1"/>
  <c r="BD10" i="11"/>
  <c r="AB75" i="12"/>
  <c r="H47" i="11"/>
  <c r="L47" i="11" s="1"/>
  <c r="H52" i="11"/>
  <c r="I52" i="11"/>
  <c r="H59" i="11"/>
  <c r="L59" i="11" s="1"/>
  <c r="AC13" i="11"/>
  <c r="BG11" i="11"/>
  <c r="AK24" i="1"/>
  <c r="AK28" i="1"/>
  <c r="E28" i="2"/>
  <c r="E32" i="2"/>
  <c r="O42" i="2"/>
  <c r="K113" i="3"/>
  <c r="BG10" i="11"/>
  <c r="AF76" i="12"/>
  <c r="AG76" i="12" s="1"/>
  <c r="AD76" i="12"/>
  <c r="H63" i="11"/>
  <c r="L63" i="11" s="1"/>
  <c r="D24" i="1"/>
  <c r="D28" i="1"/>
  <c r="E21" i="1"/>
  <c r="E25" i="1"/>
  <c r="E29" i="1"/>
  <c r="O22" i="1"/>
  <c r="O26" i="1"/>
  <c r="Z22" i="1"/>
  <c r="O29" i="1"/>
  <c r="D21" i="1"/>
  <c r="D25" i="1"/>
  <c r="E22" i="1"/>
  <c r="O20" i="1"/>
  <c r="Z20" i="1"/>
  <c r="AK20" i="1"/>
  <c r="AK23" i="1"/>
  <c r="AL24" i="1"/>
  <c r="O27" i="1"/>
  <c r="AO20" i="13"/>
  <c r="AO18" i="13"/>
  <c r="D47" i="1"/>
  <c r="E44" i="1"/>
  <c r="E48" i="1"/>
  <c r="D55" i="1"/>
  <c r="D87" i="1"/>
  <c r="D26" i="2"/>
  <c r="E24" i="2"/>
  <c r="E27" i="2"/>
  <c r="N28" i="2"/>
  <c r="L65" i="13" s="1"/>
  <c r="Q17" i="13" s="1"/>
  <c r="U13" i="13" s="1"/>
  <c r="O25" i="2"/>
  <c r="O29" i="2"/>
  <c r="N36" i="2"/>
  <c r="O34" i="2"/>
  <c r="O37" i="2"/>
  <c r="N48" i="2"/>
  <c r="N55" i="2"/>
  <c r="N63" i="2"/>
  <c r="N70" i="2"/>
  <c r="CY11" i="13" s="1"/>
  <c r="N87" i="2"/>
  <c r="N94" i="2"/>
  <c r="N101" i="2"/>
  <c r="AO78" i="13"/>
  <c r="AO77" i="13"/>
  <c r="AO76" i="13"/>
  <c r="AP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35" i="4"/>
  <c r="P135" i="4"/>
  <c r="DY27" i="13"/>
  <c r="DY24" i="13"/>
  <c r="DT27" i="13"/>
  <c r="DY25" i="13"/>
  <c r="DT24" i="13"/>
  <c r="DY22" i="13"/>
  <c r="DT22" i="13"/>
  <c r="DO22" i="13"/>
  <c r="DO27" i="13"/>
  <c r="DY26" i="13"/>
  <c r="DT25" i="13"/>
  <c r="DO24" i="13"/>
  <c r="DT23" i="13"/>
  <c r="DO23" i="13"/>
  <c r="DO25" i="13"/>
  <c r="DT26" i="13"/>
  <c r="DY23" i="13"/>
  <c r="P170" i="8"/>
  <c r="P170" i="9"/>
  <c r="N98" i="8"/>
  <c r="N99" i="8"/>
  <c r="N100" i="8"/>
  <c r="G66" i="10"/>
  <c r="H65" i="10" s="1"/>
  <c r="M14" i="12"/>
  <c r="M44" i="12"/>
  <c r="M76" i="12" s="1"/>
  <c r="K63" i="10"/>
  <c r="AV9" i="11"/>
  <c r="AB80" i="12"/>
  <c r="BG8" i="11"/>
  <c r="AB6" i="11"/>
  <c r="H51" i="11"/>
  <c r="I51" i="11" s="1"/>
  <c r="H57" i="11"/>
  <c r="L57" i="11" s="1"/>
  <c r="AC11" i="11"/>
  <c r="Y118" i="4"/>
  <c r="AO118" i="4"/>
  <c r="Q136" i="4" s="1"/>
  <c r="S52" i="4" s="1"/>
  <c r="S65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F79" i="12"/>
  <c r="AD79" i="12"/>
  <c r="AE79" i="12" s="1"/>
  <c r="AD89" i="12"/>
  <c r="AE89" i="12" s="1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N52" i="1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W73" i="12"/>
  <c r="Z73" i="12"/>
  <c r="Y73" i="12"/>
  <c r="X73" i="12"/>
  <c r="P73" i="12"/>
  <c r="X76" i="12"/>
  <c r="P76" i="12"/>
  <c r="W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18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E70" i="12" s="1"/>
  <c r="AF72" i="12"/>
  <c r="AG72" i="12" s="1"/>
  <c r="AD72" i="12"/>
  <c r="AD73" i="12"/>
  <c r="AF73" i="12"/>
  <c r="AG73" i="12" s="1"/>
  <c r="AC82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Q68" i="11"/>
  <c r="AA24" i="11" s="1"/>
  <c r="AO24" i="11" s="1"/>
  <c r="AM68" i="11"/>
  <c r="W24" i="11" s="1"/>
  <c r="AK24" i="11" s="1"/>
  <c r="BD11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Z78" i="12"/>
  <c r="Q58" i="8"/>
  <c r="Q63" i="8" s="1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H45" i="11"/>
  <c r="L45" i="11" s="1"/>
  <c r="AH45" i="11"/>
  <c r="H46" i="11"/>
  <c r="L46" i="11" s="1"/>
  <c r="AH46" i="11"/>
  <c r="AL46" i="11"/>
  <c r="AG47" i="11"/>
  <c r="AK47" i="11"/>
  <c r="AO47" i="11"/>
  <c r="Y14" i="11" s="1"/>
  <c r="AM14" i="11" s="1"/>
  <c r="BF8" i="11" s="1"/>
  <c r="G48" i="11"/>
  <c r="AG48" i="11"/>
  <c r="AK48" i="11"/>
  <c r="AF49" i="11"/>
  <c r="P15" i="11" s="1"/>
  <c r="AJ49" i="11"/>
  <c r="AE51" i="11"/>
  <c r="O9" i="11" s="1"/>
  <c r="AJ51" i="1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Q67" i="12"/>
  <c r="W77" i="12"/>
  <c r="Z77" i="12"/>
  <c r="Y77" i="12"/>
  <c r="X77" i="12"/>
  <c r="P77" i="12"/>
  <c r="Y80" i="12"/>
  <c r="X80" i="12"/>
  <c r="P80" i="12"/>
  <c r="W80" i="12"/>
  <c r="Z80" i="12"/>
  <c r="P118" i="4"/>
  <c r="L136" i="4" s="1"/>
  <c r="N52" i="4" s="1"/>
  <c r="N65" i="4" s="1"/>
  <c r="AF118" i="4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G88" i="12" s="1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AL44" i="11"/>
  <c r="V19" i="11" s="1"/>
  <c r="AJ19" i="11" s="1"/>
  <c r="AE45" i="11"/>
  <c r="AE46" i="11"/>
  <c r="O14" i="11" s="1"/>
  <c r="AI46" i="1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AH56" i="11"/>
  <c r="AI58" i="11"/>
  <c r="AE58" i="11"/>
  <c r="AL58" i="11"/>
  <c r="V23" i="11" s="1"/>
  <c r="AJ23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Y70" i="12"/>
  <c r="X72" i="12"/>
  <c r="P72" i="12"/>
  <c r="W72" i="12"/>
  <c r="Y72" i="12"/>
  <c r="Z72" i="12"/>
  <c r="N43" i="12"/>
  <c r="Z43" i="12" s="1"/>
  <c r="O75" i="12" s="1"/>
  <c r="AH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H70" i="12"/>
  <c r="N50" i="12"/>
  <c r="Z50" i="12" s="1"/>
  <c r="O82" i="12" s="1"/>
  <c r="AF82" i="12" s="1"/>
  <c r="T105" i="12"/>
  <c r="AA105" i="12" s="1"/>
  <c r="R162" i="12" s="1"/>
  <c r="BY22" i="13" s="1"/>
  <c r="BY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P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AC79" i="12" s="1"/>
  <c r="P48" i="12"/>
  <c r="Q80" i="12"/>
  <c r="Q81" i="12"/>
  <c r="AC81" i="12" s="1"/>
  <c r="AH83" i="12"/>
  <c r="AH85" i="12"/>
  <c r="Z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E76" i="12"/>
  <c r="AH76" i="12"/>
  <c r="AH79" i="12"/>
  <c r="AE81" i="12"/>
  <c r="AH81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Q84" i="12"/>
  <c r="AC84" i="12" s="1"/>
  <c r="Q86" i="12"/>
  <c r="AC86" i="12" s="1"/>
  <c r="AH89" i="12"/>
  <c r="R67" i="12"/>
  <c r="AH80" i="12"/>
  <c r="R105" i="12"/>
  <c r="V105" i="12"/>
  <c r="Q87" i="12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O93" i="13" a="1"/>
  <c r="S11" i="13"/>
  <c r="L143" i="12"/>
  <c r="BJ28" i="13"/>
  <c r="BJ27" i="13"/>
  <c r="BJ29" i="13"/>
  <c r="DD30" i="13"/>
  <c r="DD32" i="13"/>
  <c r="BF29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E208" i="12"/>
  <c r="N19" i="13"/>
  <c r="N15" i="13"/>
  <c r="N11" i="13"/>
  <c r="N18" i="13"/>
  <c r="N13" i="13"/>
  <c r="N9" i="13"/>
  <c r="N22" i="13"/>
  <c r="N17" i="13"/>
  <c r="N12" i="13"/>
  <c r="N21" i="13"/>
  <c r="N16" i="13"/>
  <c r="N10" i="13"/>
  <c r="AU9" i="13"/>
  <c r="AU11" i="13"/>
  <c r="AU10" i="13"/>
  <c r="U121" i="12"/>
  <c r="U123" i="12"/>
  <c r="U125" i="12"/>
  <c r="M145" i="12"/>
  <c r="L146" i="12"/>
  <c r="K147" i="12"/>
  <c r="BJ11" i="13"/>
  <c r="AE220" i="12"/>
  <c r="N14" i="13"/>
  <c r="N198" i="12"/>
  <c r="CP28" i="13" s="1"/>
  <c r="AX11" i="13"/>
  <c r="AX10" i="13"/>
  <c r="CO32" i="13"/>
  <c r="CO29" i="13"/>
  <c r="CO31" i="13"/>
  <c r="CO30" i="13"/>
  <c r="CO33" i="13"/>
  <c r="BG23" i="13"/>
  <c r="BG22" i="13"/>
  <c r="BG21" i="13"/>
  <c r="DD31" i="13"/>
  <c r="CP25" i="13"/>
  <c r="DD29" i="13"/>
  <c r="AX30" i="13"/>
  <c r="AX29" i="13"/>
  <c r="AX28" i="13"/>
  <c r="AW10" i="13"/>
  <c r="AW11" i="13" s="1"/>
  <c r="BG20" i="13"/>
  <c r="BG19" i="13"/>
  <c r="BG18" i="13"/>
  <c r="BG26" i="13"/>
  <c r="BG25" i="13"/>
  <c r="BG24" i="13"/>
  <c r="AU23" i="13"/>
  <c r="AU27" i="13"/>
  <c r="BG27" i="13"/>
  <c r="O17" i="15"/>
  <c r="CV26" i="13"/>
  <c r="CV28" i="13"/>
  <c r="AU21" i="13"/>
  <c r="AU25" i="13"/>
  <c r="AU29" i="13"/>
  <c r="AX24" i="13"/>
  <c r="AX27" i="13"/>
  <c r="BG29" i="13"/>
  <c r="AU19" i="13"/>
  <c r="AU22" i="13"/>
  <c r="AU26" i="13"/>
  <c r="BX9" i="13" l="1"/>
  <c r="DD10" i="13" s="1"/>
  <c r="AO25" i="13"/>
  <c r="BX21" i="13"/>
  <c r="DD20" i="13" s="1"/>
  <c r="AO37" i="13"/>
  <c r="BX17" i="13"/>
  <c r="DD18" i="13" s="1"/>
  <c r="AO33" i="13"/>
  <c r="BX13" i="13"/>
  <c r="DD14" i="13" s="1"/>
  <c r="AO29" i="13"/>
  <c r="BX11" i="13"/>
  <c r="DD12" i="13" s="1"/>
  <c r="AO27" i="13"/>
  <c r="BX19" i="13"/>
  <c r="AO35" i="13"/>
  <c r="BX15" i="13"/>
  <c r="DD16" i="13" s="1"/>
  <c r="AO31" i="13"/>
  <c r="T119" i="4"/>
  <c r="AL119" i="4"/>
  <c r="M119" i="4"/>
  <c r="N119" i="4"/>
  <c r="AQ70" i="13"/>
  <c r="AQ49" i="13"/>
  <c r="AQ65" i="13"/>
  <c r="AQ57" i="13"/>
  <c r="AQ53" i="13"/>
  <c r="AP70" i="13"/>
  <c r="AP53" i="13"/>
  <c r="AP65" i="13"/>
  <c r="AP49" i="13"/>
  <c r="AP57" i="13"/>
  <c r="AP61" i="13"/>
  <c r="BJ25" i="13"/>
  <c r="CP29" i="13" a="1"/>
  <c r="CP29" i="13" s="1"/>
  <c r="CO27" i="13"/>
  <c r="BJ21" i="13"/>
  <c r="BJ26" i="13"/>
  <c r="U25" i="13" a="1"/>
  <c r="U26" i="13" s="1"/>
  <c r="BJ22" i="13"/>
  <c r="AR9" i="13" a="1"/>
  <c r="AF9" i="13" a="1"/>
  <c r="AF11" i="13" s="1"/>
  <c r="AL32" i="1" a="1"/>
  <c r="AL39" i="1" s="1"/>
  <c r="DG9" i="13" a="1"/>
  <c r="DG10" i="13" s="1"/>
  <c r="CU28" i="13"/>
  <c r="CU13" i="13"/>
  <c r="V9" i="13" a="1"/>
  <c r="V11" i="13" s="1"/>
  <c r="AH78" i="12"/>
  <c r="BB78" i="12" s="1"/>
  <c r="X85" i="12"/>
  <c r="AB118" i="4"/>
  <c r="W78" i="12"/>
  <c r="AD71" i="12"/>
  <c r="AE71" i="12" s="1"/>
  <c r="N11" i="17"/>
  <c r="N11" i="16"/>
  <c r="N8" i="17"/>
  <c r="N8" i="16"/>
  <c r="AK118" i="4"/>
  <c r="U118" i="4"/>
  <c r="M136" i="4" s="1"/>
  <c r="O52" i="4" s="1"/>
  <c r="O65" i="4" s="1"/>
  <c r="AD78" i="12"/>
  <c r="AE78" i="12" s="1"/>
  <c r="N19" i="17"/>
  <c r="N19" i="16"/>
  <c r="AE118" i="4"/>
  <c r="O136" i="4" s="1"/>
  <c r="Q52" i="4" s="1"/>
  <c r="Q65" i="4" s="1"/>
  <c r="L56" i="4"/>
  <c r="P16" i="3"/>
  <c r="I50" i="11"/>
  <c r="AH118" i="4"/>
  <c r="V118" i="4"/>
  <c r="J136" i="4"/>
  <c r="L52" i="4" s="1"/>
  <c r="L65" i="4" s="1"/>
  <c r="T9" i="14"/>
  <c r="L8" i="14"/>
  <c r="T8" i="14" s="1"/>
  <c r="P12" i="11"/>
  <c r="AD12" i="11" s="1"/>
  <c r="O12" i="11"/>
  <c r="AC12" i="11" s="1"/>
  <c r="CU26" i="13"/>
  <c r="CU9" i="13"/>
  <c r="CU27" i="13"/>
  <c r="CU11" i="13"/>
  <c r="J137" i="3"/>
  <c r="J122" i="3"/>
  <c r="J121" i="3"/>
  <c r="CU29" i="13"/>
  <c r="CU15" i="13"/>
  <c r="K128" i="3"/>
  <c r="E50" i="3"/>
  <c r="F11" i="3" s="1"/>
  <c r="N9" i="17"/>
  <c r="N9" i="16"/>
  <c r="N21" i="17"/>
  <c r="N21" i="16"/>
  <c r="AZ7" i="11"/>
  <c r="N17" i="17"/>
  <c r="N17" i="16"/>
  <c r="I36" i="17"/>
  <c r="J36" i="17" s="1"/>
  <c r="G44" i="17"/>
  <c r="I44" i="17" s="1"/>
  <c r="J44" i="17" s="1"/>
  <c r="C9" i="13" a="1"/>
  <c r="CO25" i="13"/>
  <c r="CO28" i="13"/>
  <c r="BJ18" i="13"/>
  <c r="Y85" i="12"/>
  <c r="L118" i="4"/>
  <c r="T15" i="11"/>
  <c r="AH15" i="11" s="1"/>
  <c r="N6" i="17"/>
  <c r="N6" i="16"/>
  <c r="CO26" i="13"/>
  <c r="BJ19" i="13"/>
  <c r="AH86" i="12"/>
  <c r="V165" i="11"/>
  <c r="AH82" i="12"/>
  <c r="BC82" i="12" s="1"/>
  <c r="Z85" i="12"/>
  <c r="X165" i="11"/>
  <c r="Q23" i="11"/>
  <c r="AE23" i="11" s="1"/>
  <c r="BC10" i="11"/>
  <c r="AN118" i="4"/>
  <c r="X118" i="4"/>
  <c r="S165" i="11"/>
  <c r="R14" i="11"/>
  <c r="AF14" i="11" s="1"/>
  <c r="BF10" i="11"/>
  <c r="N15" i="17"/>
  <c r="N15" i="16"/>
  <c r="Y78" i="12"/>
  <c r="P78" i="12"/>
  <c r="BH11" i="11"/>
  <c r="AF86" i="12"/>
  <c r="AF70" i="12"/>
  <c r="AG70" i="12" s="1"/>
  <c r="N18" i="17"/>
  <c r="N18" i="16"/>
  <c r="AD85" i="12"/>
  <c r="AE85" i="12" s="1"/>
  <c r="N20" i="17"/>
  <c r="N20" i="16"/>
  <c r="N13" i="17"/>
  <c r="N13" i="16"/>
  <c r="AG118" i="4"/>
  <c r="Q118" i="4"/>
  <c r="AF78" i="12"/>
  <c r="H63" i="10"/>
  <c r="H61" i="10"/>
  <c r="S118" i="4"/>
  <c r="I59" i="11"/>
  <c r="O118" i="4"/>
  <c r="AM118" i="4"/>
  <c r="AD118" i="4"/>
  <c r="R118" i="4"/>
  <c r="C13" i="17"/>
  <c r="E13" i="17" s="1"/>
  <c r="F109" i="17" s="1"/>
  <c r="C13" i="16"/>
  <c r="H64" i="10"/>
  <c r="J186" i="3"/>
  <c r="C15" i="17"/>
  <c r="E15" i="17" s="1"/>
  <c r="F110" i="17" s="1"/>
  <c r="C15" i="16"/>
  <c r="AA118" i="4"/>
  <c r="I35" i="17"/>
  <c r="J35" i="17" s="1"/>
  <c r="G43" i="17"/>
  <c r="I43" i="17" s="1"/>
  <c r="J43" i="17" s="1"/>
  <c r="T22" i="11"/>
  <c r="AH22" i="11" s="1"/>
  <c r="N14" i="17"/>
  <c r="N14" i="16"/>
  <c r="N10" i="16"/>
  <c r="N10" i="17"/>
  <c r="CU30" i="13"/>
  <c r="CU17" i="13"/>
  <c r="J12" i="14"/>
  <c r="T136" i="12" s="1"/>
  <c r="R8" i="14"/>
  <c r="R12" i="14" s="1"/>
  <c r="T132" i="12"/>
  <c r="I37" i="17"/>
  <c r="J37" i="17" s="1"/>
  <c r="G45" i="17"/>
  <c r="I45" i="17" s="1"/>
  <c r="J45" i="17" s="1"/>
  <c r="S11" i="11"/>
  <c r="AG11" i="11" s="1"/>
  <c r="CU31" i="13"/>
  <c r="CU19" i="13"/>
  <c r="E61" i="17"/>
  <c r="E51" i="17"/>
  <c r="E52" i="17" s="1"/>
  <c r="E53" i="17" s="1"/>
  <c r="E8" i="17"/>
  <c r="G102" i="17" s="1"/>
  <c r="F112" i="17" s="1"/>
  <c r="C9" i="17"/>
  <c r="N16" i="17"/>
  <c r="N16" i="16"/>
  <c r="W165" i="11"/>
  <c r="Q105" i="12"/>
  <c r="R165" i="11"/>
  <c r="AZ10" i="11"/>
  <c r="W85" i="12"/>
  <c r="AD67" i="12"/>
  <c r="P67" i="12"/>
  <c r="T165" i="11"/>
  <c r="R22" i="11"/>
  <c r="AF22" i="11" s="1"/>
  <c r="P11" i="11"/>
  <c r="AD11" i="11" s="1"/>
  <c r="AP11" i="11" s="1"/>
  <c r="BC11" i="11"/>
  <c r="O23" i="11"/>
  <c r="S14" i="11"/>
  <c r="AG14" i="11" s="1"/>
  <c r="AZ8" i="11" s="1"/>
  <c r="R19" i="11"/>
  <c r="AF19" i="11" s="1"/>
  <c r="AY10" i="11" s="1"/>
  <c r="N7" i="17"/>
  <c r="N7" i="16"/>
  <c r="AJ118" i="4"/>
  <c r="P136" i="4" s="1"/>
  <c r="R52" i="4" s="1"/>
  <c r="R65" i="4" s="1"/>
  <c r="T118" i="4"/>
  <c r="O165" i="11"/>
  <c r="T9" i="11"/>
  <c r="AH9" i="11" s="1"/>
  <c r="BA7" i="11" s="1"/>
  <c r="U15" i="11"/>
  <c r="AI15" i="11" s="1"/>
  <c r="N22" i="17"/>
  <c r="N22" i="16"/>
  <c r="AG78" i="12"/>
  <c r="AW11" i="11"/>
  <c r="Q14" i="11"/>
  <c r="AE14" i="11" s="1"/>
  <c r="AX8" i="11" s="1"/>
  <c r="X9" i="11"/>
  <c r="AL9" i="11" s="1"/>
  <c r="BE7" i="11" s="1"/>
  <c r="AW10" i="11"/>
  <c r="AU7" i="11"/>
  <c r="AC118" i="4"/>
  <c r="M118" i="4"/>
  <c r="I46" i="11"/>
  <c r="N12" i="17"/>
  <c r="N12" i="16"/>
  <c r="AE9" i="13" a="1"/>
  <c r="AE15" i="13" s="1"/>
  <c r="AI20" i="13" s="1"/>
  <c r="D9" i="13" a="1"/>
  <c r="D15" i="13" s="1"/>
  <c r="R21" i="13" s="1"/>
  <c r="I43" i="11"/>
  <c r="K118" i="4"/>
  <c r="K136" i="4" s="1"/>
  <c r="M52" i="4" s="1"/>
  <c r="M65" i="4" s="1"/>
  <c r="Z118" i="4"/>
  <c r="N136" i="4" s="1"/>
  <c r="P52" i="4" s="1"/>
  <c r="P65" i="4" s="1"/>
  <c r="N118" i="4"/>
  <c r="BO9" i="13" a="1"/>
  <c r="BO9" i="13" s="1"/>
  <c r="BS9" i="13" s="1" a="1"/>
  <c r="BS9" i="13" s="1"/>
  <c r="W118" i="4"/>
  <c r="K8" i="14"/>
  <c r="S8" i="14" s="1"/>
  <c r="S9" i="14"/>
  <c r="V11" i="16"/>
  <c r="W11" i="16" s="1"/>
  <c r="X11" i="16" s="1"/>
  <c r="G37" i="16" s="1"/>
  <c r="V22" i="11"/>
  <c r="AJ22" i="11" s="1"/>
  <c r="H54" i="11"/>
  <c r="L54" i="11" s="1"/>
  <c r="I54" i="11"/>
  <c r="E51" i="16"/>
  <c r="E52" i="16" s="1"/>
  <c r="E53" i="16" s="1"/>
  <c r="C9" i="16"/>
  <c r="E8" i="16"/>
  <c r="I42" i="11"/>
  <c r="X119" i="4"/>
  <c r="AM119" i="4"/>
  <c r="AN119" i="4"/>
  <c r="AK119" i="4"/>
  <c r="U119" i="4"/>
  <c r="M137" i="4" s="1"/>
  <c r="O53" i="4" s="1"/>
  <c r="O66" i="4" s="1"/>
  <c r="AA119" i="4"/>
  <c r="P119" i="4"/>
  <c r="L137" i="4" s="1"/>
  <c r="N53" i="4" s="1"/>
  <c r="N66" i="4" s="1"/>
  <c r="AD119" i="4"/>
  <c r="AF119" i="4"/>
  <c r="AI119" i="4"/>
  <c r="AC119" i="4"/>
  <c r="V119" i="4"/>
  <c r="AJ119" i="4"/>
  <c r="P137" i="4" s="1"/>
  <c r="R53" i="4" s="1"/>
  <c r="R66" i="4" s="1"/>
  <c r="AO119" i="4"/>
  <c r="Q137" i="4" s="1"/>
  <c r="S53" i="4" s="1"/>
  <c r="S66" i="4" s="1"/>
  <c r="AB119" i="4"/>
  <c r="L119" i="4"/>
  <c r="AE119" i="4"/>
  <c r="O137" i="4" s="1"/>
  <c r="Q53" i="4" s="1"/>
  <c r="Q66" i="4" s="1"/>
  <c r="Q119" i="4"/>
  <c r="AH119" i="4"/>
  <c r="Z119" i="4"/>
  <c r="N137" i="4" s="1"/>
  <c r="P53" i="4" s="1"/>
  <c r="P66" i="4" s="1"/>
  <c r="AG119" i="4"/>
  <c r="O119" i="4"/>
  <c r="R119" i="4"/>
  <c r="J137" i="4"/>
  <c r="L53" i="4" s="1"/>
  <c r="L66" i="4" s="1"/>
  <c r="Y119" i="4"/>
  <c r="K119" i="4"/>
  <c r="K137" i="4" s="1"/>
  <c r="M53" i="4" s="1"/>
  <c r="M66" i="4" s="1"/>
  <c r="L57" i="4"/>
  <c r="L63" i="4"/>
  <c r="E58" i="4"/>
  <c r="E59" i="4" s="1"/>
  <c r="E60" i="4" s="1"/>
  <c r="Y9" i="13" a="1"/>
  <c r="Y9" i="13" s="1"/>
  <c r="U166" i="11"/>
  <c r="Q166" i="11"/>
  <c r="O166" i="11"/>
  <c r="AE12" i="13"/>
  <c r="AI14" i="13" s="1"/>
  <c r="AE9" i="13"/>
  <c r="AE13" i="13"/>
  <c r="AI16" i="13" s="1"/>
  <c r="AB10" i="11"/>
  <c r="AC10" i="11"/>
  <c r="AP10" i="11" s="1"/>
  <c r="U30" i="13"/>
  <c r="CP30" i="13"/>
  <c r="CP33" i="13"/>
  <c r="CP32" i="13"/>
  <c r="CP31" i="13"/>
  <c r="AC19" i="1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J163" i="3"/>
  <c r="K163" i="3"/>
  <c r="AO61" i="13"/>
  <c r="AO65" i="13"/>
  <c r="AO49" i="13"/>
  <c r="AO53" i="13"/>
  <c r="AO57" i="13"/>
  <c r="F133" i="3"/>
  <c r="E52" i="3"/>
  <c r="F13" i="3" s="1"/>
  <c r="K133" i="3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F78" i="12"/>
  <c r="BE78" i="12"/>
  <c r="BD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F82" i="12"/>
  <c r="BE82" i="12"/>
  <c r="BD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AV8" i="11" s="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P13" i="11"/>
  <c r="I47" i="11"/>
  <c r="AQ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T100" i="12"/>
  <c r="Q106" i="12"/>
  <c r="AJ101" i="12"/>
  <c r="T101" i="12"/>
  <c r="S100" i="12"/>
  <c r="AS106" i="12"/>
  <c r="AC106" i="12"/>
  <c r="AV101" i="12"/>
  <c r="AU100" i="12"/>
  <c r="AO106" i="12"/>
  <c r="AR101" i="12"/>
  <c r="AB101" i="12"/>
  <c r="AQ100" i="12"/>
  <c r="AK106" i="12"/>
  <c r="U106" i="12"/>
  <c r="AN101" i="12"/>
  <c r="AM100" i="12"/>
  <c r="K162" i="3"/>
  <c r="J162" i="3"/>
  <c r="AB13" i="11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U128" i="12"/>
  <c r="U129" i="12" s="1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BA8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D77" i="12"/>
  <c r="AE77" i="12" s="1"/>
  <c r="AF77" i="12"/>
  <c r="AG77" i="12" s="1"/>
  <c r="AC77" i="12"/>
  <c r="P36" i="9"/>
  <c r="K125" i="3"/>
  <c r="F125" i="3"/>
  <c r="E55" i="3"/>
  <c r="J171" i="3"/>
  <c r="K171" i="3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AK99" i="12"/>
  <c r="U99" i="12"/>
  <c r="Q99" i="12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G81" i="11"/>
  <c r="L51" i="11"/>
  <c r="BI9" i="11"/>
  <c r="J21" i="4" a="1"/>
  <c r="J8" i="4" a="1"/>
  <c r="AD75" i="12"/>
  <c r="AE75" i="12" s="1"/>
  <c r="AC75" i="12"/>
  <c r="AF75" i="12"/>
  <c r="AB16" i="11"/>
  <c r="H128" i="3"/>
  <c r="I128" i="3"/>
  <c r="F109" i="3"/>
  <c r="K109" i="3"/>
  <c r="DI28" i="13"/>
  <c r="AB25" i="11"/>
  <c r="G116" i="3"/>
  <c r="E9" i="8"/>
  <c r="E10" i="8" s="1"/>
  <c r="O68" i="7"/>
  <c r="P32" i="8"/>
  <c r="Q1" i="11"/>
  <c r="Q2" i="11" s="1"/>
  <c r="DD22" i="13" l="1"/>
  <c r="AL40" i="1"/>
  <c r="AO48" i="13"/>
  <c r="AV24" i="13"/>
  <c r="BE23" i="13" s="1"/>
  <c r="AV18" i="13"/>
  <c r="BE17" i="13" s="1"/>
  <c r="AV14" i="13"/>
  <c r="BE14" i="13" s="1"/>
  <c r="AV21" i="13"/>
  <c r="BE20" i="13" s="1"/>
  <c r="AV30" i="13"/>
  <c r="BE29" i="13" s="1"/>
  <c r="AV27" i="13"/>
  <c r="BE26" i="13" s="1"/>
  <c r="U28" i="13"/>
  <c r="AO56" i="13"/>
  <c r="AO64" i="13"/>
  <c r="U25" i="13"/>
  <c r="U27" i="13"/>
  <c r="U29" i="13"/>
  <c r="U31" i="13"/>
  <c r="AF14" i="13"/>
  <c r="V13" i="13"/>
  <c r="AF9" i="13"/>
  <c r="AF10" i="13"/>
  <c r="AF12" i="13"/>
  <c r="AF15" i="13"/>
  <c r="AF13" i="13"/>
  <c r="AR9" i="13"/>
  <c r="AO69" i="13"/>
  <c r="AO52" i="13"/>
  <c r="AO60" i="13"/>
  <c r="D9" i="13"/>
  <c r="R9" i="13" s="1"/>
  <c r="D14" i="13"/>
  <c r="R19" i="13" s="1"/>
  <c r="AL34" i="1"/>
  <c r="AL32" i="1"/>
  <c r="AL36" i="1"/>
  <c r="AL37" i="1"/>
  <c r="D10" i="13"/>
  <c r="R11" i="13" s="1"/>
  <c r="V14" i="13"/>
  <c r="AL38" i="1"/>
  <c r="AL35" i="1"/>
  <c r="D11" i="13"/>
  <c r="R13" i="13" s="1"/>
  <c r="D13" i="13"/>
  <c r="R17" i="13" s="1"/>
  <c r="V10" i="13"/>
  <c r="AL33" i="1"/>
  <c r="AE14" i="13"/>
  <c r="AI18" i="13" s="1"/>
  <c r="AE10" i="13"/>
  <c r="AI10" i="13" s="1"/>
  <c r="DG14" i="13"/>
  <c r="DC31" i="13" s="1"/>
  <c r="AE11" i="13"/>
  <c r="AI12" i="13" s="1"/>
  <c r="DG9" i="13"/>
  <c r="DC26" i="13" s="1"/>
  <c r="DG11" i="13"/>
  <c r="DC13" i="13" s="1"/>
  <c r="DG12" i="13"/>
  <c r="DC29" i="13" s="1"/>
  <c r="DG13" i="13"/>
  <c r="DC17" i="13" s="1"/>
  <c r="DG15" i="13"/>
  <c r="DC21" i="13" s="1"/>
  <c r="I37" i="16"/>
  <c r="J37" i="16" s="1"/>
  <c r="J38" i="16" s="1"/>
  <c r="G45" i="16"/>
  <c r="I45" i="16" s="1"/>
  <c r="J45" i="16" s="1"/>
  <c r="J46" i="16" s="1"/>
  <c r="J46" i="17"/>
  <c r="BH82" i="12"/>
  <c r="BI82" i="12"/>
  <c r="BJ82" i="12"/>
  <c r="BC78" i="12"/>
  <c r="BH78" i="12"/>
  <c r="BI78" i="12"/>
  <c r="BJ78" i="12"/>
  <c r="AB11" i="11"/>
  <c r="F75" i="17"/>
  <c r="E75" i="17" s="1"/>
  <c r="F74" i="17"/>
  <c r="E121" i="17"/>
  <c r="J38" i="17"/>
  <c r="C12" i="13"/>
  <c r="C11" i="13"/>
  <c r="C9" i="13"/>
  <c r="C14" i="13"/>
  <c r="C15" i="13"/>
  <c r="C10" i="13"/>
  <c r="C13" i="13"/>
  <c r="C12" i="17"/>
  <c r="E12" i="17" s="1"/>
  <c r="F108" i="17" s="1"/>
  <c r="C12" i="16"/>
  <c r="E12" i="9"/>
  <c r="E12" i="8"/>
  <c r="O65" i="7" s="1"/>
  <c r="E62" i="17"/>
  <c r="E9" i="17"/>
  <c r="C10" i="17"/>
  <c r="E10" i="17" s="1"/>
  <c r="E119" i="17"/>
  <c r="AB15" i="11"/>
  <c r="Y15" i="13"/>
  <c r="AW82" i="12"/>
  <c r="AX82" i="12"/>
  <c r="AY82" i="12"/>
  <c r="BG78" i="12"/>
  <c r="AW78" i="12"/>
  <c r="AX78" i="12"/>
  <c r="C14" i="17"/>
  <c r="E14" i="17" s="1"/>
  <c r="C14" i="16"/>
  <c r="V12" i="13"/>
  <c r="V15" i="13"/>
  <c r="E62" i="16"/>
  <c r="E9" i="16"/>
  <c r="C10" i="16"/>
  <c r="E10" i="16" s="1"/>
  <c r="AP64" i="13"/>
  <c r="AP48" i="13"/>
  <c r="AP60" i="13"/>
  <c r="AP56" i="13"/>
  <c r="AP69" i="13"/>
  <c r="AP52" i="13"/>
  <c r="E112" i="17"/>
  <c r="E117" i="16"/>
  <c r="E118" i="17"/>
  <c r="Z121" i="12" a="1"/>
  <c r="Z122" i="12" s="1"/>
  <c r="AB12" i="11"/>
  <c r="AH103" i="12"/>
  <c r="AW7" i="11"/>
  <c r="D12" i="13"/>
  <c r="R15" i="13" s="1"/>
  <c r="AP15" i="11"/>
  <c r="P17" i="3"/>
  <c r="P18" i="3" s="1"/>
  <c r="P19" i="3" s="1"/>
  <c r="P20" i="3" s="1"/>
  <c r="P24" i="3" s="1"/>
  <c r="C11" i="17"/>
  <c r="E11" i="17" s="1"/>
  <c r="C11" i="16"/>
  <c r="Y12" i="13"/>
  <c r="AZ82" i="12"/>
  <c r="BA82" i="12"/>
  <c r="BB82" i="12"/>
  <c r="AZ78" i="12"/>
  <c r="BA78" i="12"/>
  <c r="V9" i="13"/>
  <c r="AB19" i="11"/>
  <c r="E15" i="16"/>
  <c r="F106" i="16"/>
  <c r="E13" i="16"/>
  <c r="F105" i="16"/>
  <c r="AA99" i="12"/>
  <c r="R156" i="12" s="1"/>
  <c r="BY10" i="13" s="1"/>
  <c r="BY9" i="13" s="1"/>
  <c r="Y11" i="13"/>
  <c r="Y14" i="13"/>
  <c r="Y13" i="13"/>
  <c r="DC19" i="13"/>
  <c r="Y10" i="13"/>
  <c r="DC11" i="13"/>
  <c r="DC27" i="13"/>
  <c r="AI9" i="13"/>
  <c r="P128" i="3"/>
  <c r="Q128" i="3" s="1"/>
  <c r="J128" i="3"/>
  <c r="BF109" i="12"/>
  <c r="BT109" i="12"/>
  <c r="AZ110" i="12"/>
  <c r="BN110" i="12"/>
  <c r="BG109" i="12"/>
  <c r="BU109" i="12"/>
  <c r="I109" i="3"/>
  <c r="H109" i="3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Q97" i="8" s="1"/>
  <c r="P84" i="8"/>
  <c r="Q98" i="8" s="1"/>
  <c r="BW19" i="13"/>
  <c r="BW11" i="13"/>
  <c r="BW15" i="13"/>
  <c r="BW13" i="13"/>
  <c r="BW9" i="13"/>
  <c r="BW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AP19" i="11"/>
  <c r="AV10" i="11"/>
  <c r="R33" i="8"/>
  <c r="R34" i="8"/>
  <c r="Z126" i="12"/>
  <c r="Z121" i="12"/>
  <c r="O9" i="13" a="1"/>
  <c r="BT110" i="12"/>
  <c r="BF110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AB23" i="11"/>
  <c r="E45" i="3"/>
  <c r="F6" i="3" s="1"/>
  <c r="K111" i="3"/>
  <c r="F111" i="3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J17" i="4"/>
  <c r="I52" i="4" s="1"/>
  <c r="J52" i="4" s="1"/>
  <c r="J13" i="4"/>
  <c r="I48" i="4" s="1"/>
  <c r="J48" i="4" s="1"/>
  <c r="J9" i="4"/>
  <c r="I44" i="4" s="1"/>
  <c r="J44" i="4" s="1"/>
  <c r="J16" i="4"/>
  <c r="I51" i="4" s="1"/>
  <c r="J51" i="4" s="1"/>
  <c r="J11" i="4"/>
  <c r="I46" i="4" s="1"/>
  <c r="J46" i="4" s="1"/>
  <c r="J12" i="4"/>
  <c r="I47" i="4" s="1"/>
  <c r="J47" i="4" s="1"/>
  <c r="J15" i="4"/>
  <c r="I50" i="4" s="1"/>
  <c r="J50" i="4" s="1"/>
  <c r="J10" i="4"/>
  <c r="I45" i="4" s="1"/>
  <c r="J45" i="4" s="1"/>
  <c r="J18" i="4"/>
  <c r="I53" i="4" s="1"/>
  <c r="J53" i="4" s="1"/>
  <c r="J14" i="4"/>
  <c r="I49" i="4" s="1"/>
  <c r="J49" i="4" s="1"/>
  <c r="J8" i="4"/>
  <c r="I43" i="4" s="1"/>
  <c r="J43" i="4" s="1"/>
  <c r="BG99" i="12"/>
  <c r="BU99" i="12"/>
  <c r="AE99" i="12"/>
  <c r="AC99" i="12"/>
  <c r="AZ99" i="12"/>
  <c r="BN99" i="12"/>
  <c r="BP99" i="12"/>
  <c r="BB99" i="12"/>
  <c r="BB109" i="12"/>
  <c r="BP109" i="12"/>
  <c r="AD109" i="12"/>
  <c r="AF109" i="12"/>
  <c r="O65" i="13" a="1"/>
  <c r="BK103" i="12"/>
  <c r="BC109" i="12"/>
  <c r="BQ109" i="12"/>
  <c r="AA103" i="12"/>
  <c r="R160" i="12" s="1"/>
  <c r="BY18" i="13" s="1"/>
  <c r="BY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F16" i="3"/>
  <c r="D61" i="3"/>
  <c r="F57" i="3" s="1"/>
  <c r="O32" i="9"/>
  <c r="R34" i="9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A107" i="12"/>
  <c r="BO107" i="12"/>
  <c r="BF108" i="12"/>
  <c r="BT108" i="12"/>
  <c r="O51" i="13" a="1"/>
  <c r="BP107" i="12"/>
  <c r="BB107" i="12"/>
  <c r="BU108" i="12"/>
  <c r="BG108" i="12"/>
  <c r="BU107" i="12"/>
  <c r="BG107" i="12"/>
  <c r="AP9" i="11"/>
  <c r="AV7" i="11"/>
  <c r="AE22" i="11"/>
  <c r="AO30" i="11" s="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BH106" i="12"/>
  <c r="BV106" i="12"/>
  <c r="BO106" i="12"/>
  <c r="BA106" i="12"/>
  <c r="BT106" i="12"/>
  <c r="BF106" i="12"/>
  <c r="AB17" i="11"/>
  <c r="AG67" i="12"/>
  <c r="I116" i="3"/>
  <c r="AP7" i="11"/>
  <c r="AV6" i="11"/>
  <c r="E14" i="9"/>
  <c r="E14" i="8"/>
  <c r="I13" i="3"/>
  <c r="AF105" i="12"/>
  <c r="AG105" i="12" s="1"/>
  <c r="J31" i="4"/>
  <c r="I66" i="4" s="1"/>
  <c r="K66" i="4" s="1"/>
  <c r="J27" i="4"/>
  <c r="I62" i="4" s="1"/>
  <c r="K62" i="4" s="1"/>
  <c r="K78" i="4" s="1"/>
  <c r="J23" i="4"/>
  <c r="I58" i="4" s="1"/>
  <c r="K58" i="4" s="1"/>
  <c r="J29" i="4"/>
  <c r="I64" i="4" s="1"/>
  <c r="K64" i="4" s="1"/>
  <c r="J24" i="4"/>
  <c r="I59" i="4" s="1"/>
  <c r="K59" i="4" s="1"/>
  <c r="J28" i="4"/>
  <c r="I63" i="4" s="1"/>
  <c r="K63" i="4" s="1"/>
  <c r="J22" i="4"/>
  <c r="I57" i="4" s="1"/>
  <c r="K57" i="4" s="1"/>
  <c r="J30" i="4"/>
  <c r="I65" i="4" s="1"/>
  <c r="K65" i="4" s="1"/>
  <c r="J21" i="4"/>
  <c r="I56" i="4" s="1"/>
  <c r="K56" i="4" s="1"/>
  <c r="J26" i="4"/>
  <c r="I61" i="4" s="1"/>
  <c r="K61" i="4" s="1"/>
  <c r="K77" i="4" s="1"/>
  <c r="J25" i="4"/>
  <c r="I60" i="4" s="1"/>
  <c r="K60" i="4" s="1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Z111" i="12"/>
  <c r="Y111" i="12"/>
  <c r="X111" i="12"/>
  <c r="W111" i="12"/>
  <c r="AC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Y16" i="13" s="1"/>
  <c r="BY15" i="13" s="1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I134" i="3"/>
  <c r="H134" i="3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AW103" i="12" l="1"/>
  <c r="BM102" i="12"/>
  <c r="BV102" i="12"/>
  <c r="BQ102" i="12"/>
  <c r="BF102" i="12"/>
  <c r="BP102" i="12"/>
  <c r="AX100" i="12"/>
  <c r="BQ100" i="12"/>
  <c r="BK99" i="12"/>
  <c r="AO43" i="13"/>
  <c r="AV11" i="13"/>
  <c r="BE11" i="13" s="1"/>
  <c r="DC32" i="13"/>
  <c r="DC9" i="13"/>
  <c r="DC30" i="13"/>
  <c r="AE26" i="13" a="1"/>
  <c r="AE26" i="13" s="1"/>
  <c r="DC15" i="13"/>
  <c r="DC28" i="13"/>
  <c r="AD101" i="12"/>
  <c r="AE101" i="12" s="1"/>
  <c r="F103" i="16"/>
  <c r="E11" i="16"/>
  <c r="E14" i="16"/>
  <c r="F107" i="16"/>
  <c r="C7" i="17"/>
  <c r="E7" i="17" s="1"/>
  <c r="C7" i="16"/>
  <c r="Z124" i="12"/>
  <c r="Z123" i="12"/>
  <c r="AX104" i="12"/>
  <c r="BR99" i="12"/>
  <c r="BI7" i="11"/>
  <c r="B79" i="4"/>
  <c r="D80" i="4" s="1"/>
  <c r="T7" i="3"/>
  <c r="T11" i="3" s="1"/>
  <c r="BI99" i="12"/>
  <c r="AY104" i="12"/>
  <c r="AF99" i="12"/>
  <c r="L48" i="15" s="1"/>
  <c r="BN103" i="12"/>
  <c r="AW99" i="12"/>
  <c r="Z125" i="12"/>
  <c r="Z127" i="12"/>
  <c r="BT104" i="12"/>
  <c r="BX99" i="12"/>
  <c r="H105" i="16"/>
  <c r="E202" i="16" s="1"/>
  <c r="E114" i="16"/>
  <c r="E117" i="17"/>
  <c r="E115" i="16"/>
  <c r="E87" i="17"/>
  <c r="BL104" i="12"/>
  <c r="BN101" i="12"/>
  <c r="F106" i="17"/>
  <c r="E116" i="17"/>
  <c r="F111" i="17"/>
  <c r="F76" i="17"/>
  <c r="E12" i="16"/>
  <c r="F104" i="16"/>
  <c r="E74" i="17"/>
  <c r="B74" i="4"/>
  <c r="D75" i="4" s="1"/>
  <c r="P7" i="3"/>
  <c r="P11" i="3" s="1"/>
  <c r="BB101" i="12"/>
  <c r="AZ104" i="12"/>
  <c r="BD99" i="12"/>
  <c r="AE100" i="12"/>
  <c r="E57" i="3"/>
  <c r="BW99" i="12"/>
  <c r="P42" i="9"/>
  <c r="BS101" i="12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BG100" i="12"/>
  <c r="BL100" i="12"/>
  <c r="J134" i="3"/>
  <c r="P134" i="3"/>
  <c r="W14" i="13"/>
  <c r="W30" i="13" s="1"/>
  <c r="BH100" i="12"/>
  <c r="BH101" i="12"/>
  <c r="BX100" i="12"/>
  <c r="BY14" i="13"/>
  <c r="BY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Y12" i="13"/>
  <c r="BY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01" i="12"/>
  <c r="BJ100" i="12"/>
  <c r="BT101" i="12"/>
  <c r="BO100" i="12"/>
  <c r="BJ104" i="12"/>
  <c r="AW104" i="12"/>
  <c r="BN100" i="12"/>
  <c r="BB100" i="12"/>
  <c r="BP104" i="12"/>
  <c r="H111" i="3"/>
  <c r="I111" i="3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Y20" i="13"/>
  <c r="BY19" i="13" s="1"/>
  <c r="S161" i="12"/>
  <c r="BP103" i="12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U101" i="12"/>
  <c r="BL101" i="12"/>
  <c r="BP101" i="12"/>
  <c r="BA104" i="12"/>
  <c r="BA101" i="12"/>
  <c r="BC100" i="12"/>
  <c r="BQ101" i="12"/>
  <c r="AF100" i="12"/>
  <c r="BF101" i="12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D32" i="3"/>
  <c r="G29" i="3" s="1"/>
  <c r="D22" i="3"/>
  <c r="F18" i="3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BD100" i="12"/>
  <c r="BD101" i="12"/>
  <c r="BT100" i="12"/>
  <c r="AW100" i="12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BC99" i="12"/>
  <c r="H116" i="3"/>
  <c r="BI100" i="12"/>
  <c r="BR104" i="12"/>
  <c r="BL103" i="12"/>
  <c r="BJ99" i="12"/>
  <c r="J109" i="3"/>
  <c r="E101" i="3"/>
  <c r="P44" i="9"/>
  <c r="BF117" i="12" l="1"/>
  <c r="BF118" i="12" s="1"/>
  <c r="AG99" i="12"/>
  <c r="AX117" i="12"/>
  <c r="AX118" i="12" s="1"/>
  <c r="BH117" i="12"/>
  <c r="BH118" i="12" s="1"/>
  <c r="BP117" i="12"/>
  <c r="BP118" i="12" s="1"/>
  <c r="BL117" i="12"/>
  <c r="BL118" i="12" s="1"/>
  <c r="F17" i="3"/>
  <c r="E73" i="5"/>
  <c r="E184" i="17"/>
  <c r="E185" i="17"/>
  <c r="H109" i="17"/>
  <c r="E207" i="17" s="1"/>
  <c r="H110" i="17"/>
  <c r="E209" i="17" s="1"/>
  <c r="H112" i="17"/>
  <c r="E210" i="17" s="1"/>
  <c r="E186" i="17"/>
  <c r="H108" i="17"/>
  <c r="E206" i="17" s="1"/>
  <c r="E7" i="16"/>
  <c r="F74" i="16"/>
  <c r="E120" i="17"/>
  <c r="H111" i="17"/>
  <c r="E208" i="17" s="1"/>
  <c r="E181" i="17"/>
  <c r="G222" i="17" s="1"/>
  <c r="BK117" i="12"/>
  <c r="BK118" i="12" s="1"/>
  <c r="BI117" i="12"/>
  <c r="BI118" i="12" s="1"/>
  <c r="AW117" i="12"/>
  <c r="AW118" i="12" s="1"/>
  <c r="BE117" i="12"/>
  <c r="BE118" i="12" s="1"/>
  <c r="F29" i="3"/>
  <c r="BB117" i="12"/>
  <c r="BB118" i="12" s="1"/>
  <c r="BO117" i="12"/>
  <c r="BO118" i="12" s="1"/>
  <c r="BV117" i="12"/>
  <c r="BV118" i="12" s="1"/>
  <c r="E113" i="16"/>
  <c r="H104" i="16"/>
  <c r="E201" i="16" s="1"/>
  <c r="H106" i="16"/>
  <c r="E204" i="16" s="1"/>
  <c r="E116" i="16"/>
  <c r="H107" i="16"/>
  <c r="E203" i="16" s="1"/>
  <c r="E112" i="16"/>
  <c r="H103" i="16"/>
  <c r="F102" i="16"/>
  <c r="E119" i="16" s="1"/>
  <c r="F215" i="16" s="1"/>
  <c r="H108" i="16"/>
  <c r="E205" i="16" s="1"/>
  <c r="P41" i="8"/>
  <c r="R99" i="8" s="1"/>
  <c r="P42" i="8"/>
  <c r="P43" i="8"/>
  <c r="BX117" i="12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Q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G211" i="17" l="1"/>
  <c r="F216" i="16"/>
  <c r="F220" i="17"/>
  <c r="H109" i="16"/>
  <c r="E178" i="16"/>
  <c r="E176" i="16"/>
  <c r="G217" i="16" s="1"/>
  <c r="E90" i="16"/>
  <c r="J91" i="16" s="1"/>
  <c r="E179" i="16"/>
  <c r="E180" i="16"/>
  <c r="P152" i="8"/>
  <c r="T89" i="5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Q14" i="13"/>
  <c r="BQ10" i="13"/>
  <c r="BQ13" i="13"/>
  <c r="BQ12" i="13"/>
  <c r="BQ11" i="13"/>
  <c r="BQ9" i="13"/>
  <c r="BQ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  <c r="E183" i="17"/>
  <c r="E106" i="17" l="1"/>
  <c r="I110" i="17" s="1"/>
  <c r="I106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CARMEN</author>
    <author/>
  </authors>
  <commentList>
    <comment ref="O2" authorId="0" shapeId="0" xr:uid="{E4D1DC22-F850-42F5-903B-C2AEA687BA76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S2" authorId="0" shapeId="0" xr:uid="{BA6B8352-E315-4C44-B7D4-414FB9BD37D2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D7" authorId="1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1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1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1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1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1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1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1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1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CARMEN</author>
    <author>Maurizio Gargiulo</author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C70" authorId="1" shapeId="0" xr:uid="{80C4FDE1-D1E5-4B47-8924-E4435B446CC5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T74" authorId="2" shapeId="0" xr:uid="{7830527D-2EE2-4C9E-B587-2790AE9057A3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U74" authorId="2" shapeId="0" xr:uid="{2E849F0D-A4BB-44F6-B35F-B124CB991872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10FCFB43-5CFA-4F62-9493-73989C117AE1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2A9BFA11-6B2E-4AA6-AA82-6318B9676771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49A8F7CA-3FA4-4A17-A92B-66498C74B42B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D319B9A9-9CC6-4B7F-A74B-8D271BD6A16E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F6A3704-E36A-4474-B827-F9493A96955D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29AB996E-B39A-4EC4-AAE4-D2F0BFE972CC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4BB3DDD-66D8-4415-8EEF-FCBB4006E7C9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25AB1A2F-E8DB-4D75-926B-4328C7171E9D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3A30EECA-A5EE-48FC-ABD7-2428E46AFF7A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ED4743D4-8A26-4D37-9E91-7A2F498BD6C7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65BE9180-F781-46ED-AD20-6A71D8D2DBD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7" authorId="0" shapeId="0" xr:uid="{3C74B337-5A33-4E99-A898-DD43EC870A4E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44" authorId="0" shapeId="0" xr:uid="{E4822125-E723-4878-A2F1-87C5DAA9F05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S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<sst xmlns="http://schemas.openxmlformats.org/spreadsheetml/2006/main" count="5763" uniqueCount="1794">
  <si>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</si>
  <si>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</si>
  <si>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</si>
  <si>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</si>
  <si>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</si>
  <si>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</si>
  <si>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</si>
  <si>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</si>
  <si>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</si>
  <si>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</si>
  <si>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</si>
  <si>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</si>
  <si>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</si>
  <si>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</si>
  <si>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</si>
  <si>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</si>
  <si>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</si>
  <si>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</si>
  <si>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</si>
  <si>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</si>
  <si>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</si>
  <si>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</si>
  <si>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</si>
  <si>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</si>
  <si>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</si>
  <si>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</si>
  <si>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</si>
  <si>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</si>
  <si>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</si>
  <si>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</si>
  <si>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</si>
  <si>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</si>
  <si>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</si>
  <si>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</si>
  <si>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</si>
  <si>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</si>
  <si>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</si>
  <si>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</si>
  <si>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</si>
  <si>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</si>
  <si>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</si>
  <si>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</si>
  <si>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</si>
  <si>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</si>
  <si>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</si>
  <si>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</si>
  <si>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</si>
  <si>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</si>
  <si>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</si>
  <si>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</si>
  <si>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</si>
  <si>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</si>
  <si>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</si>
  <si>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</si>
  <si>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</si>
  <si>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</si>
  <si>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</si>
  <si>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</si>
  <si>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</si>
  <si>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</si>
  <si>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</si>
  <si>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</si>
  <si>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</si>
  <si>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</si>
  <si>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</si>
  <si>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</si>
  <si>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</si>
  <si>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</si>
  <si>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</si>
  <si>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</si>
  <si>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</si>
  <si>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</si>
  <si>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</si>
  <si>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</si>
  <si>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</si>
  <si>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</si>
  <si>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</si>
  <si>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</si>
  <si>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</si>
  <si>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</si>
  <si>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</si>
  <si>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</si>
  <si>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</si>
  <si>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</si>
  <si>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</si>
  <si>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</si>
  <si>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</si>
  <si>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</si>
  <si>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</si>
  <si>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</si>
  <si>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</si>
  <si>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</si>
  <si>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</si>
  <si>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</si>
  <si>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</si>
  <si>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</si>
  <si>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</si>
  <si>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</si>
  <si>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</si>
  <si>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</si>
  <si>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</si>
  <si>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</si>
  <si>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</si>
  <si>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</si>
  <si>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</si>
  <si>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</si>
  <si>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</si>
  <si>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</si>
  <si>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</si>
  <si>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</si>
  <si>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</si>
  <si>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</si>
  <si>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</si>
  <si>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</si>
  <si>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</si>
  <si>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</si>
  <si>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</si>
  <si>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</si>
  <si>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</si>
  <si>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</si>
  <si>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</si>
  <si>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</si>
  <si>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</si>
  <si>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</si>
  <si>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</si>
  <si>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</si>
  <si>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</si>
  <si>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</si>
  <si>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</si>
  <si>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</si>
  <si>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</si>
  <si>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</si>
  <si>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</si>
  <si>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</si>
  <si>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</si>
  <si>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</si>
  <si>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</si>
  <si>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</si>
  <si>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</si>
  <si>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</si>
  <si>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</si>
  <si>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</si>
  <si>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</si>
  <si>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</si>
  <si>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</si>
  <si>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</si>
  <si>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</si>
  <si>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</si>
  <si>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</si>
  <si>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</si>
  <si>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</si>
  <si>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</si>
  <si>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</si>
  <si>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</si>
  <si>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</si>
  <si>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</si>
  <si>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</si>
  <si>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</si>
  <si>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</si>
  <si>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</si>
  <si>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</si>
  <si>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</si>
  <si>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</si>
  <si>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</si>
  <si>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</si>
  <si>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</si>
  <si>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</si>
  <si>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</si>
  <si>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</si>
  <si>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</si>
  <si>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</si>
  <si>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</si>
  <si>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</si>
  <si>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</si>
  <si>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</si>
  <si>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</si>
  <si>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</si>
  <si>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</si>
  <si>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</si>
  <si>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</si>
  <si>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</si>
  <si>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</si>
  <si>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</si>
  <si>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</si>
  <si>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</si>
  <si>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</si>
  <si>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</si>
  <si>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</si>
  <si>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</si>
  <si>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</si>
  <si>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</si>
  <si>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</si>
  <si>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</si>
  <si>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</si>
  <si>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</si>
  <si>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</si>
  <si>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</si>
  <si>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</si>
  <si>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</si>
  <si>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</si>
  <si>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</si>
  <si>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</si>
  <si>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</si>
  <si>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</si>
  <si>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</si>
  <si>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</si>
  <si>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</si>
  <si>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</si>
  <si>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</si>
  <si>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</si>
  <si>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</si>
  <si>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</si>
  <si>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</si>
  <si>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</si>
  <si>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</si>
  <si>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</si>
  <si>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</si>
  <si>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</si>
  <si>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</si>
  <si>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</si>
  <si>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</si>
  <si>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</si>
  <si>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</si>
  <si>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</si>
  <si>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</si>
  <si>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</si>
  <si>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</si>
  <si>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</si>
  <si>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</si>
  <si>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</si>
  <si>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</si>
  <si>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</si>
  <si>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</si>
  <si>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</si>
  <si>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</si>
  <si>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</si>
  <si>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</si>
  <si>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</si>
  <si>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</si>
  <si>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</si>
  <si>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</si>
  <si>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</si>
  <si>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</si>
  <si>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</si>
  <si>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</si>
  <si>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</si>
  <si>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</si>
  <si>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</si>
  <si>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</si>
  <si>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</si>
  <si>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</si>
  <si>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</si>
  <si>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</si>
  <si>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</si>
  <si>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</si>
  <si>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</si>
  <si>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</si>
  <si>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</si>
  <si>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</si>
  <si>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</si>
  <si>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</si>
  <si>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</si>
  <si>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</si>
  <si>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</si>
  <si>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</si>
  <si>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</si>
  <si>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</si>
  <si>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</si>
  <si>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</si>
  <si>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</si>
  <si>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</si>
  <si>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</si>
  <si>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</si>
  <si>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</si>
  <si>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</si>
  <si>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</si>
  <si>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</si>
  <si>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</si>
  <si>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</si>
  <si>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</si>
  <si>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</si>
  <si>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</si>
  <si>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</si>
  <si>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</si>
  <si>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</si>
  <si>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</si>
  <si>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</si>
  <si>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</si>
  <si>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</si>
  <si>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</si>
  <si>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</si>
  <si>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</si>
  <si>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</si>
  <si>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</si>
  <si>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</si>
  <si>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</si>
  <si>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</si>
  <si>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</si>
  <si>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</si>
  <si>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</si>
  <si>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</si>
  <si>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</si>
  <si>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</si>
  <si>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</si>
  <si>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</si>
  <si>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</si>
  <si>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</si>
  <si>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</si>
  <si>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</si>
  <si>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</si>
  <si>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</si>
  <si>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</si>
  <si>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</si>
  <si>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</si>
  <si>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</si>
  <si>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</si>
  <si>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</si>
  <si>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</si>
  <si>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</si>
  <si>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</si>
  <si>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</si>
  <si>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</si>
  <si>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</si>
  <si>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</si>
  <si>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</si>
  <si>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</si>
  <si>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</si>
  <si>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</si>
  <si>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</si>
  <si>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</si>
  <si>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</si>
  <si>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</si>
  <si>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</si>
  <si>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</si>
  <si>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</si>
  <si>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</si>
  <si>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</si>
  <si>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</si>
  <si>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</si>
  <si>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</si>
  <si>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</si>
  <si>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</si>
  <si>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</si>
  <si>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</si>
  <si>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</si>
  <si>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</si>
  <si>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</si>
  <si>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</si>
  <si>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</si>
  <si>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</si>
  <si>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</si>
  <si>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</si>
  <si>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</si>
  <si>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</si>
  <si>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</si>
  <si>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</si>
  <si>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</si>
  <si>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</si>
  <si>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</si>
  <si>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</si>
  <si>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</si>
  <si>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</si>
  <si>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</si>
  <si>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</si>
  <si>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</si>
  <si>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</si>
  <si>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</si>
  <si>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</si>
  <si>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</si>
  <si>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</si>
  <si>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</si>
  <si>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</si>
  <si>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</si>
  <si>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</si>
  <si>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</si>
  <si>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</si>
  <si>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</si>
  <si>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</si>
  <si>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</si>
  <si>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</si>
  <si>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</si>
  <si>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</si>
  <si>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</si>
  <si>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</si>
  <si>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</si>
  <si>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</si>
  <si>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</si>
  <si>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</si>
  <si>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</si>
  <si>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</si>
  <si>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</si>
  <si>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</si>
  <si>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</si>
  <si>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</si>
  <si>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</si>
  <si>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</si>
  <si>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</si>
  <si>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</si>
  <si>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</si>
  <si>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</si>
  <si>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</si>
  <si>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</si>
  <si>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</si>
  <si>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</si>
  <si>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</si>
  <si>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</si>
  <si>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</si>
  <si>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</si>
  <si>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</si>
  <si>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</si>
  <si>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</si>
  <si>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</si>
  <si>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</si>
  <si>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</si>
  <si>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</si>
  <si>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</si>
  <si>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</si>
  <si>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</si>
  <si>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</si>
  <si>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</si>
  <si>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</si>
  <si>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</si>
  <si>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</si>
  <si>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</si>
  <si>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</si>
  <si>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</si>
  <si>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</si>
  <si>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</si>
  <si>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</si>
  <si>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</si>
  <si>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</si>
  <si>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</si>
  <si>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</si>
  <si>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</si>
  <si>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</si>
  <si>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</si>
  <si>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</si>
  <si>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</si>
  <si>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</si>
  <si>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</si>
  <si>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</si>
  <si>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</si>
  <si>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</si>
  <si>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</si>
  <si>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</si>
  <si>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</si>
  <si>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</si>
  <si>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</si>
  <si>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</si>
  <si>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</si>
  <si>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</si>
  <si>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</si>
  <si>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</si>
  <si>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</si>
  <si>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</si>
  <si>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</si>
  <si>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</si>
  <si>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</si>
  <si>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</si>
  <si>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</si>
  <si>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</si>
  <si>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</si>
  <si>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</si>
  <si>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</si>
  <si>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</si>
  <si>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</si>
  <si>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</si>
  <si>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</si>
  <si>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</si>
  <si>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</si>
  <si>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</si>
  <si>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</si>
  <si>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</si>
  <si>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</si>
  <si>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</si>
  <si>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</si>
  <si>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</si>
  <si>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</si>
  <si>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</si>
  <si>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</si>
  <si>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</si>
  <si>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</si>
  <si>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</si>
  <si>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</si>
  <si>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</si>
  <si>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</si>
  <si>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</si>
  <si>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</si>
  <si>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</si>
  <si>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</si>
  <si>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</si>
  <si>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</si>
  <si>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</si>
  <si>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</si>
  <si>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</si>
  <si>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</si>
  <si>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</si>
  <si>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</si>
  <si>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</si>
  <si>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</si>
  <si>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</si>
  <si>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</si>
  <si>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</si>
  <si>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</si>
  <si>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</si>
  <si>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</si>
  <si>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</si>
  <si>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</si>
  <si>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</si>
  <si>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</si>
  <si>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</si>
  <si>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</si>
  <si>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</si>
  <si>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</si>
  <si>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</si>
  <si>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</si>
  <si>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</si>
  <si>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</si>
  <si>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</si>
  <si>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</si>
  <si>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</si>
  <si>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</si>
  <si>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</si>
  <si>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</si>
  <si>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</si>
  <si>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</si>
  <si>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</si>
  <si>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</si>
  <si>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</si>
  <si>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</si>
  <si>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</si>
  <si>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</si>
  <si>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</si>
  <si>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</si>
  <si>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</si>
  <si>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</si>
  <si>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</si>
  <si>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</si>
  <si>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</si>
  <si>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</si>
  <si>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</si>
  <si>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</si>
  <si>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</si>
  <si>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</si>
  <si>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</si>
  <si>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</si>
  <si>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</si>
  <si>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</si>
  <si>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</si>
  <si>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</si>
  <si>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</si>
  <si>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</si>
  <si>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</si>
  <si>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</si>
  <si>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</si>
  <si>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</si>
  <si>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</si>
  <si>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</si>
  <si>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</si>
  <si>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</si>
  <si>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</si>
  <si>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</si>
  <si>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</si>
  <si>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</si>
  <si>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</si>
  <si>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</si>
  <si>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</si>
  <si>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</si>
  <si>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</si>
  <si>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</si>
  <si>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</si>
  <si>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</si>
  <si>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</si>
  <si>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</si>
  <si>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</si>
  <si>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</si>
  <si>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</si>
  <si>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</si>
  <si>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</si>
  <si>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</si>
  <si>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</si>
  <si>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</si>
  <si>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</si>
  <si>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</si>
  <si>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</si>
  <si>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</si>
  <si>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</si>
  <si>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</si>
  <si>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</si>
  <si>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</si>
  <si>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</si>
  <si>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</si>
  <si>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</si>
  <si>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</si>
  <si>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</si>
  <si>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</si>
  <si>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</si>
  <si>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</si>
  <si>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</si>
  <si>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</si>
  <si>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</si>
  <si>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</si>
  <si>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</si>
  <si>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</si>
  <si>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</si>
  <si>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</si>
  <si>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</si>
  <si>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</si>
  <si>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</si>
  <si>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</si>
  <si>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</si>
  <si>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</si>
  <si>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</si>
  <si>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</si>
  <si>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</si>
  <si>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</si>
  <si>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</si>
  <si>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</si>
  <si>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</si>
  <si>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</si>
  <si>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</si>
  <si>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</si>
  <si>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</si>
  <si>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</si>
  <si>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</si>
  <si>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</si>
  <si>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</si>
  <si>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</si>
  <si>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</si>
  <si>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</si>
  <si>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</si>
  <si>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</si>
  <si>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</si>
  <si>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</si>
  <si>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</si>
  <si>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</si>
  <si>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</si>
  <si>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</si>
  <si>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</si>
  <si>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</si>
  <si>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</si>
  <si>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</si>
  <si>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</si>
  <si>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</si>
  <si>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</si>
  <si>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</si>
  <si>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</si>
  <si>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</si>
  <si>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</si>
  <si>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</si>
  <si>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</si>
  <si>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</si>
  <si>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</si>
  <si>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</si>
  <si>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</si>
  <si>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</si>
  <si>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</si>
  <si>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</si>
  <si>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</si>
  <si>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</si>
  <si>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</si>
  <si>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</si>
  <si>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</si>
  <si>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</si>
  <si>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</si>
  <si>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</si>
  <si>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</si>
  <si>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</si>
  <si>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</si>
  <si>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</si>
  <si>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</si>
  <si>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</si>
  <si>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</si>
  <si>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</si>
  <si>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</si>
  <si>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</si>
  <si>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</si>
  <si>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</si>
  <si>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</si>
  <si>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</si>
  <si>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</si>
  <si>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</si>
  <si>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</si>
  <si>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</si>
  <si>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</si>
  <si>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</si>
  <si>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</si>
  <si>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</si>
  <si>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</si>
  <si>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</si>
  <si>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</si>
  <si>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</si>
  <si>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</si>
  <si>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</si>
  <si>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</si>
  <si>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</si>
  <si>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</si>
  <si>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</si>
  <si>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</si>
  <si>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</si>
  <si>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</si>
  <si>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</si>
  <si>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</si>
  <si>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</si>
  <si>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</si>
  <si>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</si>
  <si>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</si>
  <si>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</si>
  <si>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</si>
  <si>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</si>
  <si>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</si>
  <si>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</si>
  <si>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</si>
  <si>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</si>
  <si>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</si>
  <si>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</si>
  <si>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</si>
  <si>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</si>
  <si>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</si>
  <si>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</si>
  <si>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</si>
  <si>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</si>
  <si>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</si>
  <si>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</si>
  <si>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</si>
  <si>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</si>
  <si>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</si>
  <si>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</si>
  <si>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</si>
  <si>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</si>
  <si>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</si>
  <si>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</si>
  <si>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</si>
  <si>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</si>
  <si>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</si>
  <si>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</si>
  <si>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</si>
  <si>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</si>
  <si>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</si>
  <si>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</si>
  <si>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</si>
  <si>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</si>
  <si>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</si>
  <si>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</si>
  <si>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</si>
  <si>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</si>
  <si>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</si>
  <si>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</si>
  <si>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</si>
  <si>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</si>
  <si>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</si>
  <si>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</si>
  <si>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</si>
  <si>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</si>
  <si>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</si>
  <si>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</si>
  <si>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</si>
  <si>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</si>
  <si>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</si>
  <si>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</si>
  <si>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</si>
  <si>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</si>
  <si>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</si>
  <si>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</si>
  <si>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</si>
  <si>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</si>
  <si>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</si>
  <si>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</si>
  <si>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</si>
  <si>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</si>
  <si>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</si>
  <si>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</si>
  <si>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</si>
  <si>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</si>
  <si>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</si>
  <si>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</si>
  <si>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</si>
  <si>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</si>
  <si>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</si>
  <si>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</si>
  <si>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</si>
  <si>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</si>
  <si>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</si>
  <si>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</si>
  <si>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</si>
  <si>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</si>
  <si>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</si>
  <si>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</si>
  <si>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</si>
  <si>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</si>
  <si>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</si>
  <si>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</si>
  <si>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</si>
  <si>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</si>
  <si>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</si>
  <si>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</si>
  <si>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</si>
  <si>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</si>
  <si>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</si>
  <si>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</si>
  <si>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</si>
  <si>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</si>
  <si>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</si>
  <si>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</si>
  <si>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</si>
  <si>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</si>
  <si>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</si>
  <si>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</si>
  <si>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</si>
  <si>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</si>
  <si>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</si>
  <si>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</si>
  <si>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</si>
  <si>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</si>
  <si>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</si>
  <si>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</si>
  <si>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</si>
  <si>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</si>
  <si>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</si>
  <si>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</si>
  <si>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</si>
  <si>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</si>
  <si>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</si>
  <si>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</si>
  <si>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</si>
  <si>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</si>
  <si>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</si>
  <si>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</si>
  <si>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</si>
  <si>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</si>
  <si>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</si>
  <si>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</si>
  <si>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</si>
  <si>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</si>
  <si>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</si>
  <si>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</si>
  <si>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</si>
  <si>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</si>
  <si>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</si>
  <si>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</si>
  <si>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</si>
  <si>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</si>
  <si>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</si>
  <si>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</si>
  <si>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</si>
  <si>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</si>
  <si>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</si>
  <si>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</si>
  <si>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</si>
  <si>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</si>
  <si>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</si>
  <si>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</si>
  <si>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</si>
  <si>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</si>
  <si>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</si>
  <si>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</si>
  <si>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</si>
  <si>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</si>
  <si>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</si>
  <si>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</si>
  <si>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</si>
  <si>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</si>
  <si>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</si>
  <si>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</si>
  <si>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</si>
  <si>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</si>
  <si>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</si>
  <si>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</si>
  <si>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</si>
  <si>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</si>
  <si>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</si>
  <si>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</si>
  <si>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</si>
  <si>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</si>
  <si>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</si>
  <si>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</si>
  <si>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</si>
  <si>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</si>
  <si>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</si>
  <si>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</si>
  <si>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</si>
  <si>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</si>
  <si>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</si>
  <si>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</si>
  <si>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</si>
  <si>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</si>
  <si>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</si>
  <si>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</si>
  <si>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</si>
  <si>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</si>
  <si>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</si>
  <si>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</si>
  <si>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</si>
  <si>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</si>
  <si>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</si>
  <si>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</si>
  <si>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</si>
  <si>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</si>
  <si>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</si>
  <si>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</si>
  <si>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</si>
  <si>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</si>
  <si>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</si>
  <si>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</si>
  <si>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</si>
  <si>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</si>
  <si>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</si>
  <si>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</si>
  <si>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</si>
  <si>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</si>
  <si>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</si>
  <si>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</si>
  <si>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</si>
  <si>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</si>
  <si>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</si>
  <si>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</si>
  <si>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</si>
  <si>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</si>
  <si>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</si>
  <si>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</si>
  <si>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</si>
  <si>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</si>
  <si>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</si>
  <si>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</si>
  <si>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</si>
  <si>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</si>
  <si>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</si>
  <si>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</si>
  <si>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</si>
  <si>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</si>
  <si>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</si>
  <si>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</si>
  <si>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</si>
  <si>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</si>
  <si>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</si>
  <si>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</si>
  <si>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</si>
  <si>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</si>
  <si>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</si>
  <si>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</si>
  <si>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</si>
  <si>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</si>
  <si>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</si>
  <si>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</si>
  <si>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</si>
  <si>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</si>
  <si>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</si>
  <si>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</si>
  <si>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</si>
  <si>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</si>
  <si>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</si>
  <si>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</si>
  <si>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</si>
  <si>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</si>
  <si>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</si>
  <si>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</si>
  <si>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</si>
  <si>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</si>
  <si>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</si>
  <si>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</si>
  <si>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</si>
  <si>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</si>
  <si>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</si>
  <si>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</si>
  <si>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</si>
  <si>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</si>
  <si>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</si>
  <si>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</si>
  <si>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</si>
  <si>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</si>
  <si>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</si>
  <si>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</si>
  <si>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</si>
  <si>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</si>
  <si>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</si>
  <si>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</si>
  <si>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</si>
  <si>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</si>
  <si>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</si>
  <si>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</si>
  <si>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</si>
  <si>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</si>
  <si>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</si>
  <si>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</si>
  <si>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</si>
  <si>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</si>
  <si>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</si>
  <si>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</si>
  <si>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</si>
  <si>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</si>
  <si>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</si>
  <si>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</si>
  <si>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</si>
  <si>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</si>
  <si>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</si>
  <si>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</si>
  <si>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</si>
  <si>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</si>
  <si>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</si>
  <si>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</si>
  <si>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</si>
  <si>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</si>
  <si>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</si>
  <si>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</si>
  <si>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</si>
  <si>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</si>
  <si>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</si>
  <si>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</si>
  <si>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</si>
  <si>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</si>
  <si>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</si>
  <si>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</si>
  <si>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</si>
  <si>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</si>
  <si>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</si>
  <si>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</si>
  <si>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</si>
  <si>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</si>
  <si>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</si>
  <si>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</si>
  <si>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</si>
  <si>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</si>
  <si>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</si>
  <si>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</si>
  <si>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</si>
  <si>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</si>
  <si>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</si>
  <si>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</si>
  <si>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</si>
  <si>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</si>
  <si>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</si>
  <si>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</si>
  <si>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</si>
  <si>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</si>
  <si>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</si>
  <si>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</si>
  <si>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</si>
  <si>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</si>
  <si>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</si>
  <si>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</si>
  <si>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</si>
  <si>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</si>
  <si>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</si>
  <si>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</si>
  <si>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</si>
  <si>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</si>
  <si>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</si>
  <si>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</si>
  <si>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</si>
  <si>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</si>
  <si>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</si>
  <si>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</si>
  <si>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</si>
  <si>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</si>
  <si>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</si>
  <si>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</si>
  <si>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</si>
  <si>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</si>
  <si>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</si>
  <si>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</si>
  <si>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</si>
  <si>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</si>
  <si>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</si>
  <si>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</si>
  <si>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</si>
  <si>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</si>
  <si>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</si>
  <si>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</si>
  <si>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</si>
  <si>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</si>
  <si>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</si>
  <si>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</si>
  <si>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</si>
  <si>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</si>
  <si>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</si>
  <si>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</si>
  <si>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</si>
  <si>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</si>
  <si>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</si>
  <si>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</si>
  <si>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</si>
  <si>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</si>
  <si>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</si>
  <si>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</si>
  <si>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</si>
  <si>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</si>
  <si>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</si>
  <si>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</si>
  <si>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</si>
  <si>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</si>
  <si>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</si>
  <si>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</si>
  <si>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</si>
  <si>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</si>
  <si>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</si>
  <si>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</si>
  <si>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</si>
  <si>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</si>
  <si>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</si>
  <si>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</si>
  <si>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</si>
  <si>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</si>
  <si>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</si>
  <si>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</si>
  <si>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</si>
  <si>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</si>
  <si>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</si>
  <si>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</si>
  <si>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</si>
  <si>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</si>
  <si>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</si>
  <si>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</si>
  <si>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</si>
  <si>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</si>
  <si>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</si>
  <si>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</si>
  <si>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</si>
  <si>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</si>
  <si>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</si>
  <si>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</si>
  <si>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</si>
  <si>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</si>
  <si>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</si>
  <si>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</si>
  <si>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</si>
  <si>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</si>
  <si>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</si>
  <si>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</si>
  <si>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</si>
  <si>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</si>
  <si>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</si>
  <si>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</si>
  <si>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</si>
  <si>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</si>
  <si>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</si>
  <si>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</si>
  <si>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</si>
  <si>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</si>
  <si>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</si>
  <si>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</si>
  <si>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</si>
  <si>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</si>
  <si>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</si>
  <si>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</si>
  <si>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</si>
  <si>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</si>
  <si>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</si>
  <si>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</si>
  <si>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</si>
  <si>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</si>
  <si>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</si>
  <si>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</si>
  <si>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</si>
  <si>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</si>
  <si>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</si>
  <si>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</si>
  <si>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</si>
  <si>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</si>
  <si>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</si>
  <si>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</si>
  <si>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</si>
  <si>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</si>
  <si>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</si>
  <si>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</si>
  <si>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</si>
  <si>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</si>
  <si>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</si>
  <si>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</si>
  <si>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</si>
  <si>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</si>
  <si>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</si>
  <si>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</si>
  <si>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</si>
  <si>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</si>
  <si>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</si>
  <si>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</si>
  <si>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</si>
  <si>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</si>
  <si>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</si>
  <si>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</si>
  <si>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</si>
  <si>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</si>
  <si>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</si>
  <si>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</si>
  <si>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</si>
  <si>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</si>
  <si>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</si>
  <si>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</si>
  <si>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</si>
  <si>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</si>
  <si>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</si>
  <si>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</si>
  <si>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</si>
  <si>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</si>
  <si>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</si>
  <si>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</si>
  <si>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</si>
  <si>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</si>
  <si>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</si>
  <si>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</si>
  <si>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</si>
  <si>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</si>
  <si>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</si>
  <si>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</si>
  <si>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</si>
  <si>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</si>
  <si>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</si>
  <si>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</si>
  <si>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</si>
  <si>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</si>
  <si>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</si>
  <si>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</si>
  <si>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</si>
  <si>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</si>
  <si>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</si>
  <si>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</si>
  <si>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</si>
  <si>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</si>
  <si>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</si>
  <si>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</si>
  <si>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</si>
  <si>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</si>
  <si>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</si>
  <si>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</si>
  <si>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</si>
  <si>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</si>
  <si>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</si>
  <si>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</si>
  <si>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</si>
  <si>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</si>
  <si>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</si>
  <si>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</si>
  <si>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</si>
  <si>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</si>
  <si>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</si>
  <si>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</si>
  <si>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</si>
  <si>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</si>
  <si>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</si>
  <si>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</si>
  <si>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</si>
  <si>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</si>
  <si>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</si>
  <si>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</si>
  <si>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</si>
  <si>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</si>
  <si>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</si>
  <si>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</si>
  <si>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</si>
  <si>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</si>
  <si>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</si>
  <si>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</si>
  <si>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</si>
  <si>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</si>
  <si>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</si>
  <si>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</si>
  <si>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</si>
  <si>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</si>
  <si>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</si>
  <si>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</si>
  <si>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</si>
  <si>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</si>
  <si>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</si>
  <si>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</si>
  <si>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</si>
  <si>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</si>
  <si>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</si>
  <si>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</si>
  <si>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</si>
  <si>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</si>
  <si>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</si>
  <si>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</si>
  <si>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</si>
  <si>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</si>
  <si>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</si>
  <si>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</si>
  <si>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</si>
  <si>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</si>
  <si>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</si>
  <si>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</si>
  <si>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</si>
  <si>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</si>
  <si>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</si>
  <si>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</si>
  <si>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</si>
  <si>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</si>
  <si>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</si>
  <si>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</si>
  <si>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</si>
  <si>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</si>
  <si>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</si>
  <si>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</si>
  <si>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</si>
  <si>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</si>
  <si>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</si>
  <si>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</si>
  <si>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</si>
  <si>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</si>
  <si>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</si>
  <si>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</si>
  <si>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</si>
  <si>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</si>
  <si>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</si>
  <si>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</si>
  <si>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</si>
  <si>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</si>
  <si>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</si>
  <si>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</si>
  <si>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</si>
  <si>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</si>
  <si>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</si>
  <si>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</si>
  <si>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</si>
  <si>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</si>
  <si>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</si>
  <si>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</si>
  <si>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</si>
  <si>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</si>
  <si>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</si>
  <si>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</si>
  <si>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</si>
  <si>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</si>
  <si>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</si>
  <si>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</si>
  <si>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</si>
  <si>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</si>
  <si>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</si>
  <si>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</si>
  <si>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</si>
  <si>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</si>
  <si>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</si>
  <si>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</si>
  <si>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</si>
  <si>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</si>
  <si>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</si>
  <si>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</si>
  <si>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</si>
  <si>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</si>
  <si>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</si>
  <si>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</si>
  <si>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</si>
  <si>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</si>
  <si>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</si>
  <si>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</si>
  <si>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</si>
  <si>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</si>
  <si>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</si>
  <si>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</si>
  <si>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</si>
  <si>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</si>
  <si>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</si>
  <si>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</si>
  <si>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</si>
  <si>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</si>
  <si>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</si>
  <si>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</si>
  <si>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</si>
  <si>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</si>
  <si>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</si>
  <si>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</si>
  <si>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</si>
  <si>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</si>
  <si>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</si>
  <si>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</si>
  <si>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</si>
  <si>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</si>
  <si>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</si>
  <si>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</si>
  <si>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</si>
  <si>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</si>
  <si>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</si>
  <si>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</si>
  <si>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</si>
  <si>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</si>
  <si>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</si>
  <si>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</si>
  <si>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</si>
  <si>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</si>
  <si>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</si>
  <si>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</si>
  <si>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</si>
  <si>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</si>
  <si>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</si>
  <si>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</si>
  <si>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</si>
  <si>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</si>
  <si>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</si>
  <si>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</si>
  <si>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</si>
  <si>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</si>
  <si>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</si>
  <si>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</si>
  <si>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</si>
  <si>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</si>
  <si>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</si>
  <si>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</si>
  <si>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</si>
  <si>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</si>
  <si>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</si>
  <si>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</si>
  <si>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</si>
  <si>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</si>
  <si>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</si>
  <si>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</si>
  <si>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</si>
  <si>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</si>
  <si>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</si>
  <si>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</si>
  <si>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</si>
  <si>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</si>
  <si>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</si>
  <si>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</si>
  <si>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</si>
  <si>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</si>
  <si>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</si>
  <si>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</si>
  <si>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</si>
  <si>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</si>
  <si>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</si>
  <si>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</si>
  <si>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</si>
  <si>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</si>
  <si>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</si>
  <si>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</si>
  <si>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</si>
  <si>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</si>
  <si>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</si>
  <si>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</si>
  <si>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</si>
  <si>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</si>
  <si>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</si>
  <si>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</si>
  <si>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</si>
  <si>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</si>
  <si>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</si>
  <si>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</si>
  <si>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</si>
  <si>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</si>
  <si>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</si>
  <si>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</si>
  <si>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</si>
  <si>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</si>
  <si>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</si>
  <si>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</si>
  <si>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</si>
  <si>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</si>
  <si>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</si>
  <si>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</si>
  <si>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</si>
  <si>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</si>
  <si>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</si>
  <si>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</si>
  <si>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</si>
  <si>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</si>
  <si>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</si>
  <si>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</si>
  <si>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</si>
  <si>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</si>
  <si>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</si>
  <si>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</si>
  <si>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</si>
  <si>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</si>
  <si>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</si>
  <si>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</si>
  <si>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</si>
  <si>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</si>
  <si>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</si>
  <si>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</si>
  <si>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</si>
  <si>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</si>
  <si>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</si>
  <si>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</si>
  <si>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</si>
  <si>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</si>
  <si>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</si>
  <si>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</si>
  <si>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</si>
  <si>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</si>
  <si>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</si>
  <si>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</si>
  <si>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</si>
  <si>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</si>
  <si>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</si>
  <si>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</si>
  <si>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</si>
  <si>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</si>
  <si>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</si>
  <si>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</si>
  <si>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</si>
  <si>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</si>
  <si>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</si>
  <si>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</si>
  <si>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</si>
  <si>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</si>
  <si>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</si>
  <si>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</si>
  <si>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</si>
  <si>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</si>
  <si>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</si>
  <si>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</si>
  <si>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</si>
  <si>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</si>
  <si>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</si>
  <si>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</si>
  <si>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</si>
  <si>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</si>
  <si>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</si>
  <si>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</si>
  <si>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</si>
  <si>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</si>
  <si>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</si>
  <si>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</si>
  <si>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</si>
  <si>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</si>
  <si>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</si>
  <si>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</si>
  <si>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</si>
  <si>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</si>
  <si>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</si>
  <si>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</si>
  <si>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</si>
  <si>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</si>
  <si>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</si>
  <si>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</si>
  <si>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</si>
  <si>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</si>
  <si>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</si>
  <si>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</si>
  <si>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</si>
  <si>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</si>
  <si>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</si>
  <si>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</si>
  <si>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</si>
  <si>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</si>
  <si>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</si>
  <si>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</si>
  <si>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</si>
  <si>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</si>
  <si>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</si>
  <si>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</si>
  <si>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</si>
  <si>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</si>
  <si>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</si>
  <si>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</si>
  <si>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</si>
  <si>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</si>
  <si>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</si>
  <si>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</si>
  <si>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</si>
  <si>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</si>
  <si>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</si>
  <si>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</si>
  <si>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</si>
  <si>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</si>
  <si>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</si>
  <si>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</si>
  <si>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</si>
  <si>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</si>
  <si>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</si>
  <si>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</si>
  <si>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</si>
  <si>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</si>
  <si>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</si>
  <si>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</si>
  <si>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</si>
  <si>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</si>
  <si>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</si>
  <si>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</si>
  <si>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</si>
  <si>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</si>
  <si>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</si>
  <si>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</si>
  <si>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</si>
  <si>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</si>
  <si>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</si>
  <si>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</si>
  <si>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</si>
  <si>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</si>
  <si>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</si>
  <si>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</si>
  <si>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</si>
  <si>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</si>
  <si>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</si>
  <si>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</si>
  <si>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</si>
  <si>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</si>
  <si>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</si>
  <si>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</si>
  <si>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</si>
  <si>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</si>
  <si>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</si>
  <si>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</si>
  <si>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</si>
  <si>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</si>
  <si>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</si>
  <si>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</si>
  <si>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</si>
  <si>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</si>
  <si>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</si>
  <si>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</si>
  <si>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</si>
  <si>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</si>
  <si>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</si>
  <si>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</si>
  <si>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</si>
  <si>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</si>
  <si>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</si>
  <si>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</si>
  <si>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</si>
  <si>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</si>
  <si>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</si>
  <si>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</si>
  <si>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</si>
  <si>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</si>
  <si>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</si>
  <si>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</si>
  <si>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</si>
  <si>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</si>
  <si>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</si>
  <si>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</si>
  <si>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</si>
  <si>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</si>
  <si>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</si>
  <si>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</si>
  <si>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</si>
  <si>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</si>
  <si>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</si>
  <si>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</si>
  <si>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</si>
  <si>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</si>
  <si>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</si>
  <si>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</si>
  <si>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</si>
  <si>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</si>
  <si>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</si>
  <si>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</si>
  <si>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</si>
  <si>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</si>
  <si>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</si>
  <si>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</si>
  <si>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</si>
  <si>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</si>
  <si>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</si>
  <si>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</si>
  <si>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</si>
  <si>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</si>
  <si>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</si>
  <si>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</si>
  <si>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</si>
  <si>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</si>
  <si>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</si>
  <si>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</si>
  <si>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</si>
  <si>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</si>
  <si>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</si>
  <si>
    <t>Porcentaje de Carga Petróleo Pesado</t>
  </si>
  <si>
    <t>Opción 2:Carga a la Refinería NO HAY INFORMACIÓN</t>
  </si>
  <si>
    <t>kt/Y</t>
  </si>
  <si>
    <r>
      <t>Hidrogeno,</t>
    </r>
    <r>
      <rPr>
        <b/>
        <sz val="11"/>
        <color theme="1"/>
        <rFont val="Calibri"/>
        <family val="2"/>
        <scheme val="minor"/>
      </rPr>
      <t xml:space="preserve"> Referencia</t>
    </r>
    <r>
      <rPr>
        <sz val="11"/>
        <color theme="1"/>
        <rFont val="Calibri"/>
        <family val="2"/>
        <scheme val="minor"/>
      </rPr>
      <t>, kton/d</t>
    </r>
  </si>
  <si>
    <r>
      <t xml:space="preserve">Carga de </t>
    </r>
    <r>
      <rPr>
        <b/>
        <sz val="11"/>
        <color theme="1"/>
        <rFont val="Calibri"/>
        <family val="2"/>
        <scheme val="minor"/>
      </rPr>
      <t>Referencia</t>
    </r>
  </si>
  <si>
    <t>Edgar, p.222-223</t>
  </si>
  <si>
    <r>
      <t xml:space="preserve">Refinery Gas,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</si>
  <si>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</si>
  <si>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t>Fuel Oil, Referencia</t>
  </si>
  <si>
    <t>Calculado***</t>
  </si>
  <si>
    <t>Gas Natural Utilizado, Referencia, kt/y</t>
  </si>
  <si>
    <t>kt/y</t>
  </si>
  <si>
    <t>Gas Natural Utilizado, Referencia</t>
  </si>
  <si>
    <t>Hidrogeno Producido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</si>
  <si>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PICL2021</t>
    </r>
  </si>
  <si>
    <r>
      <t xml:space="preserve">Carga Basada </t>
    </r>
    <r>
      <rPr>
        <b/>
        <sz val="11"/>
        <color theme="1"/>
        <rFont val="Calibri"/>
        <family val="2"/>
        <scheme val="minor"/>
      </rPr>
      <t>PICL2021</t>
    </r>
  </si>
  <si>
    <t>%Volumen</t>
  </si>
  <si>
    <r>
      <t xml:space="preserve">Salidas de acuerdo a </t>
    </r>
    <r>
      <rPr>
        <b/>
        <sz val="11"/>
        <color theme="1"/>
        <rFont val="Calibri"/>
        <family val="2"/>
        <scheme val="minor"/>
      </rPr>
      <t>PICL2021</t>
    </r>
  </si>
  <si>
    <t>Declaración</t>
  </si>
  <si>
    <t>Max</t>
  </si>
  <si>
    <t>FTE-LPG-REF2</t>
  </si>
  <si>
    <t>FTE-RFG2</t>
  </si>
  <si>
    <t>Proceso para que LPG se use en refinería 2</t>
  </si>
  <si>
    <t>Proceso para que RFG1 se use en refinería 2</t>
  </si>
  <si>
    <t>LPG utilizado en refinería 2</t>
  </si>
  <si>
    <t>RFG1 utilizado en refinería 2</t>
  </si>
  <si>
    <t>LPG-REF2</t>
  </si>
  <si>
    <t>RFG2-REF2</t>
  </si>
  <si>
    <t>Precios</t>
  </si>
  <si>
    <t>Combustibles</t>
  </si>
  <si>
    <t>Precio base</t>
  </si>
  <si>
    <t>COP/gal</t>
  </si>
  <si>
    <t>Base</t>
  </si>
  <si>
    <t>Precio dólar base</t>
  </si>
  <si>
    <t>COP/barril</t>
  </si>
  <si>
    <t>año</t>
  </si>
  <si>
    <t>COP/Dólar</t>
  </si>
  <si>
    <t>USD/barril</t>
  </si>
  <si>
    <t>PJ/barril</t>
  </si>
  <si>
    <t>Conversion de Precios</t>
  </si>
  <si>
    <t>Combustible</t>
  </si>
  <si>
    <t>Precio</t>
  </si>
  <si>
    <t>MUSD2019/PJ</t>
  </si>
  <si>
    <t>MUSD/barril</t>
  </si>
  <si>
    <t>COMPRAS NACIONALES</t>
  </si>
  <si>
    <t>BUY-ETH</t>
  </si>
  <si>
    <t>BUY-BDSL</t>
  </si>
  <si>
    <t>Compra nacional de Ethanol</t>
  </si>
  <si>
    <t>Compra nacional de Biodiesel</t>
  </si>
  <si>
    <t>Annual Production Bound</t>
  </si>
  <si>
    <t>ACT_BND~2019</t>
  </si>
  <si>
    <t>ACT_BND~2050</t>
  </si>
  <si>
    <t>Precio Etanol</t>
  </si>
  <si>
    <t>https://www.energiaestrategica.com/el-gobierno-de-colombia-actualiza-precios-de-biocombustibles-e-industriales-se-entusiasman-con-aumentos-de-mezclas/</t>
  </si>
  <si>
    <t>Precio Biodiesel</t>
  </si>
  <si>
    <t>PJ/bl</t>
  </si>
  <si>
    <t>COL/gal</t>
  </si>
  <si>
    <t>AUTO-GAS-CAM2</t>
  </si>
  <si>
    <t>AUTO-OIL-CAM2</t>
  </si>
  <si>
    <t>AUTO-DSL-CAM2</t>
  </si>
  <si>
    <t>AUTO-LPG-CAM3</t>
  </si>
  <si>
    <t>Autogeneracion del CAM2 usando GAS</t>
  </si>
  <si>
    <t>Autogeneracion del CAM2 usando OIL</t>
  </si>
  <si>
    <t>Autogeneracion del CAM2 usando DSL</t>
  </si>
  <si>
    <t>Autogeneracion del CAM2 usando LPG</t>
  </si>
  <si>
    <t>AUTO-LPG-CAM2</t>
  </si>
  <si>
    <t>AUTO-GAS-CAM3</t>
  </si>
  <si>
    <t>AUTO-OIL-CAM3</t>
  </si>
  <si>
    <t>AUTO-DSL-CAM3</t>
  </si>
  <si>
    <t>Autogeneracion del CAM3 usando GAS</t>
  </si>
  <si>
    <t>Autogeneracion del CAM3 usando OIL</t>
  </si>
  <si>
    <t>Autogeneracion del CAM3 usando DSL</t>
  </si>
  <si>
    <t>Autogeneracion del CAM3 usando LPG</t>
  </si>
  <si>
    <t>AUTO-COL-GAS-CAM2</t>
  </si>
  <si>
    <t>AUTO-COL-OIL-CAM2</t>
  </si>
  <si>
    <t>AUTO-COL-DSL-CAM2</t>
  </si>
  <si>
    <t>Autogeneracion para Colectores CAM2 usando GAS</t>
  </si>
  <si>
    <t>Autogeneracion para Colectores CAM2 usando OIL</t>
  </si>
  <si>
    <t>Autogeneracion para Colectores CAM2 usando DSL</t>
  </si>
  <si>
    <t>Autogeneracion para Colectores CAM3 usando GAS</t>
  </si>
  <si>
    <t>Autogeneracion para Colectores CAM3 usando OIL</t>
  </si>
  <si>
    <t>Autogeneracion para Colectores CAM3 usando DSL</t>
  </si>
  <si>
    <t>AUTO-COL-GAS-CAM3</t>
  </si>
  <si>
    <t>AUTO-COL-OIL-CAM3</t>
  </si>
  <si>
    <t>AUTO-COL-DSL-CAM3</t>
  </si>
  <si>
    <t>COMPRA-ELC-COLG-CAM2</t>
  </si>
  <si>
    <t>COMPRA-ELC-COLG-CAM3</t>
  </si>
  <si>
    <t>Compra de electricidad para Colectores de GAS de CAM2-CAM3</t>
  </si>
  <si>
    <t>Compra de electricidad para Colectores de GAS de CAM3</t>
  </si>
  <si>
    <t>COMPRA-ELC-CAM2</t>
  </si>
  <si>
    <t>COMPRA-ELC-CAM3</t>
  </si>
  <si>
    <t>Compra de electricidad para CAM2</t>
  </si>
  <si>
    <t>Compra de electricidad para CAM3</t>
  </si>
  <si>
    <t>COMPRA-ELC-COLO-CAM2</t>
  </si>
  <si>
    <t>COMPRA-ELC-COLO-CAM3</t>
  </si>
  <si>
    <t>Compra de electricidad para transporte del CAM 2</t>
  </si>
  <si>
    <t>Compra de electricidad para transporte del CAM 3</t>
  </si>
  <si>
    <t>ELC-COL-CAM2</t>
  </si>
  <si>
    <t>Electricidad para colectores del campo 2 y 3</t>
  </si>
  <si>
    <t>ELC-O-COL-CAM2</t>
  </si>
  <si>
    <t>ELC-O-COL-CAM3</t>
  </si>
  <si>
    <t>Electricidad comparada para colectores GAS de CAM2</t>
  </si>
  <si>
    <t>Electricidad comparada para colectores GAS de CAM3</t>
  </si>
  <si>
    <t>Electricidad comparada para colectores OIL de CAM2</t>
  </si>
  <si>
    <t>Electricidad comparada para colectores OIL de CAM3</t>
  </si>
  <si>
    <t>Gas natural producido de CAM1</t>
  </si>
  <si>
    <t>Gas natural producido de CAM2</t>
  </si>
  <si>
    <t>Gas natural producido de CAM3</t>
  </si>
  <si>
    <t>Gas natural producido de CAM4</t>
  </si>
  <si>
    <t>Gas natural producido de CAM5</t>
  </si>
  <si>
    <t>Gas natural producido de CAM6</t>
  </si>
  <si>
    <t>Gas natural producido de CAM7</t>
  </si>
  <si>
    <t>Petroleo liviano producido de CAM2</t>
  </si>
  <si>
    <t>Petroleo liviano producido de CAM4</t>
  </si>
  <si>
    <t>Petroleo liviano producido de CAM7</t>
  </si>
  <si>
    <t>Petroleo mediano producido de CAM5</t>
  </si>
  <si>
    <t>Petroleo mediano producido de CAM6</t>
  </si>
  <si>
    <t>Petroleo pesado producido de CAM3</t>
  </si>
  <si>
    <t>ELC-G-COL-CAM2</t>
  </si>
  <si>
    <t>ELC-G-COL-CAM3</t>
  </si>
  <si>
    <t>IMP-SIN-TRA</t>
  </si>
  <si>
    <t>Compra al SIN para Transporte</t>
  </si>
  <si>
    <t>ELC-SIN-TRA</t>
  </si>
  <si>
    <t>Eelectricidad comprada al SIN para transporte</t>
  </si>
  <si>
    <t>Electricity</t>
  </si>
  <si>
    <t>ELC, AEO, 2020, BAU</t>
  </si>
  <si>
    <t>%, respecto 2019</t>
  </si>
  <si>
    <t>ELC, con base COL</t>
  </si>
  <si>
    <t>kton</t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</si>
  <si>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bpd</t>
    </r>
  </si>
  <si>
    <t>Edgar, p.228</t>
  </si>
  <si>
    <t>Unidades Originales R</t>
  </si>
  <si>
    <t>Total en Pja</t>
  </si>
  <si>
    <t>kt/kbarril</t>
  </si>
  <si>
    <t>MPC/kbarril</t>
  </si>
  <si>
    <t>Total en UO (kt, MPC, MPC, kb)/year</t>
  </si>
  <si>
    <t>kbl/kbl</t>
  </si>
  <si>
    <t>bl/kbl</t>
  </si>
  <si>
    <t>Ref EDGAR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</si>
</sst>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164" formatCode="_-* #,##0.00_-;\-* #,##0.00_-;_-* &quot;-&quot;??_-;_-@_-"/>
    <numFmt numFmtId="165" formatCode="\Te\x\t"/>
    <numFmt numFmtId="166" formatCode="0.0%"/>
    <numFmt numFmtId="167" formatCode="_-* #,##0_-;\-* #,##0_-;_-* &quot;-&quot;??_-;_-@"/>
    <numFmt numFmtId="168" formatCode="0.0000"/>
    <numFmt numFmtId="169" formatCode="_-* #,##0.0000_-;\-* #,##0.0000_-;_-* &quot;-&quot;??_-;_-@"/>
    <numFmt numFmtId="170" formatCode="0.0"/>
    <numFmt numFmtId="171" formatCode="0.000"/>
    <numFmt numFmtId="172" formatCode="_-* #,##0.00_-;\-* #,##0.00_-;_-* &quot;-&quot;??_-;_-@"/>
    <numFmt numFmtId="173" formatCode="_-* #,##0.00000_-;\-* #,##0.00000_-;_-* &quot;-&quot;??_-;_-@"/>
    <numFmt numFmtId="174" formatCode="_-* #,##0.00\ _€_-;\-* #,##0.00\ _€_-;_-* &quot;-&quot;??\ _€_-;_-@"/>
    <numFmt numFmtId="175" formatCode="_-* #,##0.000_-;\-* #,##0.000_-;_-* &quot;-&quot;??_-;_-@"/>
    <numFmt numFmtId="176" formatCode="_-* #,##0.0_-;\-* #,##0.0_-;_-* &quot;-&quot;??_-;_-@"/>
    <numFmt numFmtId="177" formatCode="0.000000"/>
    <numFmt numFmtId="178" formatCode="_-* #,##0.000000_-;\-* #,##0.000000_-;_-* &quot;-&quot;??_-;_-@"/>
    <numFmt numFmtId="179" formatCode="0.000000000"/>
    <numFmt numFmtId="180" formatCode="0.0E+00"/>
    <numFmt numFmtId="181" formatCode="_-* #,##0.000_-;\-* #,##0.000_-;_-* &quot;-&quot;???_-;_-@"/>
    <numFmt numFmtId="182" formatCode="0.000%"/>
    <numFmt numFmtId="183" formatCode="_-* #,##0.0000000_-;\-* #,##0.0000000_-;_-* &quot;-&quot;??_-;_-@"/>
    <numFmt numFmtId="184" formatCode="0.0000%"/>
    <numFmt numFmtId="185" formatCode="0.00000"/>
    <numFmt numFmtId="186" formatCode="_-* #,##0.0000_-;\-* #,##0.0000_-;_-* &quot;-&quot;??_-;_-@_-"/>
    <numFmt numFmtId="187" formatCode="_-* #,##0_-;\-* #,##0_-;_-* &quot;-&quot;??_-;_-@_-"/>
    <numFmt numFmtId="188" formatCode="0.0000000"/>
    <numFmt numFmtId="189" formatCode="0.00000000"/>
  </numFmts>
  <fonts count="9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  <font>
      <b/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</font>
    <font>
      <sz val="7"/>
      <color theme="1"/>
      <name val="Arial"/>
      <family val="2"/>
    </font>
    <font>
      <sz val="7"/>
      <color theme="1"/>
      <name val="Calibri"/>
      <family val="2"/>
      <scheme val="minor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5"/>
      <color theme="1"/>
      <name val="Calibri"/>
      <family val="2"/>
      <scheme val="minor"/>
    </font>
    <font>
      <sz val="11"/>
      <color rgb="FF0070C0"/>
      <name val="Calibri"/>
      <family val="2"/>
    </font>
    <font>
      <b/>
      <sz val="11"/>
      <color rgb="FF0070C0"/>
      <name val="Calibri"/>
      <family val="2"/>
    </font>
    <font>
      <sz val="8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theme="0"/>
      </patternFill>
    </fill>
    <fill>
      <patternFill patternType="solid">
        <fgColor theme="0"/>
        <bgColor rgb="FFC5E0B3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rgb="FFFFFF9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F2F2F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8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rgb="FFA8D08D"/>
      </right>
      <top/>
      <bottom/>
      <diagonal/>
    </border>
  </borders>
  <cellStyleXfs count="4">
    <xf numFmtId="0" fontId="0" fillId="0" borderId="0"/>
    <xf numFmtId="164" fontId="64" fillId="0" borderId="0" applyFont="0" applyFill="0" applyBorder="0" applyAlignment="0" applyProtection="0"/>
    <xf numFmtId="9" fontId="65" fillId="0" borderId="0" applyFont="0" applyFill="0" applyBorder="0" applyAlignment="0" applyProtection="0"/>
    <xf numFmtId="0" fontId="8" fillId="27" borderId="0" applyNumberFormat="0" applyBorder="0" applyAlignment="0" applyProtection="0"/>
  </cellStyleXfs>
  <cellXfs count="1050">
    <xf numFmtId="0" fontId="0" fillId="0" borderId="0" xfId="0"/>
    <xf numFmtId="0" fontId="17" fillId="2" borderId="1" xfId="0" applyFont="1" applyFill="1" applyBorder="1"/>
    <xf numFmtId="0" fontId="17" fillId="2" borderId="1" xfId="0" applyFont="1" applyFill="1" applyBorder="1" applyAlignment="1">
      <alignment horizontal="center"/>
    </xf>
    <xf numFmtId="0" fontId="17" fillId="2" borderId="1" xfId="0" applyFont="1" applyFill="1" applyBorder="1" applyAlignment="1">
      <alignment wrapText="1"/>
    </xf>
    <xf numFmtId="0" fontId="17" fillId="2" borderId="1" xfId="0" applyFont="1" applyFill="1" applyBorder="1" applyAlignment="1">
      <alignment horizontal="center" wrapText="1"/>
    </xf>
    <xf numFmtId="0" fontId="17" fillId="0" borderId="0" xfId="0" applyFont="1" applyAlignment="1">
      <alignment wrapText="1"/>
    </xf>
    <xf numFmtId="165" fontId="20" fillId="2" borderId="1" xfId="0" applyNumberFormat="1" applyFont="1" applyFill="1" applyBorder="1"/>
    <xf numFmtId="165" fontId="21" fillId="2" borderId="1" xfId="0" applyNumberFormat="1" applyFont="1" applyFill="1" applyBorder="1"/>
    <xf numFmtId="165" fontId="22" fillId="3" borderId="5" xfId="0" applyNumberFormat="1" applyFont="1" applyFill="1" applyBorder="1" applyAlignment="1">
      <alignment horizontal="left"/>
    </xf>
    <xf numFmtId="165" fontId="22" fillId="3" borderId="6" xfId="0" applyNumberFormat="1" applyFont="1" applyFill="1" applyBorder="1" applyAlignment="1">
      <alignment horizontal="left"/>
    </xf>
    <xf numFmtId="165" fontId="23" fillId="4" borderId="7" xfId="0" applyNumberFormat="1" applyFont="1" applyFill="1" applyBorder="1" applyAlignment="1">
      <alignment horizontal="left" wrapText="1"/>
    </xf>
    <xf numFmtId="166" fontId="17" fillId="0" borderId="0" xfId="0" applyNumberFormat="1" applyFont="1"/>
    <xf numFmtId="0" fontId="24" fillId="0" borderId="0" xfId="0" applyFont="1"/>
    <xf numFmtId="0" fontId="18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165" fontId="20" fillId="0" borderId="0" xfId="0" applyNumberFormat="1" applyFont="1"/>
    <xf numFmtId="0" fontId="17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left" vertical="center"/>
    </xf>
    <xf numFmtId="0" fontId="17" fillId="0" borderId="0" xfId="0" applyFont="1" applyAlignment="1">
      <alignment horizontal="left"/>
    </xf>
    <xf numFmtId="166" fontId="17" fillId="2" borderId="1" xfId="0" applyNumberFormat="1" applyFont="1" applyFill="1" applyBorder="1"/>
    <xf numFmtId="0" fontId="25" fillId="0" borderId="0" xfId="0" applyFont="1"/>
    <xf numFmtId="0" fontId="26" fillId="0" borderId="0" xfId="0" applyFont="1"/>
    <xf numFmtId="0" fontId="26" fillId="0" borderId="0" xfId="0" applyFont="1" applyAlignment="1">
      <alignment horizontal="right"/>
    </xf>
    <xf numFmtId="0" fontId="27" fillId="0" borderId="0" xfId="0" applyFont="1"/>
    <xf numFmtId="0" fontId="18" fillId="0" borderId="10" xfId="0" applyFont="1" applyBorder="1" applyAlignment="1">
      <alignment horizontal="center"/>
    </xf>
    <xf numFmtId="0" fontId="18" fillId="0" borderId="9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0" fontId="18" fillId="0" borderId="8" xfId="0" applyFont="1" applyBorder="1"/>
    <xf numFmtId="0" fontId="28" fillId="0" borderId="13" xfId="0" applyFont="1" applyBorder="1" applyAlignment="1">
      <alignment horizontal="left"/>
    </xf>
    <xf numFmtId="0" fontId="28" fillId="0" borderId="9" xfId="0" applyFont="1" applyBorder="1"/>
    <xf numFmtId="0" fontId="17" fillId="0" borderId="10" xfId="0" applyFont="1" applyBorder="1"/>
    <xf numFmtId="0" fontId="25" fillId="0" borderId="13" xfId="0" applyFont="1" applyBorder="1" applyAlignment="1">
      <alignment horizontal="left"/>
    </xf>
    <xf numFmtId="0" fontId="25" fillId="0" borderId="9" xfId="0" applyFont="1" applyBorder="1" applyAlignment="1">
      <alignment horizontal="left" vertical="center"/>
    </xf>
    <xf numFmtId="0" fontId="17" fillId="0" borderId="13" xfId="0" applyFont="1" applyBorder="1" applyAlignment="1">
      <alignment horizontal="center"/>
    </xf>
    <xf numFmtId="2" fontId="17" fillId="0" borderId="10" xfId="0" applyNumberFormat="1" applyFont="1" applyBorder="1" applyAlignment="1">
      <alignment horizontal="center" vertical="center"/>
    </xf>
    <xf numFmtId="2" fontId="17" fillId="0" borderId="9" xfId="0" applyNumberFormat="1" applyFont="1" applyBorder="1" applyAlignment="1">
      <alignment horizontal="center" vertical="center"/>
    </xf>
    <xf numFmtId="0" fontId="17" fillId="0" borderId="14" xfId="0" applyFont="1" applyBorder="1"/>
    <xf numFmtId="0" fontId="25" fillId="0" borderId="15" xfId="0" applyFont="1" applyBorder="1" applyAlignment="1">
      <alignment horizontal="left"/>
    </xf>
    <xf numFmtId="0" fontId="25" fillId="0" borderId="16" xfId="0" applyFont="1" applyBorder="1" applyAlignment="1">
      <alignment horizontal="left" vertical="center"/>
    </xf>
    <xf numFmtId="0" fontId="17" fillId="0" borderId="15" xfId="0" applyFont="1" applyBorder="1" applyAlignment="1">
      <alignment horizontal="center"/>
    </xf>
    <xf numFmtId="2" fontId="17" fillId="0" borderId="14" xfId="0" applyNumberFormat="1" applyFont="1" applyBorder="1" applyAlignment="1">
      <alignment horizontal="center" vertical="center"/>
    </xf>
    <xf numFmtId="2" fontId="17" fillId="0" borderId="16" xfId="0" applyNumberFormat="1" applyFont="1" applyBorder="1" applyAlignment="1">
      <alignment horizontal="center" vertical="center"/>
    </xf>
    <xf numFmtId="0" fontId="17" fillId="0" borderId="11" xfId="0" applyFont="1" applyBorder="1"/>
    <xf numFmtId="0" fontId="25" fillId="0" borderId="0" xfId="0" applyFont="1" applyAlignment="1">
      <alignment horizontal="left"/>
    </xf>
    <xf numFmtId="2" fontId="17" fillId="0" borderId="11" xfId="0" applyNumberFormat="1" applyFont="1" applyBorder="1" applyAlignment="1">
      <alignment vertical="center"/>
    </xf>
    <xf numFmtId="2" fontId="17" fillId="0" borderId="12" xfId="0" applyNumberFormat="1" applyFont="1" applyBorder="1" applyAlignment="1">
      <alignment vertical="center"/>
    </xf>
    <xf numFmtId="0" fontId="17" fillId="0" borderId="17" xfId="0" applyFont="1" applyBorder="1"/>
    <xf numFmtId="0" fontId="25" fillId="0" borderId="18" xfId="0" applyFont="1" applyBorder="1" applyAlignment="1">
      <alignment horizontal="left"/>
    </xf>
    <xf numFmtId="0" fontId="17" fillId="0" borderId="18" xfId="0" applyFont="1" applyBorder="1" applyAlignment="1">
      <alignment horizontal="center"/>
    </xf>
    <xf numFmtId="2" fontId="17" fillId="0" borderId="17" xfId="0" applyNumberFormat="1" applyFont="1" applyBorder="1" applyAlignment="1">
      <alignment vertical="center"/>
    </xf>
    <xf numFmtId="2" fontId="17" fillId="0" borderId="19" xfId="0" applyNumberFormat="1" applyFont="1" applyBorder="1" applyAlignment="1">
      <alignment vertical="center"/>
    </xf>
    <xf numFmtId="0" fontId="26" fillId="0" borderId="12" xfId="0" applyFont="1" applyBorder="1" applyAlignment="1">
      <alignment horizontal="left" vertical="center"/>
    </xf>
    <xf numFmtId="2" fontId="17" fillId="0" borderId="11" xfId="0" applyNumberFormat="1" applyFont="1" applyBorder="1" applyAlignment="1">
      <alignment horizontal="center" vertical="center"/>
    </xf>
    <xf numFmtId="2" fontId="17" fillId="0" borderId="12" xfId="0" applyNumberFormat="1" applyFont="1" applyBorder="1" applyAlignment="1">
      <alignment horizontal="center" vertical="center"/>
    </xf>
    <xf numFmtId="0" fontId="25" fillId="0" borderId="12" xfId="0" applyFont="1" applyBorder="1" applyAlignment="1">
      <alignment horizontal="left" vertical="center"/>
    </xf>
    <xf numFmtId="0" fontId="25" fillId="0" borderId="19" xfId="0" applyFont="1" applyBorder="1" applyAlignment="1">
      <alignment horizontal="left" vertical="center"/>
    </xf>
    <xf numFmtId="2" fontId="17" fillId="0" borderId="17" xfId="0" applyNumberFormat="1" applyFont="1" applyBorder="1" applyAlignment="1">
      <alignment horizontal="center" vertical="center"/>
    </xf>
    <xf numFmtId="2" fontId="17" fillId="0" borderId="19" xfId="0" applyNumberFormat="1" applyFont="1" applyBorder="1" applyAlignment="1">
      <alignment horizontal="center" vertical="center"/>
    </xf>
    <xf numFmtId="167" fontId="26" fillId="0" borderId="0" xfId="0" applyNumberFormat="1" applyFont="1"/>
    <xf numFmtId="0" fontId="26" fillId="0" borderId="15" xfId="0" applyFont="1" applyBorder="1" applyAlignment="1">
      <alignment horizontal="left"/>
    </xf>
    <xf numFmtId="0" fontId="26" fillId="0" borderId="15" xfId="0" applyFont="1" applyBorder="1" applyAlignment="1">
      <alignment horizontal="left" vertical="center"/>
    </xf>
    <xf numFmtId="0" fontId="18" fillId="2" borderId="20" xfId="0" applyFont="1" applyFill="1" applyBorder="1" applyAlignment="1">
      <alignment horizontal="center"/>
    </xf>
    <xf numFmtId="2" fontId="17" fillId="0" borderId="21" xfId="0" applyNumberFormat="1" applyFont="1" applyBorder="1" applyAlignment="1">
      <alignment horizontal="center"/>
    </xf>
    <xf numFmtId="2" fontId="17" fillId="0" borderId="14" xfId="0" applyNumberFormat="1" applyFont="1" applyBorder="1" applyAlignment="1">
      <alignment horizontal="center"/>
    </xf>
    <xf numFmtId="0" fontId="26" fillId="0" borderId="18" xfId="0" applyFont="1" applyBorder="1" applyAlignment="1">
      <alignment horizontal="left"/>
    </xf>
    <xf numFmtId="0" fontId="18" fillId="2" borderId="22" xfId="0" applyFont="1" applyFill="1" applyBorder="1" applyAlignment="1">
      <alignment horizontal="center"/>
    </xf>
    <xf numFmtId="2" fontId="17" fillId="0" borderId="23" xfId="0" applyNumberFormat="1" applyFont="1" applyBorder="1" applyAlignment="1">
      <alignment horizontal="center"/>
    </xf>
    <xf numFmtId="2" fontId="17" fillId="0" borderId="17" xfId="0" applyNumberFormat="1" applyFont="1" applyBorder="1" applyAlignment="1">
      <alignment horizontal="center"/>
    </xf>
    <xf numFmtId="1" fontId="26" fillId="0" borderId="0" xfId="0" applyNumberFormat="1" applyFont="1"/>
    <xf numFmtId="0" fontId="29" fillId="0" borderId="0" xfId="0" applyFont="1"/>
    <xf numFmtId="0" fontId="29" fillId="5" borderId="1" xfId="0" applyFont="1" applyFill="1" applyBorder="1" applyAlignment="1">
      <alignment horizontal="left"/>
    </xf>
    <xf numFmtId="9" fontId="29" fillId="5" borderId="1" xfId="0" applyNumberFormat="1" applyFont="1" applyFill="1" applyBorder="1" applyAlignment="1">
      <alignment horizontal="left"/>
    </xf>
    <xf numFmtId="0" fontId="29" fillId="0" borderId="0" xfId="0" applyFont="1" applyAlignment="1">
      <alignment horizontal="left"/>
    </xf>
    <xf numFmtId="10" fontId="29" fillId="0" borderId="0" xfId="0" applyNumberFormat="1" applyFont="1" applyAlignment="1">
      <alignment horizontal="left"/>
    </xf>
    <xf numFmtId="0" fontId="25" fillId="0" borderId="14" xfId="0" applyFont="1" applyBorder="1"/>
    <xf numFmtId="0" fontId="25" fillId="0" borderId="15" xfId="0" applyFont="1" applyBorder="1"/>
    <xf numFmtId="168" fontId="25" fillId="0" borderId="14" xfId="0" applyNumberFormat="1" applyFont="1" applyBorder="1"/>
    <xf numFmtId="168" fontId="25" fillId="0" borderId="16" xfId="0" applyNumberFormat="1" applyFont="1" applyBorder="1"/>
    <xf numFmtId="0" fontId="25" fillId="0" borderId="17" xfId="0" applyFont="1" applyBorder="1"/>
    <xf numFmtId="0" fontId="25" fillId="0" borderId="18" xfId="0" applyFont="1" applyBorder="1"/>
    <xf numFmtId="0" fontId="25" fillId="0" borderId="19" xfId="0" applyFont="1" applyBorder="1"/>
    <xf numFmtId="169" fontId="26" fillId="0" borderId="0" xfId="0" applyNumberFormat="1" applyFont="1"/>
    <xf numFmtId="2" fontId="17" fillId="0" borderId="24" xfId="0" applyNumberFormat="1" applyFont="1" applyBorder="1" applyAlignment="1">
      <alignment horizontal="center"/>
    </xf>
    <xf numFmtId="170" fontId="26" fillId="0" borderId="0" xfId="0" applyNumberFormat="1" applyFont="1"/>
    <xf numFmtId="168" fontId="26" fillId="0" borderId="0" xfId="0" applyNumberFormat="1" applyFont="1"/>
    <xf numFmtId="171" fontId="25" fillId="0" borderId="0" xfId="0" applyNumberFormat="1" applyFont="1"/>
    <xf numFmtId="1" fontId="25" fillId="0" borderId="0" xfId="0" applyNumberFormat="1" applyFont="1"/>
    <xf numFmtId="2" fontId="26" fillId="0" borderId="0" xfId="0" applyNumberFormat="1" applyFont="1"/>
    <xf numFmtId="0" fontId="28" fillId="0" borderId="24" xfId="0" applyFont="1" applyBorder="1"/>
    <xf numFmtId="0" fontId="28" fillId="0" borderId="16" xfId="0" applyFont="1" applyBorder="1"/>
    <xf numFmtId="0" fontId="25" fillId="0" borderId="24" xfId="0" applyFont="1" applyBorder="1"/>
    <xf numFmtId="0" fontId="26" fillId="0" borderId="15" xfId="0" applyFont="1" applyBorder="1"/>
    <xf numFmtId="0" fontId="26" fillId="0" borderId="16" xfId="0" applyFont="1" applyBorder="1" applyAlignment="1">
      <alignment horizontal="right"/>
    </xf>
    <xf numFmtId="0" fontId="18" fillId="0" borderId="2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25" fillId="0" borderId="21" xfId="0" applyFont="1" applyBorder="1"/>
    <xf numFmtId="0" fontId="26" fillId="0" borderId="0" xfId="0" applyFont="1" applyAlignment="1">
      <alignment horizontal="center"/>
    </xf>
    <xf numFmtId="0" fontId="26" fillId="0" borderId="12" xfId="0" applyFont="1" applyBorder="1" applyAlignment="1">
      <alignment horizontal="right"/>
    </xf>
    <xf numFmtId="0" fontId="18" fillId="0" borderId="0" xfId="0" applyFont="1"/>
    <xf numFmtId="0" fontId="26" fillId="0" borderId="0" xfId="0" applyFont="1" applyAlignment="1">
      <alignment horizontal="center" vertical="center"/>
    </xf>
    <xf numFmtId="0" fontId="30" fillId="0" borderId="12" xfId="0" applyFont="1" applyBorder="1" applyAlignment="1">
      <alignment horizontal="center"/>
    </xf>
    <xf numFmtId="0" fontId="17" fillId="0" borderId="8" xfId="0" applyFont="1" applyBorder="1"/>
    <xf numFmtId="0" fontId="17" fillId="0" borderId="13" xfId="0" applyFont="1" applyBorder="1"/>
    <xf numFmtId="2" fontId="17" fillId="0" borderId="8" xfId="0" applyNumberFormat="1" applyFont="1" applyBorder="1" applyAlignment="1">
      <alignment horizontal="center"/>
    </xf>
    <xf numFmtId="172" fontId="17" fillId="0" borderId="9" xfId="0" applyNumberFormat="1" applyFont="1" applyBorder="1" applyAlignment="1">
      <alignment horizontal="center"/>
    </xf>
    <xf numFmtId="2" fontId="25" fillId="0" borderId="8" xfId="0" applyNumberFormat="1" applyFont="1" applyBorder="1" applyAlignment="1">
      <alignment horizontal="center" vertical="center"/>
    </xf>
    <xf numFmtId="0" fontId="25" fillId="0" borderId="13" xfId="0" applyFont="1" applyBorder="1" applyAlignment="1">
      <alignment horizontal="center"/>
    </xf>
    <xf numFmtId="0" fontId="25" fillId="0" borderId="13" xfId="0" applyFont="1" applyBorder="1"/>
    <xf numFmtId="0" fontId="26" fillId="0" borderId="9" xfId="0" applyFont="1" applyBorder="1" applyAlignment="1">
      <alignment horizontal="center" vertical="center"/>
    </xf>
    <xf numFmtId="171" fontId="26" fillId="0" borderId="12" xfId="0" applyNumberFormat="1" applyFont="1" applyBorder="1" applyAlignment="1">
      <alignment horizontal="right"/>
    </xf>
    <xf numFmtId="0" fontId="17" fillId="0" borderId="24" xfId="0" applyFont="1" applyBorder="1"/>
    <xf numFmtId="0" fontId="17" fillId="0" borderId="15" xfId="0" applyFont="1" applyBorder="1"/>
    <xf numFmtId="2" fontId="25" fillId="0" borderId="24" xfId="0" applyNumberFormat="1" applyFont="1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0" fontId="17" fillId="0" borderId="21" xfId="0" applyFont="1" applyBorder="1"/>
    <xf numFmtId="0" fontId="17" fillId="0" borderId="23" xfId="0" applyFont="1" applyBorder="1"/>
    <xf numFmtId="0" fontId="17" fillId="0" borderId="18" xfId="0" applyFont="1" applyBorder="1"/>
    <xf numFmtId="172" fontId="17" fillId="0" borderId="16" xfId="0" applyNumberFormat="1" applyFont="1" applyBorder="1" applyAlignment="1">
      <alignment horizontal="center"/>
    </xf>
    <xf numFmtId="0" fontId="25" fillId="0" borderId="15" xfId="0" applyFont="1" applyBorder="1" applyAlignment="1">
      <alignment horizontal="center"/>
    </xf>
    <xf numFmtId="172" fontId="17" fillId="0" borderId="12" xfId="0" applyNumberFormat="1" applyFont="1" applyBorder="1" applyAlignment="1">
      <alignment horizontal="center"/>
    </xf>
    <xf numFmtId="2" fontId="25" fillId="0" borderId="21" xfId="0" applyNumberFormat="1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26" fillId="0" borderId="12" xfId="0" applyFont="1" applyBorder="1" applyAlignment="1">
      <alignment horizontal="center" vertical="center"/>
    </xf>
    <xf numFmtId="171" fontId="17" fillId="0" borderId="21" xfId="0" applyNumberFormat="1" applyFont="1" applyBorder="1" applyAlignment="1">
      <alignment horizontal="center"/>
    </xf>
    <xf numFmtId="172" fontId="17" fillId="0" borderId="19" xfId="0" applyNumberFormat="1" applyFont="1" applyBorder="1" applyAlignment="1">
      <alignment horizontal="center"/>
    </xf>
    <xf numFmtId="2" fontId="25" fillId="0" borderId="23" xfId="0" applyNumberFormat="1" applyFont="1" applyBorder="1" applyAlignment="1">
      <alignment horizontal="center" vertical="center"/>
    </xf>
    <xf numFmtId="0" fontId="25" fillId="0" borderId="18" xfId="0" applyFont="1" applyBorder="1" applyAlignment="1">
      <alignment horizontal="center"/>
    </xf>
    <xf numFmtId="0" fontId="26" fillId="0" borderId="19" xfId="0" applyFont="1" applyBorder="1" applyAlignment="1">
      <alignment horizontal="center" vertical="center"/>
    </xf>
    <xf numFmtId="0" fontId="18" fillId="2" borderId="1" xfId="0" applyFont="1" applyFill="1" applyBorder="1" applyAlignment="1">
      <alignment horizontal="center"/>
    </xf>
    <xf numFmtId="2" fontId="17" fillId="0" borderId="12" xfId="0" applyNumberFormat="1" applyFont="1" applyBorder="1" applyAlignment="1">
      <alignment horizontal="right"/>
    </xf>
    <xf numFmtId="171" fontId="25" fillId="0" borderId="24" xfId="0" applyNumberFormat="1" applyFont="1" applyBorder="1" applyAlignment="1">
      <alignment horizontal="center" vertical="center"/>
    </xf>
    <xf numFmtId="2" fontId="17" fillId="0" borderId="19" xfId="0" applyNumberFormat="1" applyFont="1" applyBorder="1" applyAlignment="1">
      <alignment horizontal="right"/>
    </xf>
    <xf numFmtId="0" fontId="25" fillId="0" borderId="23" xfId="0" applyFont="1" applyBorder="1"/>
    <xf numFmtId="0" fontId="26" fillId="0" borderId="19" xfId="0" applyFont="1" applyBorder="1"/>
    <xf numFmtId="0" fontId="26" fillId="0" borderId="18" xfId="0" applyFont="1" applyBorder="1"/>
    <xf numFmtId="0" fontId="26" fillId="0" borderId="19" xfId="0" applyFont="1" applyBorder="1" applyAlignment="1">
      <alignment horizontal="right"/>
    </xf>
    <xf numFmtId="9" fontId="29" fillId="0" borderId="0" xfId="0" applyNumberFormat="1" applyFont="1" applyAlignment="1">
      <alignment horizontal="left"/>
    </xf>
    <xf numFmtId="173" fontId="25" fillId="0" borderId="0" xfId="0" applyNumberFormat="1" applyFont="1"/>
    <xf numFmtId="172" fontId="25" fillId="0" borderId="0" xfId="0" applyNumberFormat="1" applyFont="1"/>
    <xf numFmtId="0" fontId="31" fillId="0" borderId="0" xfId="0" applyFont="1"/>
    <xf numFmtId="0" fontId="28" fillId="0" borderId="0" xfId="0" applyFont="1"/>
    <xf numFmtId="0" fontId="32" fillId="0" borderId="25" xfId="0" applyFont="1" applyBorder="1" applyAlignment="1">
      <alignment vertical="center" wrapText="1"/>
    </xf>
    <xf numFmtId="0" fontId="32" fillId="0" borderId="26" xfId="0" applyFont="1" applyBorder="1" applyAlignment="1">
      <alignment vertical="center" wrapText="1"/>
    </xf>
    <xf numFmtId="174" fontId="25" fillId="0" borderId="0" xfId="0" applyNumberFormat="1" applyFont="1"/>
    <xf numFmtId="11" fontId="25" fillId="0" borderId="0" xfId="0" applyNumberFormat="1" applyFont="1"/>
    <xf numFmtId="0" fontId="32" fillId="0" borderId="27" xfId="0" applyFont="1" applyBorder="1" applyAlignment="1">
      <alignment vertical="center" wrapText="1"/>
    </xf>
    <xf numFmtId="0" fontId="32" fillId="0" borderId="28" xfId="0" applyFont="1" applyBorder="1" applyAlignment="1">
      <alignment vertical="center" wrapText="1"/>
    </xf>
    <xf numFmtId="0" fontId="33" fillId="6" borderId="32" xfId="0" applyFont="1" applyFill="1" applyBorder="1" applyAlignment="1">
      <alignment vertical="center"/>
    </xf>
    <xf numFmtId="0" fontId="34" fillId="7" borderId="32" xfId="0" applyFont="1" applyFill="1" applyBorder="1" applyAlignment="1">
      <alignment vertical="center"/>
    </xf>
    <xf numFmtId="0" fontId="34" fillId="7" borderId="32" xfId="0" applyFont="1" applyFill="1" applyBorder="1" applyAlignment="1">
      <alignment horizontal="center" vertical="center"/>
    </xf>
    <xf numFmtId="0" fontId="34" fillId="7" borderId="33" xfId="0" applyFont="1" applyFill="1" applyBorder="1"/>
    <xf numFmtId="0" fontId="34" fillId="7" borderId="34" xfId="0" applyFont="1" applyFill="1" applyBorder="1"/>
    <xf numFmtId="0" fontId="34" fillId="7" borderId="32" xfId="0" applyFont="1" applyFill="1" applyBorder="1" applyAlignment="1">
      <alignment horizontal="center"/>
    </xf>
    <xf numFmtId="0" fontId="34" fillId="7" borderId="32" xfId="0" applyFont="1" applyFill="1" applyBorder="1" applyAlignment="1">
      <alignment horizontal="center" vertical="center" wrapText="1"/>
    </xf>
    <xf numFmtId="0" fontId="29" fillId="0" borderId="32" xfId="0" applyFont="1" applyBorder="1" applyAlignment="1">
      <alignment horizontal="left" vertical="top"/>
    </xf>
    <xf numFmtId="0" fontId="29" fillId="0" borderId="32" xfId="0" applyFont="1" applyBorder="1" applyAlignment="1">
      <alignment vertical="center" wrapText="1"/>
    </xf>
    <xf numFmtId="0" fontId="29" fillId="0" borderId="32" xfId="0" applyFont="1" applyBorder="1"/>
    <xf numFmtId="172" fontId="29" fillId="0" borderId="32" xfId="0" applyNumberFormat="1" applyFont="1" applyBorder="1"/>
    <xf numFmtId="175" fontId="29" fillId="0" borderId="32" xfId="0" applyNumberFormat="1" applyFont="1" applyBorder="1"/>
    <xf numFmtId="0" fontId="29" fillId="8" borderId="32" xfId="0" applyFont="1" applyFill="1" applyBorder="1" applyAlignment="1">
      <alignment horizontal="left" vertical="top"/>
    </xf>
    <xf numFmtId="0" fontId="29" fillId="8" borderId="32" xfId="0" applyFont="1" applyFill="1" applyBorder="1" applyAlignment="1">
      <alignment vertical="center" wrapText="1"/>
    </xf>
    <xf numFmtId="0" fontId="29" fillId="8" borderId="32" xfId="0" applyFont="1" applyFill="1" applyBorder="1"/>
    <xf numFmtId="172" fontId="29" fillId="8" borderId="32" xfId="0" applyNumberFormat="1" applyFont="1" applyFill="1" applyBorder="1"/>
    <xf numFmtId="175" fontId="29" fillId="8" borderId="32" xfId="0" applyNumberFormat="1" applyFont="1" applyFill="1" applyBorder="1"/>
    <xf numFmtId="0" fontId="35" fillId="0" borderId="32" xfId="0" applyFont="1" applyBorder="1" applyAlignment="1">
      <alignment horizontal="left" vertical="top"/>
    </xf>
    <xf numFmtId="0" fontId="36" fillId="0" borderId="32" xfId="0" applyFont="1" applyBorder="1" applyAlignment="1">
      <alignment vertical="center" wrapText="1"/>
    </xf>
    <xf numFmtId="0" fontId="36" fillId="0" borderId="32" xfId="0" applyFont="1" applyBorder="1"/>
    <xf numFmtId="172" fontId="36" fillId="0" borderId="32" xfId="0" applyNumberFormat="1" applyFont="1" applyBorder="1"/>
    <xf numFmtId="175" fontId="36" fillId="0" borderId="32" xfId="0" applyNumberFormat="1" applyFont="1" applyBorder="1"/>
    <xf numFmtId="172" fontId="35" fillId="0" borderId="32" xfId="0" applyNumberFormat="1" applyFont="1" applyBorder="1"/>
    <xf numFmtId="0" fontId="35" fillId="8" borderId="32" xfId="0" applyFont="1" applyFill="1" applyBorder="1" applyAlignment="1">
      <alignment horizontal="right" vertical="top"/>
    </xf>
    <xf numFmtId="0" fontId="29" fillId="8" borderId="32" xfId="0" applyFont="1" applyFill="1" applyBorder="1" applyAlignment="1">
      <alignment horizontal="left" vertical="center" wrapText="1"/>
    </xf>
    <xf numFmtId="0" fontId="35" fillId="0" borderId="32" xfId="0" applyFont="1" applyBorder="1" applyAlignment="1">
      <alignment horizontal="right" vertical="top"/>
    </xf>
    <xf numFmtId="0" fontId="29" fillId="0" borderId="32" xfId="0" applyFont="1" applyBorder="1" applyAlignment="1">
      <alignment horizontal="left" vertical="center" wrapText="1"/>
    </xf>
    <xf numFmtId="0" fontId="34" fillId="6" borderId="32" xfId="0" applyFont="1" applyFill="1" applyBorder="1" applyAlignment="1">
      <alignment vertical="center"/>
    </xf>
    <xf numFmtId="167" fontId="29" fillId="0" borderId="32" xfId="0" applyNumberFormat="1" applyFont="1" applyBorder="1"/>
    <xf numFmtId="176" fontId="29" fillId="0" borderId="32" xfId="0" applyNumberFormat="1" applyFont="1" applyBorder="1"/>
    <xf numFmtId="167" fontId="29" fillId="8" borderId="32" xfId="0" applyNumberFormat="1" applyFont="1" applyFill="1" applyBorder="1"/>
    <xf numFmtId="176" fontId="29" fillId="8" borderId="32" xfId="0" applyNumberFormat="1" applyFont="1" applyFill="1" applyBorder="1"/>
    <xf numFmtId="173" fontId="29" fillId="8" borderId="32" xfId="0" applyNumberFormat="1" applyFont="1" applyFill="1" applyBorder="1"/>
    <xf numFmtId="167" fontId="29" fillId="0" borderId="0" xfId="0" applyNumberFormat="1" applyFont="1"/>
    <xf numFmtId="176" fontId="29" fillId="0" borderId="0" xfId="0" applyNumberFormat="1" applyFont="1"/>
    <xf numFmtId="0" fontId="33" fillId="6" borderId="1" xfId="0" applyFont="1" applyFill="1" applyBorder="1" applyAlignment="1">
      <alignment horizontal="center" vertical="center"/>
    </xf>
    <xf numFmtId="0" fontId="34" fillId="7" borderId="33" xfId="0" applyFont="1" applyFill="1" applyBorder="1" applyAlignment="1">
      <alignment horizontal="center" vertical="center" wrapText="1"/>
    </xf>
    <xf numFmtId="0" fontId="34" fillId="7" borderId="34" xfId="0" applyFont="1" applyFill="1" applyBorder="1" applyAlignment="1">
      <alignment horizontal="center" vertical="center" wrapText="1"/>
    </xf>
    <xf numFmtId="167" fontId="29" fillId="2" borderId="33" xfId="0" applyNumberFormat="1" applyFont="1" applyFill="1" applyBorder="1"/>
    <xf numFmtId="167" fontId="29" fillId="2" borderId="34" xfId="0" applyNumberFormat="1" applyFont="1" applyFill="1" applyBorder="1"/>
    <xf numFmtId="176" fontId="29" fillId="2" borderId="32" xfId="0" applyNumberFormat="1" applyFont="1" applyFill="1" applyBorder="1"/>
    <xf numFmtId="167" fontId="29" fillId="2" borderId="32" xfId="0" applyNumberFormat="1" applyFont="1" applyFill="1" applyBorder="1"/>
    <xf numFmtId="167" fontId="29" fillId="8" borderId="33" xfId="0" applyNumberFormat="1" applyFont="1" applyFill="1" applyBorder="1"/>
    <xf numFmtId="167" fontId="29" fillId="8" borderId="34" xfId="0" applyNumberFormat="1" applyFont="1" applyFill="1" applyBorder="1"/>
    <xf numFmtId="167" fontId="37" fillId="2" borderId="33" xfId="0" applyNumberFormat="1" applyFont="1" applyFill="1" applyBorder="1"/>
    <xf numFmtId="167" fontId="37" fillId="2" borderId="34" xfId="0" applyNumberFormat="1" applyFont="1" applyFill="1" applyBorder="1"/>
    <xf numFmtId="176" fontId="37" fillId="2" borderId="32" xfId="0" applyNumberFormat="1" applyFont="1" applyFill="1" applyBorder="1"/>
    <xf numFmtId="167" fontId="37" fillId="2" borderId="32" xfId="0" applyNumberFormat="1" applyFont="1" applyFill="1" applyBorder="1"/>
    <xf numFmtId="167" fontId="34" fillId="7" borderId="32" xfId="0" applyNumberFormat="1" applyFont="1" applyFill="1" applyBorder="1" applyAlignment="1">
      <alignment horizontal="center" vertical="center" wrapText="1"/>
    </xf>
    <xf numFmtId="167" fontId="37" fillId="8" borderId="33" xfId="0" applyNumberFormat="1" applyFont="1" applyFill="1" applyBorder="1"/>
    <xf numFmtId="167" fontId="37" fillId="8" borderId="34" xfId="0" applyNumberFormat="1" applyFont="1" applyFill="1" applyBorder="1"/>
    <xf numFmtId="176" fontId="37" fillId="8" borderId="32" xfId="0" applyNumberFormat="1" applyFont="1" applyFill="1" applyBorder="1"/>
    <xf numFmtId="167" fontId="37" fillId="8" borderId="32" xfId="0" applyNumberFormat="1" applyFont="1" applyFill="1" applyBorder="1"/>
    <xf numFmtId="0" fontId="38" fillId="0" borderId="0" xfId="0" applyFont="1"/>
    <xf numFmtId="0" fontId="38" fillId="0" borderId="0" xfId="0" applyFont="1" applyAlignment="1">
      <alignment wrapText="1"/>
    </xf>
    <xf numFmtId="1" fontId="39" fillId="0" borderId="0" xfId="0" applyNumberFormat="1" applyFont="1" applyAlignment="1">
      <alignment horizontal="center" vertical="center"/>
    </xf>
    <xf numFmtId="170" fontId="17" fillId="0" borderId="0" xfId="0" applyNumberFormat="1" applyFont="1"/>
    <xf numFmtId="0" fontId="20" fillId="2" borderId="1" xfId="0" applyFont="1" applyFill="1" applyBorder="1" applyAlignment="1">
      <alignment horizontal="left"/>
    </xf>
    <xf numFmtId="0" fontId="21" fillId="2" borderId="1" xfId="0" applyFont="1" applyFill="1" applyBorder="1"/>
    <xf numFmtId="0" fontId="22" fillId="3" borderId="5" xfId="0" applyFont="1" applyFill="1" applyBorder="1" applyAlignment="1">
      <alignment horizontal="left"/>
    </xf>
    <xf numFmtId="0" fontId="22" fillId="3" borderId="6" xfId="0" applyFont="1" applyFill="1" applyBorder="1" applyAlignment="1">
      <alignment horizontal="left"/>
    </xf>
    <xf numFmtId="0" fontId="22" fillId="3" borderId="5" xfId="0" applyFont="1" applyFill="1" applyBorder="1" applyAlignment="1">
      <alignment horizontal="center" wrapText="1"/>
    </xf>
    <xf numFmtId="0" fontId="23" fillId="4" borderId="7" xfId="0" applyFont="1" applyFill="1" applyBorder="1" applyAlignment="1">
      <alignment horizontal="left" wrapText="1"/>
    </xf>
    <xf numFmtId="0" fontId="23" fillId="4" borderId="7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wrapText="1"/>
    </xf>
    <xf numFmtId="0" fontId="17" fillId="0" borderId="0" xfId="0" applyFont="1" applyAlignment="1">
      <alignment horizontal="center" vertical="center"/>
    </xf>
    <xf numFmtId="171" fontId="17" fillId="0" borderId="0" xfId="0" applyNumberFormat="1" applyFont="1"/>
    <xf numFmtId="0" fontId="17" fillId="5" borderId="1" xfId="0" applyFont="1" applyFill="1" applyBorder="1"/>
    <xf numFmtId="0" fontId="17" fillId="9" borderId="1" xfId="0" applyFont="1" applyFill="1" applyBorder="1"/>
    <xf numFmtId="9" fontId="17" fillId="9" borderId="1" xfId="0" applyNumberFormat="1" applyFont="1" applyFill="1" applyBorder="1"/>
    <xf numFmtId="0" fontId="40" fillId="10" borderId="1" xfId="0" applyFont="1" applyFill="1" applyBorder="1" applyAlignment="1">
      <alignment horizontal="center" vertical="center"/>
    </xf>
    <xf numFmtId="2" fontId="17" fillId="10" borderId="1" xfId="0" applyNumberFormat="1" applyFont="1" applyFill="1" applyBorder="1"/>
    <xf numFmtId="0" fontId="40" fillId="0" borderId="0" xfId="0" applyFont="1" applyAlignment="1">
      <alignment horizontal="center" vertical="center"/>
    </xf>
    <xf numFmtId="2" fontId="17" fillId="0" borderId="0" xfId="0" applyNumberFormat="1" applyFont="1"/>
    <xf numFmtId="171" fontId="17" fillId="9" borderId="1" xfId="0" applyNumberFormat="1" applyFont="1" applyFill="1" applyBorder="1"/>
    <xf numFmtId="170" fontId="17" fillId="9" borderId="1" xfId="0" applyNumberFormat="1" applyFont="1" applyFill="1" applyBorder="1"/>
    <xf numFmtId="168" fontId="17" fillId="9" borderId="1" xfId="0" applyNumberFormat="1" applyFont="1" applyFill="1" applyBorder="1"/>
    <xf numFmtId="170" fontId="17" fillId="10" borderId="1" xfId="0" applyNumberFormat="1" applyFont="1" applyFill="1" applyBorder="1"/>
    <xf numFmtId="0" fontId="40" fillId="0" borderId="0" xfId="0" applyFont="1" applyAlignment="1">
      <alignment horizontal="center"/>
    </xf>
    <xf numFmtId="9" fontId="17" fillId="0" borderId="0" xfId="0" applyNumberFormat="1" applyFont="1"/>
    <xf numFmtId="0" fontId="17" fillId="11" borderId="41" xfId="0" applyFont="1" applyFill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0" borderId="0" xfId="0" applyNumberFormat="1" applyFont="1"/>
    <xf numFmtId="177" fontId="17" fillId="11" borderId="41" xfId="0" applyNumberFormat="1" applyFont="1" applyFill="1" applyBorder="1" applyAlignment="1">
      <alignment horizontal="center" vertical="center"/>
    </xf>
    <xf numFmtId="0" fontId="25" fillId="2" borderId="1" xfId="0" applyFont="1" applyFill="1" applyBorder="1"/>
    <xf numFmtId="0" fontId="41" fillId="2" borderId="1" xfId="0" applyFont="1" applyFill="1" applyBorder="1"/>
    <xf numFmtId="0" fontId="41" fillId="0" borderId="0" xfId="0" applyFont="1"/>
    <xf numFmtId="165" fontId="41" fillId="0" borderId="0" xfId="0" applyNumberFormat="1" applyFont="1"/>
    <xf numFmtId="0" fontId="28" fillId="3" borderId="5" xfId="0" applyFont="1" applyFill="1" applyBorder="1" applyAlignment="1">
      <alignment vertical="center"/>
    </xf>
    <xf numFmtId="0" fontId="28" fillId="3" borderId="6" xfId="0" applyFont="1" applyFill="1" applyBorder="1" applyAlignment="1">
      <alignment horizontal="left"/>
    </xf>
    <xf numFmtId="0" fontId="28" fillId="3" borderId="6" xfId="0" applyFont="1" applyFill="1" applyBorder="1" applyAlignment="1">
      <alignment horizontal="center" vertical="center"/>
    </xf>
    <xf numFmtId="0" fontId="28" fillId="2" borderId="1" xfId="0" applyFont="1" applyFill="1" applyBorder="1" applyAlignment="1">
      <alignment horizontal="center" vertical="center"/>
    </xf>
    <xf numFmtId="165" fontId="28" fillId="3" borderId="6" xfId="0" applyNumberFormat="1" applyFont="1" applyFill="1" applyBorder="1" applyAlignment="1">
      <alignment horizontal="left"/>
    </xf>
    <xf numFmtId="0" fontId="25" fillId="4" borderId="5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vertical="center"/>
    </xf>
    <xf numFmtId="0" fontId="25" fillId="2" borderId="1" xfId="0" applyFont="1" applyFill="1" applyBorder="1" applyAlignment="1">
      <alignment horizontal="left"/>
    </xf>
    <xf numFmtId="0" fontId="25" fillId="4" borderId="6" xfId="0" applyFont="1" applyFill="1" applyBorder="1" applyAlignment="1">
      <alignment horizontal="left" wrapText="1"/>
    </xf>
    <xf numFmtId="0" fontId="25" fillId="2" borderId="1" xfId="0" applyFont="1" applyFill="1" applyBorder="1" applyAlignment="1">
      <alignment horizontal="center" wrapText="1"/>
    </xf>
    <xf numFmtId="170" fontId="25" fillId="0" borderId="0" xfId="0" applyNumberFormat="1" applyFont="1"/>
    <xf numFmtId="0" fontId="25" fillId="0" borderId="0" xfId="0" applyFont="1" applyAlignment="1">
      <alignment horizontal="center" vertical="center"/>
    </xf>
    <xf numFmtId="170" fontId="25" fillId="2" borderId="1" xfId="0" applyNumberFormat="1" applyFont="1" applyFill="1" applyBorder="1"/>
    <xf numFmtId="0" fontId="21" fillId="2" borderId="1" xfId="0" applyFont="1" applyFill="1" applyBorder="1" applyAlignment="1">
      <alignment vertical="center" wrapText="1"/>
    </xf>
    <xf numFmtId="170" fontId="21" fillId="2" borderId="1" xfId="0" applyNumberFormat="1" applyFont="1" applyFill="1" applyBorder="1" applyAlignment="1">
      <alignment wrapText="1"/>
    </xf>
    <xf numFmtId="165" fontId="25" fillId="0" borderId="0" xfId="0" applyNumberFormat="1" applyFont="1" applyAlignment="1">
      <alignment wrapText="1"/>
    </xf>
    <xf numFmtId="0" fontId="25" fillId="0" borderId="0" xfId="0" applyFont="1" applyAlignment="1">
      <alignment wrapText="1"/>
    </xf>
    <xf numFmtId="9" fontId="25" fillId="0" borderId="0" xfId="0" applyNumberFormat="1" applyFont="1" applyAlignment="1">
      <alignment horizontal="center" vertical="center" wrapText="1"/>
    </xf>
    <xf numFmtId="9" fontId="25" fillId="0" borderId="0" xfId="0" applyNumberFormat="1" applyFont="1" applyAlignment="1">
      <alignment wrapText="1"/>
    </xf>
    <xf numFmtId="165" fontId="25" fillId="2" borderId="1" xfId="0" applyNumberFormat="1" applyFont="1" applyFill="1" applyBorder="1" applyAlignment="1">
      <alignment horizontal="left" wrapText="1"/>
    </xf>
    <xf numFmtId="165" fontId="25" fillId="0" borderId="0" xfId="0" applyNumberFormat="1" applyFont="1"/>
    <xf numFmtId="9" fontId="25" fillId="0" borderId="0" xfId="0" applyNumberFormat="1" applyFont="1" applyAlignment="1">
      <alignment horizontal="center" vertical="center"/>
    </xf>
    <xf numFmtId="9" fontId="25" fillId="0" borderId="0" xfId="0" applyNumberFormat="1" applyFont="1"/>
    <xf numFmtId="0" fontId="17" fillId="11" borderId="1" xfId="0" applyFont="1" applyFill="1" applyBorder="1"/>
    <xf numFmtId="0" fontId="18" fillId="11" borderId="1" xfId="0" applyFont="1" applyFill="1" applyBorder="1" applyAlignment="1">
      <alignment horizontal="center"/>
    </xf>
    <xf numFmtId="0" fontId="17" fillId="11" borderId="1" xfId="0" applyFont="1" applyFill="1" applyBorder="1" applyAlignment="1">
      <alignment horizontal="center"/>
    </xf>
    <xf numFmtId="0" fontId="17" fillId="11" borderId="1" xfId="0" applyFont="1" applyFill="1" applyBorder="1" applyAlignment="1">
      <alignment horizontal="center" vertical="center"/>
    </xf>
    <xf numFmtId="9" fontId="17" fillId="11" borderId="1" xfId="0" applyNumberFormat="1" applyFont="1" applyFill="1" applyBorder="1"/>
    <xf numFmtId="10" fontId="17" fillId="0" borderId="0" xfId="0" applyNumberFormat="1" applyFont="1"/>
    <xf numFmtId="178" fontId="17" fillId="0" borderId="0" xfId="0" applyNumberFormat="1" applyFont="1"/>
    <xf numFmtId="0" fontId="20" fillId="0" borderId="0" xfId="0" applyFont="1"/>
    <xf numFmtId="0" fontId="21" fillId="0" borderId="0" xfId="0" applyFont="1"/>
    <xf numFmtId="0" fontId="22" fillId="3" borderId="6" xfId="0" applyFont="1" applyFill="1" applyBorder="1" applyAlignment="1">
      <alignment vertical="center"/>
    </xf>
    <xf numFmtId="0" fontId="22" fillId="3" borderId="6" xfId="0" applyFont="1" applyFill="1" applyBorder="1" applyAlignment="1">
      <alignment horizontal="center" vertical="center"/>
    </xf>
    <xf numFmtId="170" fontId="21" fillId="2" borderId="1" xfId="0" applyNumberFormat="1" applyFont="1" applyFill="1" applyBorder="1" applyAlignment="1">
      <alignment horizontal="center"/>
    </xf>
    <xf numFmtId="170" fontId="17" fillId="2" borderId="1" xfId="0" applyNumberFormat="1" applyFont="1" applyFill="1" applyBorder="1" applyAlignment="1">
      <alignment horizontal="center"/>
    </xf>
    <xf numFmtId="170" fontId="17" fillId="0" borderId="0" xfId="0" applyNumberFormat="1" applyFont="1" applyAlignment="1">
      <alignment horizontal="center"/>
    </xf>
    <xf numFmtId="170" fontId="24" fillId="0" borderId="0" xfId="0" applyNumberFormat="1" applyFont="1"/>
    <xf numFmtId="0" fontId="28" fillId="0" borderId="11" xfId="0" applyFont="1" applyBorder="1" applyAlignment="1">
      <alignment horizontal="center"/>
    </xf>
    <xf numFmtId="0" fontId="28" fillId="0" borderId="17" xfId="0" applyFont="1" applyBorder="1" applyAlignment="1">
      <alignment horizontal="center"/>
    </xf>
    <xf numFmtId="0" fontId="42" fillId="2" borderId="1" xfId="0" applyFont="1" applyFill="1" applyBorder="1"/>
    <xf numFmtId="0" fontId="42" fillId="0" borderId="0" xfId="0" applyFont="1"/>
    <xf numFmtId="179" fontId="17" fillId="0" borderId="0" xfId="0" applyNumberFormat="1" applyFont="1"/>
    <xf numFmtId="0" fontId="17" fillId="12" borderId="1" xfId="0" applyFont="1" applyFill="1" applyBorder="1"/>
    <xf numFmtId="0" fontId="43" fillId="0" borderId="0" xfId="0" applyFont="1"/>
    <xf numFmtId="0" fontId="20" fillId="0" borderId="0" xfId="0" applyFont="1" applyAlignment="1">
      <alignment horizontal="left"/>
    </xf>
    <xf numFmtId="0" fontId="22" fillId="3" borderId="7" xfId="0" applyFont="1" applyFill="1" applyBorder="1" applyAlignment="1">
      <alignment horizontal="left" vertical="center"/>
    </xf>
    <xf numFmtId="0" fontId="22" fillId="3" borderId="7" xfId="0" applyFont="1" applyFill="1" applyBorder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170" fontId="17" fillId="0" borderId="0" xfId="0" applyNumberFormat="1" applyFont="1" applyAlignment="1">
      <alignment horizontal="center" vertical="center"/>
    </xf>
    <xf numFmtId="0" fontId="44" fillId="0" borderId="0" xfId="0" applyFont="1"/>
    <xf numFmtId="0" fontId="45" fillId="0" borderId="0" xfId="0" applyFont="1"/>
    <xf numFmtId="0" fontId="38" fillId="0" borderId="0" xfId="0" applyFont="1" applyAlignment="1">
      <alignment horizontal="center" vertical="center"/>
    </xf>
    <xf numFmtId="167" fontId="38" fillId="0" borderId="0" xfId="0" applyNumberFormat="1" applyFont="1" applyAlignment="1">
      <alignment horizontal="center" vertical="center"/>
    </xf>
    <xf numFmtId="9" fontId="17" fillId="0" borderId="0" xfId="0" applyNumberFormat="1" applyFont="1" applyAlignment="1">
      <alignment horizontal="center" vertical="center"/>
    </xf>
    <xf numFmtId="167" fontId="17" fillId="0" borderId="0" xfId="0" applyNumberFormat="1" applyFont="1"/>
    <xf numFmtId="167" fontId="17" fillId="0" borderId="0" xfId="0" applyNumberFormat="1" applyFont="1" applyAlignment="1">
      <alignment horizontal="center" vertical="center"/>
    </xf>
    <xf numFmtId="9" fontId="17" fillId="0" borderId="0" xfId="0" applyNumberFormat="1" applyFont="1" applyAlignment="1">
      <alignment horizontal="center"/>
    </xf>
    <xf numFmtId="175" fontId="17" fillId="0" borderId="0" xfId="0" applyNumberFormat="1" applyFont="1"/>
    <xf numFmtId="0" fontId="29" fillId="0" borderId="0" xfId="0" applyFont="1" applyAlignment="1">
      <alignment horizontal="center" vertical="center"/>
    </xf>
    <xf numFmtId="167" fontId="17" fillId="0" borderId="0" xfId="0" applyNumberFormat="1" applyFont="1" applyAlignment="1">
      <alignment horizontal="center"/>
    </xf>
    <xf numFmtId="172" fontId="17" fillId="0" borderId="0" xfId="0" applyNumberFormat="1" applyFont="1"/>
    <xf numFmtId="0" fontId="29" fillId="10" borderId="43" xfId="0" applyFont="1" applyFill="1" applyBorder="1"/>
    <xf numFmtId="0" fontId="18" fillId="10" borderId="5" xfId="0" applyFont="1" applyFill="1" applyBorder="1"/>
    <xf numFmtId="0" fontId="17" fillId="10" borderId="5" xfId="0" applyFont="1" applyFill="1" applyBorder="1"/>
    <xf numFmtId="0" fontId="17" fillId="10" borderId="44" xfId="0" applyFont="1" applyFill="1" applyBorder="1"/>
    <xf numFmtId="0" fontId="29" fillId="0" borderId="21" xfId="0" applyFont="1" applyBorder="1"/>
    <xf numFmtId="0" fontId="17" fillId="0" borderId="12" xfId="0" applyFont="1" applyBorder="1"/>
    <xf numFmtId="0" fontId="17" fillId="10" borderId="1" xfId="0" applyFont="1" applyFill="1" applyBorder="1"/>
    <xf numFmtId="9" fontId="17" fillId="10" borderId="1" xfId="0" applyNumberFormat="1" applyFont="1" applyFill="1" applyBorder="1"/>
    <xf numFmtId="0" fontId="29" fillId="10" borderId="45" xfId="0" applyFont="1" applyFill="1" applyBorder="1"/>
    <xf numFmtId="9" fontId="17" fillId="2" borderId="1" xfId="0" applyNumberFormat="1" applyFont="1" applyFill="1" applyBorder="1"/>
    <xf numFmtId="0" fontId="29" fillId="0" borderId="23" xfId="0" applyFont="1" applyBorder="1"/>
    <xf numFmtId="10" fontId="17" fillId="0" borderId="18" xfId="0" applyNumberFormat="1" applyFont="1" applyBorder="1"/>
    <xf numFmtId="0" fontId="17" fillId="0" borderId="19" xfId="0" applyFont="1" applyBorder="1"/>
    <xf numFmtId="10" fontId="17" fillId="0" borderId="0" xfId="0" applyNumberFormat="1" applyFont="1" applyAlignment="1">
      <alignment horizontal="center" vertical="center"/>
    </xf>
    <xf numFmtId="10" fontId="17" fillId="0" borderId="0" xfId="0" applyNumberFormat="1" applyFont="1" applyAlignment="1">
      <alignment horizontal="center"/>
    </xf>
    <xf numFmtId="2" fontId="17" fillId="0" borderId="15" xfId="0" applyNumberFormat="1" applyFont="1" applyBorder="1"/>
    <xf numFmtId="2" fontId="17" fillId="0" borderId="16" xfId="0" applyNumberFormat="1" applyFont="1" applyBorder="1"/>
    <xf numFmtId="2" fontId="17" fillId="0" borderId="12" xfId="0" applyNumberFormat="1" applyFont="1" applyBorder="1"/>
    <xf numFmtId="2" fontId="17" fillId="0" borderId="18" xfId="0" applyNumberFormat="1" applyFont="1" applyBorder="1"/>
    <xf numFmtId="2" fontId="17" fillId="0" borderId="19" xfId="0" applyNumberFormat="1" applyFont="1" applyBorder="1"/>
    <xf numFmtId="0" fontId="17" fillId="2" borderId="45" xfId="0" applyFont="1" applyFill="1" applyBorder="1" applyAlignment="1">
      <alignment horizontal="center" vertical="center"/>
    </xf>
    <xf numFmtId="0" fontId="17" fillId="2" borderId="46" xfId="0" applyFont="1" applyFill="1" applyBorder="1" applyAlignment="1">
      <alignment horizontal="center" vertical="center"/>
    </xf>
    <xf numFmtId="9" fontId="17" fillId="2" borderId="1" xfId="0" applyNumberFormat="1" applyFont="1" applyFill="1" applyBorder="1" applyAlignment="1">
      <alignment horizontal="center" vertical="center"/>
    </xf>
    <xf numFmtId="9" fontId="17" fillId="2" borderId="46" xfId="0" applyNumberFormat="1" applyFont="1" applyFill="1" applyBorder="1" applyAlignment="1">
      <alignment horizontal="center" vertical="center"/>
    </xf>
    <xf numFmtId="0" fontId="17" fillId="2" borderId="48" xfId="0" applyFont="1" applyFill="1" applyBorder="1" applyAlignment="1">
      <alignment horizontal="center" vertical="center"/>
    </xf>
    <xf numFmtId="0" fontId="17" fillId="2" borderId="50" xfId="0" applyFont="1" applyFill="1" applyBorder="1" applyAlignment="1">
      <alignment horizontal="center" vertical="center"/>
    </xf>
    <xf numFmtId="0" fontId="18" fillId="0" borderId="0" xfId="0" applyFont="1" applyAlignment="1">
      <alignment horizontal="right"/>
    </xf>
    <xf numFmtId="165" fontId="46" fillId="0" borderId="0" xfId="0" applyNumberFormat="1" applyFont="1"/>
    <xf numFmtId="0" fontId="17" fillId="0" borderId="0" xfId="0" applyFont="1"/>
    <xf numFmtId="0" fontId="46" fillId="0" borderId="0" xfId="0" applyFont="1"/>
    <xf numFmtId="0" fontId="17" fillId="0" borderId="0" xfId="0" applyFont="1" applyAlignment="1">
      <alignment horizontal="right"/>
    </xf>
    <xf numFmtId="165" fontId="18" fillId="3" borderId="51" xfId="0" applyNumberFormat="1" applyFont="1" applyFill="1" applyBorder="1" applyAlignment="1">
      <alignment horizontal="left"/>
    </xf>
    <xf numFmtId="165" fontId="18" fillId="3" borderId="6" xfId="0" applyNumberFormat="1" applyFont="1" applyFill="1" applyBorder="1" applyAlignment="1">
      <alignment horizontal="left"/>
    </xf>
    <xf numFmtId="165" fontId="18" fillId="3" borderId="52" xfId="0" applyNumberFormat="1" applyFont="1" applyFill="1" applyBorder="1" applyAlignment="1">
      <alignment horizontal="left"/>
    </xf>
    <xf numFmtId="0" fontId="22" fillId="10" borderId="51" xfId="0" applyFont="1" applyFill="1" applyBorder="1" applyAlignment="1">
      <alignment horizontal="center" vertical="center"/>
    </xf>
    <xf numFmtId="0" fontId="22" fillId="3" borderId="52" xfId="0" applyFont="1" applyFill="1" applyBorder="1" applyAlignment="1">
      <alignment horizontal="center" vertical="center"/>
    </xf>
    <xf numFmtId="0" fontId="46" fillId="2" borderId="1" xfId="0" applyFont="1" applyFill="1" applyBorder="1" applyAlignment="1">
      <alignment horizontal="center" vertical="center"/>
    </xf>
    <xf numFmtId="0" fontId="22" fillId="13" borderId="6" xfId="0" applyFont="1" applyFill="1" applyBorder="1" applyAlignment="1">
      <alignment horizontal="center" vertical="center"/>
    </xf>
    <xf numFmtId="0" fontId="17" fillId="0" borderId="0" xfId="0" applyFont="1" applyAlignment="1">
      <alignment horizontal="left" vertical="center"/>
    </xf>
    <xf numFmtId="165" fontId="21" fillId="2" borderId="1" xfId="0" applyNumberFormat="1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2" fontId="21" fillId="9" borderId="1" xfId="0" applyNumberFormat="1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left" vertical="center" wrapText="1"/>
    </xf>
    <xf numFmtId="180" fontId="17" fillId="0" borderId="0" xfId="0" applyNumberFormat="1" applyFont="1"/>
    <xf numFmtId="0" fontId="17" fillId="2" borderId="1" xfId="0" applyFont="1" applyFill="1" applyBorder="1" applyAlignment="1">
      <alignment horizontal="left"/>
    </xf>
    <xf numFmtId="0" fontId="18" fillId="0" borderId="18" xfId="0" applyFont="1" applyBorder="1" applyAlignment="1">
      <alignment horizontal="center"/>
    </xf>
    <xf numFmtId="2" fontId="47" fillId="0" borderId="0" xfId="0" applyNumberFormat="1" applyFont="1"/>
    <xf numFmtId="0" fontId="47" fillId="0" borderId="0" xfId="0" applyFont="1"/>
    <xf numFmtId="165" fontId="46" fillId="2" borderId="1" xfId="0" applyNumberFormat="1" applyFont="1" applyFill="1" applyBorder="1"/>
    <xf numFmtId="165" fontId="17" fillId="2" borderId="1" xfId="0" applyNumberFormat="1" applyFont="1" applyFill="1" applyBorder="1"/>
    <xf numFmtId="165" fontId="17" fillId="2" borderId="1" xfId="0" applyNumberFormat="1" applyFont="1" applyFill="1" applyBorder="1" applyAlignment="1">
      <alignment horizontal="left" wrapText="1"/>
    </xf>
    <xf numFmtId="0" fontId="17" fillId="14" borderId="1" xfId="0" applyFont="1" applyFill="1" applyBorder="1" applyAlignment="1">
      <alignment horizontal="right"/>
    </xf>
    <xf numFmtId="171" fontId="17" fillId="14" borderId="1" xfId="0" applyNumberFormat="1" applyFont="1" applyFill="1" applyBorder="1"/>
    <xf numFmtId="0" fontId="17" fillId="14" borderId="1" xfId="0" applyFont="1" applyFill="1" applyBorder="1"/>
    <xf numFmtId="0" fontId="18" fillId="10" borderId="51" xfId="0" applyFont="1" applyFill="1" applyBorder="1" applyAlignment="1">
      <alignment horizontal="center" vertical="center"/>
    </xf>
    <xf numFmtId="0" fontId="18" fillId="10" borderId="6" xfId="0" applyFont="1" applyFill="1" applyBorder="1" applyAlignment="1">
      <alignment horizontal="center" vertical="center"/>
    </xf>
    <xf numFmtId="0" fontId="18" fillId="10" borderId="52" xfId="0" applyFont="1" applyFill="1" applyBorder="1" applyAlignment="1">
      <alignment horizontal="center" vertical="center"/>
    </xf>
    <xf numFmtId="165" fontId="17" fillId="2" borderId="1" xfId="0" applyNumberFormat="1" applyFont="1" applyFill="1" applyBorder="1" applyAlignment="1">
      <alignment horizontal="center" vertical="center"/>
    </xf>
    <xf numFmtId="0" fontId="17" fillId="15" borderId="1" xfId="0" applyFont="1" applyFill="1" applyBorder="1"/>
    <xf numFmtId="0" fontId="17" fillId="16" borderId="1" xfId="0" applyFont="1" applyFill="1" applyBorder="1"/>
    <xf numFmtId="0" fontId="18" fillId="12" borderId="6" xfId="0" applyFont="1" applyFill="1" applyBorder="1" applyAlignment="1">
      <alignment horizontal="center" vertical="center"/>
    </xf>
    <xf numFmtId="10" fontId="48" fillId="0" borderId="0" xfId="0" applyNumberFormat="1" applyFont="1"/>
    <xf numFmtId="2" fontId="17" fillId="0" borderId="0" xfId="0" applyNumberFormat="1" applyFont="1" applyAlignment="1">
      <alignment horizontal="right"/>
    </xf>
    <xf numFmtId="9" fontId="17" fillId="0" borderId="12" xfId="0" applyNumberFormat="1" applyFont="1" applyBorder="1"/>
    <xf numFmtId="0" fontId="18" fillId="0" borderId="18" xfId="0" applyFont="1" applyBorder="1" applyAlignment="1">
      <alignment horizontal="right"/>
    </xf>
    <xf numFmtId="2" fontId="17" fillId="0" borderId="0" xfId="0" applyNumberFormat="1" applyFont="1" applyAlignment="1">
      <alignment horizontal="center"/>
    </xf>
    <xf numFmtId="9" fontId="17" fillId="0" borderId="0" xfId="0" applyNumberFormat="1" applyFont="1" applyAlignment="1">
      <alignment horizontal="right"/>
    </xf>
    <xf numFmtId="9" fontId="48" fillId="0" borderId="0" xfId="0" applyNumberFormat="1" applyFont="1" applyAlignment="1">
      <alignment horizontal="center"/>
    </xf>
    <xf numFmtId="9" fontId="48" fillId="0" borderId="0" xfId="0" applyNumberFormat="1" applyFont="1"/>
    <xf numFmtId="9" fontId="17" fillId="2" borderId="53" xfId="0" applyNumberFormat="1" applyFont="1" applyFill="1" applyBorder="1"/>
    <xf numFmtId="2" fontId="17" fillId="2" borderId="1" xfId="0" applyNumberFormat="1" applyFont="1" applyFill="1" applyBorder="1"/>
    <xf numFmtId="0" fontId="22" fillId="10" borderId="6" xfId="0" applyFont="1" applyFill="1" applyBorder="1" applyAlignment="1">
      <alignment horizontal="center" vertical="center"/>
    </xf>
    <xf numFmtId="0" fontId="22" fillId="10" borderId="52" xfId="0" applyFont="1" applyFill="1" applyBorder="1" applyAlignment="1">
      <alignment horizontal="center" vertical="center"/>
    </xf>
    <xf numFmtId="0" fontId="22" fillId="10" borderId="1" xfId="0" applyFont="1" applyFill="1" applyBorder="1" applyAlignment="1">
      <alignment horizontal="center" vertical="center"/>
    </xf>
    <xf numFmtId="10" fontId="49" fillId="0" borderId="0" xfId="0" applyNumberFormat="1" applyFont="1"/>
    <xf numFmtId="0" fontId="17" fillId="5" borderId="1" xfId="0" applyFont="1" applyFill="1" applyBorder="1" applyAlignment="1">
      <alignment horizontal="right"/>
    </xf>
    <xf numFmtId="9" fontId="17" fillId="5" borderId="1" xfId="0" applyNumberFormat="1" applyFont="1" applyFill="1" applyBorder="1"/>
    <xf numFmtId="9" fontId="17" fillId="14" borderId="1" xfId="0" applyNumberFormat="1" applyFont="1" applyFill="1" applyBorder="1"/>
    <xf numFmtId="0" fontId="40" fillId="0" borderId="0" xfId="0" applyFont="1" applyAlignment="1">
      <alignment horizontal="right"/>
    </xf>
    <xf numFmtId="0" fontId="40" fillId="0" borderId="0" xfId="0" applyFont="1"/>
    <xf numFmtId="172" fontId="17" fillId="2" borderId="1" xfId="0" applyNumberFormat="1" applyFont="1" applyFill="1" applyBorder="1"/>
    <xf numFmtId="0" fontId="46" fillId="0" borderId="0" xfId="0" applyFont="1" applyAlignment="1">
      <alignment horizontal="center" vertical="center"/>
    </xf>
    <xf numFmtId="0" fontId="18" fillId="10" borderId="52" xfId="0" applyFont="1" applyFill="1" applyBorder="1" applyAlignment="1">
      <alignment horizontal="center" vertical="center" wrapText="1"/>
    </xf>
    <xf numFmtId="175" fontId="17" fillId="2" borderId="1" xfId="0" applyNumberFormat="1" applyFont="1" applyFill="1" applyBorder="1"/>
    <xf numFmtId="165" fontId="17" fillId="2" borderId="1" xfId="0" applyNumberFormat="1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1" fontId="17" fillId="2" borderId="1" xfId="0" applyNumberFormat="1" applyFont="1" applyFill="1" applyBorder="1" applyAlignment="1">
      <alignment horizontal="center" vertical="center"/>
    </xf>
    <xf numFmtId="181" fontId="17" fillId="2" borderId="1" xfId="0" applyNumberFormat="1" applyFont="1" applyFill="1" applyBorder="1"/>
    <xf numFmtId="165" fontId="17" fillId="0" borderId="0" xfId="0" applyNumberFormat="1" applyFont="1" applyAlignment="1">
      <alignment horizontal="center" vertical="center"/>
    </xf>
    <xf numFmtId="0" fontId="17" fillId="2" borderId="1" xfId="0" applyFont="1" applyFill="1" applyBorder="1" applyAlignment="1">
      <alignment horizontal="center" vertical="center" wrapText="1"/>
    </xf>
    <xf numFmtId="2" fontId="17" fillId="2" borderId="1" xfId="0" applyNumberFormat="1" applyFont="1" applyFill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7" fillId="0" borderId="0" xfId="0" applyFont="1" applyAlignment="1">
      <alignment horizontal="right" vertical="center"/>
    </xf>
    <xf numFmtId="171" fontId="17" fillId="0" borderId="0" xfId="0" applyNumberFormat="1" applyFont="1" applyAlignment="1">
      <alignment horizontal="center" vertical="center"/>
    </xf>
    <xf numFmtId="168" fontId="17" fillId="0" borderId="0" xfId="0" applyNumberFormat="1" applyFont="1" applyAlignment="1">
      <alignment horizontal="center" vertical="center"/>
    </xf>
    <xf numFmtId="180" fontId="17" fillId="0" borderId="0" xfId="0" applyNumberFormat="1" applyFont="1" applyAlignment="1">
      <alignment horizontal="center"/>
    </xf>
    <xf numFmtId="0" fontId="46" fillId="2" borderId="1" xfId="0" applyFont="1" applyFill="1" applyBorder="1" applyAlignment="1">
      <alignment horizontal="left"/>
    </xf>
    <xf numFmtId="0" fontId="18" fillId="10" borderId="6" xfId="0" applyFont="1" applyFill="1" applyBorder="1" applyAlignment="1">
      <alignment horizontal="center" vertical="center" wrapText="1"/>
    </xf>
    <xf numFmtId="1" fontId="17" fillId="5" borderId="1" xfId="0" applyNumberFormat="1" applyFont="1" applyFill="1" applyBorder="1" applyAlignment="1">
      <alignment horizontal="center" vertical="center"/>
    </xf>
    <xf numFmtId="9" fontId="17" fillId="2" borderId="1" xfId="0" applyNumberFormat="1" applyFont="1" applyFill="1" applyBorder="1" applyAlignment="1">
      <alignment horizontal="center"/>
    </xf>
    <xf numFmtId="171" fontId="17" fillId="2" borderId="1" xfId="0" applyNumberFormat="1" applyFont="1" applyFill="1" applyBorder="1"/>
    <xf numFmtId="1" fontId="17" fillId="0" borderId="0" xfId="0" applyNumberFormat="1" applyFont="1" applyAlignment="1">
      <alignment horizontal="center"/>
    </xf>
    <xf numFmtId="2" fontId="17" fillId="14" borderId="1" xfId="0" applyNumberFormat="1" applyFont="1" applyFill="1" applyBorder="1"/>
    <xf numFmtId="171" fontId="17" fillId="2" borderId="1" xfId="0" applyNumberFormat="1" applyFont="1" applyFill="1" applyBorder="1" applyAlignment="1">
      <alignment horizontal="right"/>
    </xf>
    <xf numFmtId="0" fontId="22" fillId="10" borderId="6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2" fontId="21" fillId="5" borderId="1" xfId="0" applyNumberFormat="1" applyFont="1" applyFill="1" applyBorder="1" applyAlignment="1">
      <alignment horizontal="center" vertical="center"/>
    </xf>
    <xf numFmtId="170" fontId="17" fillId="2" borderId="1" xfId="0" applyNumberFormat="1" applyFont="1" applyFill="1" applyBorder="1"/>
    <xf numFmtId="0" fontId="21" fillId="2" borderId="51" xfId="0" applyFont="1" applyFill="1" applyBorder="1" applyAlignment="1">
      <alignment horizontal="center" vertical="center" wrapText="1"/>
    </xf>
    <xf numFmtId="0" fontId="21" fillId="2" borderId="6" xfId="0" applyFont="1" applyFill="1" applyBorder="1" applyAlignment="1">
      <alignment horizontal="center" vertical="center" wrapText="1"/>
    </xf>
    <xf numFmtId="0" fontId="17" fillId="2" borderId="6" xfId="0" applyFont="1" applyFill="1" applyBorder="1" applyAlignment="1">
      <alignment horizontal="center"/>
    </xf>
    <xf numFmtId="0" fontId="17" fillId="2" borderId="6" xfId="0" applyFont="1" applyFill="1" applyBorder="1"/>
    <xf numFmtId="10" fontId="21" fillId="5" borderId="52" xfId="0" applyNumberFormat="1" applyFont="1" applyFill="1" applyBorder="1" applyAlignment="1">
      <alignment horizontal="center" vertical="center"/>
    </xf>
    <xf numFmtId="10" fontId="21" fillId="2" borderId="1" xfId="0" applyNumberFormat="1" applyFont="1" applyFill="1" applyBorder="1" applyAlignment="1">
      <alignment horizontal="center" vertical="center"/>
    </xf>
    <xf numFmtId="9" fontId="21" fillId="2" borderId="1" xfId="0" applyNumberFormat="1" applyFont="1" applyFill="1" applyBorder="1"/>
    <xf numFmtId="2" fontId="21" fillId="2" borderId="1" xfId="0" applyNumberFormat="1" applyFont="1" applyFill="1" applyBorder="1" applyAlignment="1">
      <alignment horizontal="center" vertical="center"/>
    </xf>
    <xf numFmtId="168" fontId="17" fillId="2" borderId="1" xfId="0" applyNumberFormat="1" applyFont="1" applyFill="1" applyBorder="1"/>
    <xf numFmtId="165" fontId="17" fillId="2" borderId="1" xfId="0" applyNumberFormat="1" applyFont="1" applyFill="1" applyBorder="1" applyAlignment="1">
      <alignment horizontal="center"/>
    </xf>
    <xf numFmtId="1" fontId="17" fillId="2" borderId="1" xfId="0" applyNumberFormat="1" applyFont="1" applyFill="1" applyBorder="1"/>
    <xf numFmtId="165" fontId="21" fillId="14" borderId="1" xfId="0" applyNumberFormat="1" applyFont="1" applyFill="1" applyBorder="1" applyAlignment="1">
      <alignment horizontal="center"/>
    </xf>
    <xf numFmtId="182" fontId="17" fillId="0" borderId="0" xfId="0" applyNumberFormat="1" applyFont="1"/>
    <xf numFmtId="1" fontId="17" fillId="0" borderId="0" xfId="0" applyNumberFormat="1" applyFont="1" applyAlignment="1">
      <alignment horizontal="center" vertical="center"/>
    </xf>
    <xf numFmtId="9" fontId="17" fillId="0" borderId="11" xfId="0" applyNumberFormat="1" applyFont="1" applyBorder="1"/>
    <xf numFmtId="2" fontId="17" fillId="11" borderId="1" xfId="0" applyNumberFormat="1" applyFont="1" applyFill="1" applyBorder="1" applyAlignment="1">
      <alignment horizontal="center"/>
    </xf>
    <xf numFmtId="9" fontId="17" fillId="0" borderId="17" xfId="0" applyNumberFormat="1" applyFont="1" applyBorder="1" applyAlignment="1">
      <alignment horizontal="right"/>
    </xf>
    <xf numFmtId="0" fontId="18" fillId="2" borderId="1" xfId="0" applyFont="1" applyFill="1" applyBorder="1" applyAlignment="1">
      <alignment horizontal="center" vertical="center"/>
    </xf>
    <xf numFmtId="0" fontId="50" fillId="2" borderId="1" xfId="0" applyFont="1" applyFill="1" applyBorder="1" applyAlignment="1">
      <alignment horizontal="center"/>
    </xf>
    <xf numFmtId="0" fontId="43" fillId="2" borderId="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43" fillId="5" borderId="1" xfId="0" applyFont="1" applyFill="1" applyBorder="1" applyAlignment="1">
      <alignment horizontal="center" vertical="center" wrapText="1"/>
    </xf>
    <xf numFmtId="0" fontId="25" fillId="2" borderId="5" xfId="0" applyFont="1" applyFill="1" applyBorder="1" applyAlignment="1">
      <alignment horizontal="center" vertical="center"/>
    </xf>
    <xf numFmtId="0" fontId="25" fillId="2" borderId="5" xfId="0" applyFont="1" applyFill="1" applyBorder="1" applyAlignment="1">
      <alignment horizontal="center" vertical="center" wrapText="1"/>
    </xf>
    <xf numFmtId="0" fontId="17" fillId="2" borderId="5" xfId="0" applyFont="1" applyFill="1" applyBorder="1" applyAlignment="1">
      <alignment horizontal="center" vertical="center" wrapText="1"/>
    </xf>
    <xf numFmtId="0" fontId="17" fillId="2" borderId="5" xfId="0" applyFont="1" applyFill="1" applyBorder="1" applyAlignment="1">
      <alignment horizontal="center" vertical="center"/>
    </xf>
    <xf numFmtId="170" fontId="25" fillId="5" borderId="5" xfId="0" applyNumberFormat="1" applyFont="1" applyFill="1" applyBorder="1" applyAlignment="1">
      <alignment horizontal="center" vertical="center" wrapText="1"/>
    </xf>
    <xf numFmtId="170" fontId="25" fillId="2" borderId="5" xfId="0" applyNumberFormat="1" applyFont="1" applyFill="1" applyBorder="1" applyAlignment="1">
      <alignment horizontal="center" vertical="center" wrapText="1"/>
    </xf>
    <xf numFmtId="1" fontId="25" fillId="5" borderId="5" xfId="0" applyNumberFormat="1" applyFont="1" applyFill="1" applyBorder="1" applyAlignment="1">
      <alignment horizontal="center" vertical="center" wrapText="1"/>
    </xf>
    <xf numFmtId="0" fontId="17" fillId="16" borderId="5" xfId="0" applyFont="1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/>
    </xf>
    <xf numFmtId="0" fontId="17" fillId="4" borderId="5" xfId="0" applyFont="1" applyFill="1" applyBorder="1" applyAlignment="1">
      <alignment horizontal="center" vertical="center" wrapText="1"/>
    </xf>
    <xf numFmtId="0" fontId="25" fillId="4" borderId="5" xfId="0" applyFont="1" applyFill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/>
    </xf>
    <xf numFmtId="170" fontId="25" fillId="4" borderId="5" xfId="0" applyNumberFormat="1" applyFont="1" applyFill="1" applyBorder="1" applyAlignment="1">
      <alignment horizontal="center" vertical="center" wrapText="1"/>
    </xf>
    <xf numFmtId="1" fontId="25" fillId="4" borderId="5" xfId="0" applyNumberFormat="1" applyFont="1" applyFill="1" applyBorder="1" applyAlignment="1">
      <alignment horizontal="center" vertical="center" wrapText="1"/>
    </xf>
    <xf numFmtId="0" fontId="17" fillId="4" borderId="1" xfId="0" applyFont="1" applyFill="1" applyBorder="1"/>
    <xf numFmtId="0" fontId="18" fillId="0" borderId="0" xfId="0" applyFont="1" applyAlignment="1">
      <alignment horizontal="center" vertical="center"/>
    </xf>
    <xf numFmtId="0" fontId="25" fillId="16" borderId="5" xfId="0" applyFont="1" applyFill="1" applyBorder="1" applyAlignment="1">
      <alignment horizontal="center" vertical="center"/>
    </xf>
    <xf numFmtId="167" fontId="17" fillId="16" borderId="1" xfId="0" applyNumberFormat="1" applyFont="1" applyFill="1" applyBorder="1"/>
    <xf numFmtId="9" fontId="17" fillId="16" borderId="1" xfId="0" applyNumberFormat="1" applyFont="1" applyFill="1" applyBorder="1"/>
    <xf numFmtId="170" fontId="17" fillId="2" borderId="1" xfId="0" applyNumberFormat="1" applyFont="1" applyFill="1" applyBorder="1" applyAlignment="1">
      <alignment vertical="center"/>
    </xf>
    <xf numFmtId="0" fontId="27" fillId="5" borderId="1" xfId="0" applyFont="1" applyFill="1" applyBorder="1" applyAlignment="1">
      <alignment vertical="center"/>
    </xf>
    <xf numFmtId="0" fontId="27" fillId="9" borderId="1" xfId="0" applyFont="1" applyFill="1" applyBorder="1" applyAlignment="1">
      <alignment vertical="center"/>
    </xf>
    <xf numFmtId="0" fontId="17" fillId="9" borderId="53" xfId="0" applyFont="1" applyFill="1" applyBorder="1"/>
    <xf numFmtId="0" fontId="27" fillId="5" borderId="10" xfId="0" applyFont="1" applyFill="1" applyBorder="1" applyAlignment="1">
      <alignment vertical="center"/>
    </xf>
    <xf numFmtId="0" fontId="17" fillId="5" borderId="10" xfId="0" applyFont="1" applyFill="1" applyBorder="1"/>
    <xf numFmtId="0" fontId="43" fillId="2" borderId="1" xfId="0" applyFont="1" applyFill="1" applyBorder="1" applyAlignment="1">
      <alignment horizontal="center" vertical="center"/>
    </xf>
    <xf numFmtId="0" fontId="18" fillId="5" borderId="43" xfId="0" applyFont="1" applyFill="1" applyBorder="1" applyAlignment="1">
      <alignment horizontal="center" vertical="center"/>
    </xf>
    <xf numFmtId="0" fontId="18" fillId="5" borderId="5" xfId="0" applyFont="1" applyFill="1" applyBorder="1" applyAlignment="1">
      <alignment horizontal="center" vertical="center"/>
    </xf>
    <xf numFmtId="0" fontId="18" fillId="5" borderId="5" xfId="0" applyFont="1" applyFill="1" applyBorder="1"/>
    <xf numFmtId="0" fontId="18" fillId="5" borderId="44" xfId="0" applyFont="1" applyFill="1" applyBorder="1"/>
    <xf numFmtId="0" fontId="18" fillId="9" borderId="43" xfId="0" applyFont="1" applyFill="1" applyBorder="1" applyAlignment="1">
      <alignment horizontal="center" vertical="center"/>
    </xf>
    <xf numFmtId="0" fontId="18" fillId="9" borderId="5" xfId="0" applyFont="1" applyFill="1" applyBorder="1" applyAlignment="1">
      <alignment horizontal="center" vertical="center"/>
    </xf>
    <xf numFmtId="0" fontId="18" fillId="9" borderId="5" xfId="0" applyFont="1" applyFill="1" applyBorder="1"/>
    <xf numFmtId="0" fontId="18" fillId="9" borderId="1" xfId="0" applyFont="1" applyFill="1" applyBorder="1" applyAlignment="1">
      <alignment horizontal="center" vertical="center"/>
    </xf>
    <xf numFmtId="0" fontId="52" fillId="0" borderId="0" xfId="0" applyFont="1"/>
    <xf numFmtId="0" fontId="18" fillId="5" borderId="10" xfId="0" applyFont="1" applyFill="1" applyBorder="1" applyAlignment="1">
      <alignment horizontal="center" vertical="center"/>
    </xf>
    <xf numFmtId="0" fontId="18" fillId="5" borderId="10" xfId="0" applyFont="1" applyFill="1" applyBorder="1"/>
    <xf numFmtId="1" fontId="17" fillId="5" borderId="1" xfId="0" applyNumberFormat="1" applyFont="1" applyFill="1" applyBorder="1"/>
    <xf numFmtId="170" fontId="17" fillId="9" borderId="1" xfId="0" applyNumberFormat="1" applyFont="1" applyFill="1" applyBorder="1" applyAlignment="1">
      <alignment horizontal="center" vertical="center"/>
    </xf>
    <xf numFmtId="170" fontId="52" fillId="5" borderId="1" xfId="0" applyNumberFormat="1" applyFont="1" applyFill="1" applyBorder="1" applyAlignment="1">
      <alignment horizontal="center" vertical="center"/>
    </xf>
    <xf numFmtId="170" fontId="17" fillId="5" borderId="1" xfId="0" applyNumberFormat="1" applyFont="1" applyFill="1" applyBorder="1" applyAlignment="1">
      <alignment horizontal="center" vertical="center"/>
    </xf>
    <xf numFmtId="0" fontId="53" fillId="2" borderId="20" xfId="0" applyFont="1" applyFill="1" applyBorder="1" applyAlignment="1">
      <alignment horizontal="center" vertical="center" wrapText="1"/>
    </xf>
    <xf numFmtId="167" fontId="17" fillId="0" borderId="24" xfId="0" applyNumberFormat="1" applyFont="1" applyBorder="1"/>
    <xf numFmtId="167" fontId="17" fillId="0" borderId="15" xfId="0" applyNumberFormat="1" applyFont="1" applyBorder="1"/>
    <xf numFmtId="167" fontId="17" fillId="0" borderId="16" xfId="0" applyNumberFormat="1" applyFont="1" applyBorder="1"/>
    <xf numFmtId="0" fontId="53" fillId="0" borderId="11" xfId="0" applyFont="1" applyBorder="1" applyAlignment="1">
      <alignment horizontal="center"/>
    </xf>
    <xf numFmtId="167" fontId="17" fillId="0" borderId="21" xfId="0" applyNumberFormat="1" applyFont="1" applyBorder="1"/>
    <xf numFmtId="167" fontId="17" fillId="0" borderId="12" xfId="0" applyNumberFormat="1" applyFont="1" applyBorder="1"/>
    <xf numFmtId="0" fontId="17" fillId="0" borderId="11" xfId="0" applyFont="1" applyBorder="1" applyAlignment="1">
      <alignment horizontal="center"/>
    </xf>
    <xf numFmtId="0" fontId="53" fillId="0" borderId="17" xfId="0" applyFont="1" applyBorder="1" applyAlignment="1">
      <alignment horizontal="center"/>
    </xf>
    <xf numFmtId="167" fontId="17" fillId="0" borderId="23" xfId="0" applyNumberFormat="1" applyFont="1" applyBorder="1"/>
    <xf numFmtId="167" fontId="17" fillId="0" borderId="18" xfId="0" applyNumberFormat="1" applyFont="1" applyBorder="1"/>
    <xf numFmtId="167" fontId="17" fillId="0" borderId="19" xfId="0" applyNumberFormat="1" applyFont="1" applyBorder="1"/>
    <xf numFmtId="0" fontId="53" fillId="0" borderId="0" xfId="0" applyFont="1" applyAlignment="1">
      <alignment horizontal="center"/>
    </xf>
    <xf numFmtId="183" fontId="17" fillId="0" borderId="0" xfId="0" applyNumberFormat="1" applyFont="1"/>
    <xf numFmtId="0" fontId="25" fillId="4" borderId="1" xfId="0" applyFont="1" applyFill="1" applyBorder="1" applyAlignment="1">
      <alignment horizontal="center" vertical="center"/>
    </xf>
    <xf numFmtId="0" fontId="25" fillId="4" borderId="1" xfId="0" applyFont="1" applyFill="1" applyBorder="1" applyAlignment="1">
      <alignment horizontal="center" vertical="center" wrapText="1"/>
    </xf>
    <xf numFmtId="0" fontId="17" fillId="17" borderId="1" xfId="0" applyFont="1" applyFill="1" applyBorder="1"/>
    <xf numFmtId="1" fontId="17" fillId="4" borderId="1" xfId="0" applyNumberFormat="1" applyFont="1" applyFill="1" applyBorder="1" applyAlignment="1">
      <alignment horizontal="center" vertical="center"/>
    </xf>
    <xf numFmtId="1" fontId="17" fillId="10" borderId="1" xfId="0" applyNumberFormat="1" applyFont="1" applyFill="1" applyBorder="1"/>
    <xf numFmtId="11" fontId="17" fillId="0" borderId="0" xfId="0" applyNumberFormat="1" applyFont="1"/>
    <xf numFmtId="0" fontId="17" fillId="18" borderId="1" xfId="0" applyFont="1" applyFill="1" applyBorder="1"/>
    <xf numFmtId="0" fontId="40" fillId="16" borderId="1" xfId="0" applyFont="1" applyFill="1" applyBorder="1" applyAlignment="1">
      <alignment horizontal="center"/>
    </xf>
    <xf numFmtId="0" fontId="18" fillId="10" borderId="1" xfId="0" applyFont="1" applyFill="1" applyBorder="1" applyAlignment="1">
      <alignment horizontal="center" vertical="center"/>
    </xf>
    <xf numFmtId="0" fontId="18" fillId="18" borderId="10" xfId="0" applyFont="1" applyFill="1" applyBorder="1" applyAlignment="1">
      <alignment horizontal="center" vertical="center"/>
    </xf>
    <xf numFmtId="0" fontId="18" fillId="18" borderId="51" xfId="0" applyFont="1" applyFill="1" applyBorder="1"/>
    <xf numFmtId="0" fontId="18" fillId="18" borderId="6" xfId="0" applyFont="1" applyFill="1" applyBorder="1"/>
    <xf numFmtId="0" fontId="18" fillId="18" borderId="52" xfId="0" applyFont="1" applyFill="1" applyBorder="1"/>
    <xf numFmtId="0" fontId="18" fillId="5" borderId="1" xfId="0" applyFont="1" applyFill="1" applyBorder="1" applyAlignment="1">
      <alignment horizontal="center" vertical="center"/>
    </xf>
    <xf numFmtId="0" fontId="18" fillId="5" borderId="43" xfId="0" applyFont="1" applyFill="1" applyBorder="1"/>
    <xf numFmtId="0" fontId="40" fillId="16" borderId="1" xfId="0" applyFont="1" applyFill="1" applyBorder="1"/>
    <xf numFmtId="9" fontId="18" fillId="0" borderId="0" xfId="0" applyNumberFormat="1" applyFont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0" fontId="18" fillId="10" borderId="1" xfId="0" applyFont="1" applyFill="1" applyBorder="1"/>
    <xf numFmtId="0" fontId="18" fillId="18" borderId="59" xfId="0" applyFont="1" applyFill="1" applyBorder="1"/>
    <xf numFmtId="1" fontId="17" fillId="18" borderId="43" xfId="0" applyNumberFormat="1" applyFont="1" applyFill="1" applyBorder="1" applyAlignment="1">
      <alignment horizontal="center"/>
    </xf>
    <xf numFmtId="1" fontId="17" fillId="18" borderId="5" xfId="0" applyNumberFormat="1" applyFont="1" applyFill="1" applyBorder="1" applyAlignment="1">
      <alignment horizontal="center"/>
    </xf>
    <xf numFmtId="1" fontId="17" fillId="18" borderId="44" xfId="0" applyNumberFormat="1" applyFont="1" applyFill="1" applyBorder="1" applyAlignment="1">
      <alignment horizontal="center"/>
    </xf>
    <xf numFmtId="0" fontId="18" fillId="5" borderId="51" xfId="0" applyFont="1" applyFill="1" applyBorder="1" applyAlignment="1">
      <alignment horizontal="center" vertical="center"/>
    </xf>
    <xf numFmtId="1" fontId="17" fillId="5" borderId="1" xfId="0" applyNumberFormat="1" applyFont="1" applyFill="1" applyBorder="1" applyAlignment="1">
      <alignment horizontal="center"/>
    </xf>
    <xf numFmtId="1" fontId="17" fillId="18" borderId="45" xfId="0" applyNumberFormat="1" applyFont="1" applyFill="1" applyBorder="1" applyAlignment="1">
      <alignment horizontal="center"/>
    </xf>
    <xf numFmtId="1" fontId="17" fillId="18" borderId="1" xfId="0" applyNumberFormat="1" applyFont="1" applyFill="1" applyBorder="1" applyAlignment="1">
      <alignment horizontal="center"/>
    </xf>
    <xf numFmtId="1" fontId="17" fillId="18" borderId="46" xfId="0" applyNumberFormat="1" applyFont="1" applyFill="1" applyBorder="1" applyAlignment="1">
      <alignment horizontal="center"/>
    </xf>
    <xf numFmtId="0" fontId="18" fillId="2" borderId="1" xfId="0" applyFont="1" applyFill="1" applyBorder="1"/>
    <xf numFmtId="1" fontId="18" fillId="5" borderId="10" xfId="0" applyNumberFormat="1" applyFont="1" applyFill="1" applyBorder="1" applyAlignment="1">
      <alignment horizontal="center" vertical="center"/>
    </xf>
    <xf numFmtId="177" fontId="40" fillId="16" borderId="1" xfId="0" applyNumberFormat="1" applyFont="1" applyFill="1" applyBorder="1"/>
    <xf numFmtId="177" fontId="18" fillId="0" borderId="0" xfId="0" applyNumberFormat="1" applyFont="1" applyAlignment="1">
      <alignment horizontal="center" vertical="center"/>
    </xf>
    <xf numFmtId="168" fontId="40" fillId="16" borderId="1" xfId="0" applyNumberFormat="1" applyFont="1" applyFill="1" applyBorder="1"/>
    <xf numFmtId="168" fontId="18" fillId="0" borderId="0" xfId="0" applyNumberFormat="1" applyFont="1" applyAlignment="1">
      <alignment horizontal="center" vertical="center"/>
    </xf>
    <xf numFmtId="170" fontId="18" fillId="0" borderId="0" xfId="0" applyNumberFormat="1" applyFont="1" applyAlignment="1">
      <alignment horizontal="center" vertical="center"/>
    </xf>
    <xf numFmtId="0" fontId="18" fillId="18" borderId="22" xfId="0" applyFont="1" applyFill="1" applyBorder="1"/>
    <xf numFmtId="1" fontId="17" fillId="18" borderId="48" xfId="0" applyNumberFormat="1" applyFont="1" applyFill="1" applyBorder="1" applyAlignment="1">
      <alignment horizontal="center"/>
    </xf>
    <xf numFmtId="1" fontId="17" fillId="18" borderId="53" xfId="0" applyNumberFormat="1" applyFont="1" applyFill="1" applyBorder="1" applyAlignment="1">
      <alignment horizontal="center"/>
    </xf>
    <xf numFmtId="1" fontId="17" fillId="18" borderId="50" xfId="0" applyNumberFormat="1" applyFont="1" applyFill="1" applyBorder="1" applyAlignment="1">
      <alignment horizontal="center"/>
    </xf>
    <xf numFmtId="168" fontId="40" fillId="0" borderId="0" xfId="0" applyNumberFormat="1" applyFont="1"/>
    <xf numFmtId="0" fontId="18" fillId="5" borderId="59" xfId="0" applyFont="1" applyFill="1" applyBorder="1" applyAlignment="1">
      <alignment horizontal="center" vertical="center"/>
    </xf>
    <xf numFmtId="0" fontId="18" fillId="18" borderId="1" xfId="0" applyFont="1" applyFill="1" applyBorder="1" applyAlignment="1">
      <alignment horizontal="center" vertical="center"/>
    </xf>
    <xf numFmtId="0" fontId="18" fillId="18" borderId="1" xfId="0" applyFont="1" applyFill="1" applyBorder="1"/>
    <xf numFmtId="1" fontId="18" fillId="18" borderId="1" xfId="0" applyNumberFormat="1" applyFont="1" applyFill="1" applyBorder="1" applyAlignment="1">
      <alignment horizontal="center"/>
    </xf>
    <xf numFmtId="1" fontId="17" fillId="2" borderId="1" xfId="0" applyNumberFormat="1" applyFont="1" applyFill="1" applyBorder="1" applyAlignment="1">
      <alignment horizontal="center"/>
    </xf>
    <xf numFmtId="1" fontId="18" fillId="2" borderId="1" xfId="0" applyNumberFormat="1" applyFont="1" applyFill="1" applyBorder="1"/>
    <xf numFmtId="9" fontId="18" fillId="18" borderId="1" xfId="0" applyNumberFormat="1" applyFont="1" applyFill="1" applyBorder="1" applyAlignment="1">
      <alignment horizontal="center"/>
    </xf>
    <xf numFmtId="0" fontId="43" fillId="2" borderId="1" xfId="0" applyFont="1" applyFill="1" applyBorder="1" applyAlignment="1">
      <alignment vertical="center"/>
    </xf>
    <xf numFmtId="0" fontId="18" fillId="2" borderId="1" xfId="0" applyFont="1" applyFill="1" applyBorder="1" applyAlignment="1">
      <alignment vertical="center"/>
    </xf>
    <xf numFmtId="170" fontId="17" fillId="2" borderId="1" xfId="0" applyNumberFormat="1" applyFont="1" applyFill="1" applyBorder="1" applyAlignment="1">
      <alignment horizontal="center" vertical="center"/>
    </xf>
    <xf numFmtId="9" fontId="40" fillId="2" borderId="1" xfId="0" applyNumberFormat="1" applyFont="1" applyFill="1" applyBorder="1" applyAlignment="1">
      <alignment horizontal="center" vertical="center"/>
    </xf>
    <xf numFmtId="171" fontId="25" fillId="2" borderId="5" xfId="0" applyNumberFormat="1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170" fontId="25" fillId="2" borderId="1" xfId="0" applyNumberFormat="1" applyFont="1" applyFill="1" applyBorder="1" applyAlignment="1">
      <alignment horizontal="center" vertical="center" wrapText="1"/>
    </xf>
    <xf numFmtId="1" fontId="25" fillId="2" borderId="1" xfId="0" applyNumberFormat="1" applyFont="1" applyFill="1" applyBorder="1" applyAlignment="1">
      <alignment horizontal="center" vertical="center" wrapText="1"/>
    </xf>
    <xf numFmtId="0" fontId="18" fillId="11" borderId="1" xfId="0" applyFont="1" applyFill="1" applyBorder="1"/>
    <xf numFmtId="0" fontId="17" fillId="14" borderId="1" xfId="0" applyFont="1" applyFill="1" applyBorder="1" applyAlignment="1">
      <alignment horizontal="center"/>
    </xf>
    <xf numFmtId="0" fontId="17" fillId="5" borderId="1" xfId="0" applyFont="1" applyFill="1" applyBorder="1" applyAlignment="1">
      <alignment horizontal="center"/>
    </xf>
    <xf numFmtId="0" fontId="17" fillId="16" borderId="1" xfId="0" applyFont="1" applyFill="1" applyBorder="1" applyAlignment="1">
      <alignment horizontal="center"/>
    </xf>
    <xf numFmtId="0" fontId="27" fillId="2" borderId="1" xfId="0" applyFont="1" applyFill="1" applyBorder="1"/>
    <xf numFmtId="0" fontId="27" fillId="18" borderId="51" xfId="0" applyFont="1" applyFill="1" applyBorder="1"/>
    <xf numFmtId="0" fontId="27" fillId="18" borderId="6" xfId="0" applyFont="1" applyFill="1" applyBorder="1"/>
    <xf numFmtId="0" fontId="27" fillId="18" borderId="52" xfId="0" applyFont="1" applyFill="1" applyBorder="1"/>
    <xf numFmtId="0" fontId="43" fillId="14" borderId="1" xfId="0" applyFont="1" applyFill="1" applyBorder="1" applyAlignment="1">
      <alignment horizontal="center" vertical="center" wrapText="1"/>
    </xf>
    <xf numFmtId="0" fontId="43" fillId="16" borderId="1" xfId="0" applyFont="1" applyFill="1" applyBorder="1" applyAlignment="1">
      <alignment horizontal="center" vertical="center" wrapText="1"/>
    </xf>
    <xf numFmtId="0" fontId="43" fillId="11" borderId="1" xfId="0" applyFont="1" applyFill="1" applyBorder="1" applyAlignment="1">
      <alignment horizontal="center" vertical="center" wrapText="1"/>
    </xf>
    <xf numFmtId="0" fontId="43" fillId="4" borderId="1" xfId="0" applyFont="1" applyFill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center" vertical="center" wrapText="1"/>
    </xf>
    <xf numFmtId="0" fontId="18" fillId="18" borderId="45" xfId="0" applyFont="1" applyFill="1" applyBorder="1" applyAlignment="1">
      <alignment horizontal="center" vertical="center"/>
    </xf>
    <xf numFmtId="0" fontId="18" fillId="18" borderId="46" xfId="0" applyFont="1" applyFill="1" applyBorder="1" applyAlignment="1">
      <alignment horizontal="center" vertical="center"/>
    </xf>
    <xf numFmtId="1" fontId="25" fillId="2" borderId="5" xfId="0" applyNumberFormat="1" applyFont="1" applyFill="1" applyBorder="1" applyAlignment="1">
      <alignment horizontal="center" vertical="center" wrapText="1"/>
    </xf>
    <xf numFmtId="9" fontId="25" fillId="14" borderId="5" xfId="0" applyNumberFormat="1" applyFont="1" applyFill="1" applyBorder="1" applyAlignment="1">
      <alignment horizontal="center" vertical="center" wrapText="1"/>
    </xf>
    <xf numFmtId="170" fontId="25" fillId="14" borderId="5" xfId="0" applyNumberFormat="1" applyFont="1" applyFill="1" applyBorder="1" applyAlignment="1">
      <alignment horizontal="center" vertical="center" wrapText="1"/>
    </xf>
    <xf numFmtId="9" fontId="25" fillId="16" borderId="5" xfId="0" applyNumberFormat="1" applyFont="1" applyFill="1" applyBorder="1" applyAlignment="1">
      <alignment horizontal="center" vertical="center" wrapText="1"/>
    </xf>
    <xf numFmtId="9" fontId="25" fillId="11" borderId="5" xfId="0" applyNumberFormat="1" applyFont="1" applyFill="1" applyBorder="1" applyAlignment="1">
      <alignment horizontal="center" vertical="center" wrapText="1"/>
    </xf>
    <xf numFmtId="1" fontId="17" fillId="4" borderId="6" xfId="0" applyNumberFormat="1" applyFont="1" applyFill="1" applyBorder="1" applyAlignment="1">
      <alignment horizontal="center" vertical="center"/>
    </xf>
    <xf numFmtId="170" fontId="17" fillId="4" borderId="6" xfId="0" applyNumberFormat="1" applyFont="1" applyFill="1" applyBorder="1"/>
    <xf numFmtId="1" fontId="17" fillId="14" borderId="6" xfId="0" applyNumberFormat="1" applyFont="1" applyFill="1" applyBorder="1"/>
    <xf numFmtId="0" fontId="17" fillId="14" borderId="6" xfId="0" applyFont="1" applyFill="1" applyBorder="1" applyAlignment="1">
      <alignment horizontal="center" vertical="center"/>
    </xf>
    <xf numFmtId="170" fontId="17" fillId="14" borderId="6" xfId="0" applyNumberFormat="1" applyFont="1" applyFill="1" applyBorder="1" applyAlignment="1">
      <alignment horizontal="center"/>
    </xf>
    <xf numFmtId="9" fontId="17" fillId="18" borderId="45" xfId="0" applyNumberFormat="1" applyFont="1" applyFill="1" applyBorder="1" applyAlignment="1">
      <alignment horizontal="center"/>
    </xf>
    <xf numFmtId="9" fontId="17" fillId="18" borderId="1" xfId="0" applyNumberFormat="1" applyFont="1" applyFill="1" applyBorder="1" applyAlignment="1">
      <alignment horizontal="center"/>
    </xf>
    <xf numFmtId="9" fontId="17" fillId="18" borderId="46" xfId="0" applyNumberFormat="1" applyFont="1" applyFill="1" applyBorder="1" applyAlignment="1">
      <alignment horizontal="center"/>
    </xf>
    <xf numFmtId="2" fontId="17" fillId="18" borderId="45" xfId="0" applyNumberFormat="1" applyFont="1" applyFill="1" applyBorder="1" applyAlignment="1">
      <alignment horizontal="center"/>
    </xf>
    <xf numFmtId="2" fontId="17" fillId="18" borderId="1" xfId="0" applyNumberFormat="1" applyFont="1" applyFill="1" applyBorder="1" applyAlignment="1">
      <alignment horizontal="center"/>
    </xf>
    <xf numFmtId="2" fontId="17" fillId="18" borderId="46" xfId="0" applyNumberFormat="1" applyFont="1" applyFill="1" applyBorder="1" applyAlignment="1">
      <alignment horizontal="center"/>
    </xf>
    <xf numFmtId="2" fontId="17" fillId="17" borderId="1" xfId="0" applyNumberFormat="1" applyFont="1" applyFill="1" applyBorder="1" applyAlignment="1">
      <alignment horizontal="center"/>
    </xf>
    <xf numFmtId="2" fontId="17" fillId="2" borderId="1" xfId="0" applyNumberFormat="1" applyFont="1" applyFill="1" applyBorder="1" applyAlignment="1">
      <alignment horizontal="center"/>
    </xf>
    <xf numFmtId="2" fontId="17" fillId="2" borderId="46" xfId="0" applyNumberFormat="1" applyFont="1" applyFill="1" applyBorder="1" applyAlignment="1">
      <alignment horizontal="center"/>
    </xf>
    <xf numFmtId="170" fontId="25" fillId="2" borderId="5" xfId="0" applyNumberFormat="1" applyFont="1" applyFill="1" applyBorder="1" applyAlignment="1">
      <alignment horizontal="center" vertical="center"/>
    </xf>
    <xf numFmtId="1" fontId="25" fillId="2" borderId="5" xfId="0" applyNumberFormat="1" applyFont="1" applyFill="1" applyBorder="1" applyAlignment="1">
      <alignment horizontal="center" vertical="center"/>
    </xf>
    <xf numFmtId="9" fontId="25" fillId="14" borderId="5" xfId="0" applyNumberFormat="1" applyFont="1" applyFill="1" applyBorder="1" applyAlignment="1">
      <alignment horizontal="center" vertical="center"/>
    </xf>
    <xf numFmtId="170" fontId="25" fillId="14" borderId="5" xfId="0" applyNumberFormat="1" applyFont="1" applyFill="1" applyBorder="1" applyAlignment="1">
      <alignment horizontal="center" vertical="center"/>
    </xf>
    <xf numFmtId="170" fontId="25" fillId="5" borderId="5" xfId="0" applyNumberFormat="1" applyFont="1" applyFill="1" applyBorder="1" applyAlignment="1">
      <alignment horizontal="center" vertical="center"/>
    </xf>
    <xf numFmtId="9" fontId="25" fillId="16" borderId="5" xfId="0" applyNumberFormat="1" applyFont="1" applyFill="1" applyBorder="1" applyAlignment="1">
      <alignment horizontal="center" vertical="center"/>
    </xf>
    <xf numFmtId="9" fontId="25" fillId="11" borderId="5" xfId="0" applyNumberFormat="1" applyFont="1" applyFill="1" applyBorder="1" applyAlignment="1">
      <alignment horizontal="center" vertical="center"/>
    </xf>
    <xf numFmtId="170" fontId="17" fillId="14" borderId="6" xfId="0" applyNumberFormat="1" applyFont="1" applyFill="1" applyBorder="1" applyAlignment="1">
      <alignment horizontal="center" vertical="center"/>
    </xf>
    <xf numFmtId="2" fontId="25" fillId="2" borderId="5" xfId="0" applyNumberFormat="1" applyFont="1" applyFill="1" applyBorder="1" applyAlignment="1">
      <alignment horizontal="center" vertical="center"/>
    </xf>
    <xf numFmtId="171" fontId="25" fillId="5" borderId="5" xfId="0" applyNumberFormat="1" applyFont="1" applyFill="1" applyBorder="1" applyAlignment="1">
      <alignment horizontal="center" vertical="center"/>
    </xf>
    <xf numFmtId="175" fontId="25" fillId="2" borderId="1" xfId="0" applyNumberFormat="1" applyFont="1" applyFill="1" applyBorder="1" applyAlignment="1">
      <alignment horizontal="center"/>
    </xf>
    <xf numFmtId="176" fontId="25" fillId="2" borderId="1" xfId="0" applyNumberFormat="1" applyFont="1" applyFill="1" applyBorder="1" applyAlignment="1">
      <alignment horizontal="center"/>
    </xf>
    <xf numFmtId="9" fontId="17" fillId="18" borderId="48" xfId="0" applyNumberFormat="1" applyFont="1" applyFill="1" applyBorder="1" applyAlignment="1">
      <alignment horizontal="center"/>
    </xf>
    <xf numFmtId="9" fontId="17" fillId="18" borderId="53" xfId="0" applyNumberFormat="1" applyFont="1" applyFill="1" applyBorder="1" applyAlignment="1">
      <alignment horizontal="center"/>
    </xf>
    <xf numFmtId="9" fontId="17" fillId="18" borderId="50" xfId="0" applyNumberFormat="1" applyFont="1" applyFill="1" applyBorder="1" applyAlignment="1">
      <alignment horizontal="center"/>
    </xf>
    <xf numFmtId="2" fontId="17" fillId="18" borderId="48" xfId="0" applyNumberFormat="1" applyFont="1" applyFill="1" applyBorder="1" applyAlignment="1">
      <alignment horizontal="center"/>
    </xf>
    <xf numFmtId="2" fontId="17" fillId="18" borderId="53" xfId="0" applyNumberFormat="1" applyFont="1" applyFill="1" applyBorder="1" applyAlignment="1">
      <alignment horizontal="center"/>
    </xf>
    <xf numFmtId="2" fontId="17" fillId="18" borderId="50" xfId="0" applyNumberFormat="1" applyFont="1" applyFill="1" applyBorder="1" applyAlignment="1">
      <alignment horizontal="center"/>
    </xf>
    <xf numFmtId="170" fontId="17" fillId="4" borderId="6" xfId="0" applyNumberFormat="1" applyFont="1" applyFill="1" applyBorder="1" applyAlignment="1">
      <alignment horizontal="center"/>
    </xf>
    <xf numFmtId="2" fontId="17" fillId="18" borderId="43" xfId="0" applyNumberFormat="1" applyFont="1" applyFill="1" applyBorder="1" applyAlignment="1">
      <alignment horizontal="center"/>
    </xf>
    <xf numFmtId="2" fontId="17" fillId="18" borderId="5" xfId="0" applyNumberFormat="1" applyFont="1" applyFill="1" applyBorder="1" applyAlignment="1">
      <alignment horizontal="center"/>
    </xf>
    <xf numFmtId="2" fontId="17" fillId="17" borderId="5" xfId="0" applyNumberFormat="1" applyFont="1" applyFill="1" applyBorder="1" applyAlignment="1">
      <alignment horizontal="center"/>
    </xf>
    <xf numFmtId="2" fontId="17" fillId="18" borderId="44" xfId="0" applyNumberFormat="1" applyFont="1" applyFill="1" applyBorder="1" applyAlignment="1">
      <alignment horizontal="center"/>
    </xf>
    <xf numFmtId="170" fontId="17" fillId="14" borderId="6" xfId="0" applyNumberFormat="1" applyFont="1" applyFill="1" applyBorder="1"/>
    <xf numFmtId="2" fontId="17" fillId="2" borderId="53" xfId="0" applyNumberFormat="1" applyFont="1" applyFill="1" applyBorder="1" applyAlignment="1">
      <alignment horizontal="center"/>
    </xf>
    <xf numFmtId="2" fontId="17" fillId="2" borderId="50" xfId="0" applyNumberFormat="1" applyFont="1" applyFill="1" applyBorder="1" applyAlignment="1">
      <alignment horizontal="center"/>
    </xf>
    <xf numFmtId="170" fontId="25" fillId="14" borderId="1" xfId="0" applyNumberFormat="1" applyFont="1" applyFill="1" applyBorder="1" applyAlignment="1">
      <alignment horizontal="center" vertical="center" wrapText="1"/>
    </xf>
    <xf numFmtId="170" fontId="25" fillId="5" borderId="1" xfId="0" applyNumberFormat="1" applyFont="1" applyFill="1" applyBorder="1" applyAlignment="1">
      <alignment horizontal="center" vertical="center" wrapText="1"/>
    </xf>
    <xf numFmtId="9" fontId="25" fillId="16" borderId="1" xfId="0" applyNumberFormat="1" applyFont="1" applyFill="1" applyBorder="1" applyAlignment="1">
      <alignment horizontal="center" vertical="center" wrapText="1"/>
    </xf>
    <xf numFmtId="9" fontId="25" fillId="11" borderId="1" xfId="0" applyNumberFormat="1" applyFont="1" applyFill="1" applyBorder="1" applyAlignment="1">
      <alignment horizontal="center" vertical="center" wrapText="1"/>
    </xf>
    <xf numFmtId="9" fontId="18" fillId="2" borderId="1" xfId="0" applyNumberFormat="1" applyFont="1" applyFill="1" applyBorder="1" applyAlignment="1">
      <alignment horizontal="center"/>
    </xf>
    <xf numFmtId="170" fontId="17" fillId="14" borderId="1" xfId="0" applyNumberFormat="1" applyFont="1" applyFill="1" applyBorder="1" applyAlignment="1">
      <alignment horizontal="center"/>
    </xf>
    <xf numFmtId="2" fontId="54" fillId="0" borderId="0" xfId="0" applyNumberFormat="1" applyFont="1"/>
    <xf numFmtId="0" fontId="27" fillId="2" borderId="53" xfId="0" applyFont="1" applyFill="1" applyBorder="1" applyAlignment="1">
      <alignment horizontal="center" vertical="center" wrapText="1"/>
    </xf>
    <xf numFmtId="0" fontId="43" fillId="14" borderId="53" xfId="0" applyFont="1" applyFill="1" applyBorder="1" applyAlignment="1">
      <alignment horizontal="center" vertical="center" wrapText="1"/>
    </xf>
    <xf numFmtId="0" fontId="43" fillId="5" borderId="53" xfId="0" applyFont="1" applyFill="1" applyBorder="1" applyAlignment="1">
      <alignment horizontal="center" vertical="center" wrapText="1"/>
    </xf>
    <xf numFmtId="0" fontId="43" fillId="16" borderId="53" xfId="0" applyFont="1" applyFill="1" applyBorder="1" applyAlignment="1">
      <alignment horizontal="center" vertical="center" wrapText="1"/>
    </xf>
    <xf numFmtId="0" fontId="43" fillId="11" borderId="53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 wrapText="1"/>
    </xf>
    <xf numFmtId="0" fontId="17" fillId="5" borderId="6" xfId="0" applyFont="1" applyFill="1" applyBorder="1" applyAlignment="1">
      <alignment horizontal="center" vertical="center"/>
    </xf>
    <xf numFmtId="0" fontId="53" fillId="2" borderId="6" xfId="0" applyFont="1" applyFill="1" applyBorder="1" applyAlignment="1">
      <alignment horizontal="center" vertical="center" wrapText="1"/>
    </xf>
    <xf numFmtId="1" fontId="53" fillId="0" borderId="13" xfId="0" applyNumberFormat="1" applyFont="1" applyBorder="1" applyAlignment="1">
      <alignment horizontal="center"/>
    </xf>
    <xf numFmtId="9" fontId="53" fillId="14" borderId="6" xfId="0" applyNumberFormat="1" applyFont="1" applyFill="1" applyBorder="1" applyAlignment="1">
      <alignment horizontal="center"/>
    </xf>
    <xf numFmtId="1" fontId="53" fillId="14" borderId="6" xfId="0" applyNumberFormat="1" applyFont="1" applyFill="1" applyBorder="1" applyAlignment="1">
      <alignment horizontal="center"/>
    </xf>
    <xf numFmtId="1" fontId="53" fillId="9" borderId="6" xfId="0" applyNumberFormat="1" applyFont="1" applyFill="1" applyBorder="1" applyAlignment="1">
      <alignment horizontal="center"/>
    </xf>
    <xf numFmtId="2" fontId="53" fillId="9" borderId="6" xfId="0" applyNumberFormat="1" applyFont="1" applyFill="1" applyBorder="1" applyAlignment="1">
      <alignment horizontal="center"/>
    </xf>
    <xf numFmtId="182" fontId="25" fillId="16" borderId="5" xfId="0" applyNumberFormat="1" applyFont="1" applyFill="1" applyBorder="1" applyAlignment="1">
      <alignment horizontal="center" vertical="center" wrapText="1"/>
    </xf>
    <xf numFmtId="1" fontId="53" fillId="4" borderId="6" xfId="0" applyNumberFormat="1" applyFont="1" applyFill="1" applyBorder="1" applyAlignment="1">
      <alignment horizontal="center"/>
    </xf>
    <xf numFmtId="170" fontId="53" fillId="4" borderId="6" xfId="0" applyNumberFormat="1" applyFont="1" applyFill="1" applyBorder="1" applyAlignment="1">
      <alignment horizontal="center"/>
    </xf>
    <xf numFmtId="1" fontId="17" fillId="14" borderId="6" xfId="0" applyNumberFormat="1" applyFont="1" applyFill="1" applyBorder="1" applyAlignment="1">
      <alignment horizontal="center" vertical="center"/>
    </xf>
    <xf numFmtId="1" fontId="53" fillId="0" borderId="0" xfId="0" applyNumberFormat="1" applyFont="1" applyAlignment="1">
      <alignment horizontal="center"/>
    </xf>
    <xf numFmtId="0" fontId="53" fillId="0" borderId="13" xfId="0" applyFont="1" applyBorder="1" applyAlignment="1">
      <alignment horizontal="center"/>
    </xf>
    <xf numFmtId="1" fontId="17" fillId="14" borderId="6" xfId="0" applyNumberFormat="1" applyFont="1" applyFill="1" applyBorder="1" applyAlignment="1">
      <alignment horizontal="center"/>
    </xf>
    <xf numFmtId="0" fontId="17" fillId="14" borderId="6" xfId="0" applyFont="1" applyFill="1" applyBorder="1" applyAlignment="1">
      <alignment horizontal="center"/>
    </xf>
    <xf numFmtId="9" fontId="25" fillId="16" borderId="6" xfId="0" applyNumberFormat="1" applyFont="1" applyFill="1" applyBorder="1" applyAlignment="1">
      <alignment horizontal="center" vertical="center" wrapText="1"/>
    </xf>
    <xf numFmtId="9" fontId="25" fillId="11" borderId="6" xfId="0" applyNumberFormat="1" applyFont="1" applyFill="1" applyBorder="1" applyAlignment="1">
      <alignment horizontal="center" vertical="center" wrapText="1"/>
    </xf>
    <xf numFmtId="1" fontId="17" fillId="0" borderId="14" xfId="0" applyNumberFormat="1" applyFont="1" applyBorder="1"/>
    <xf numFmtId="1" fontId="17" fillId="0" borderId="15" xfId="0" applyNumberFormat="1" applyFont="1" applyBorder="1"/>
    <xf numFmtId="1" fontId="17" fillId="0" borderId="24" xfId="0" applyNumberFormat="1" applyFont="1" applyBorder="1"/>
    <xf numFmtId="1" fontId="17" fillId="0" borderId="16" xfId="0" applyNumberFormat="1" applyFont="1" applyBorder="1"/>
    <xf numFmtId="1" fontId="17" fillId="0" borderId="18" xfId="0" applyNumberFormat="1" applyFont="1" applyBorder="1"/>
    <xf numFmtId="1" fontId="17" fillId="0" borderId="23" xfId="0" applyNumberFormat="1" applyFont="1" applyBorder="1"/>
    <xf numFmtId="1" fontId="17" fillId="0" borderId="19" xfId="0" applyNumberFormat="1" applyFont="1" applyBorder="1"/>
    <xf numFmtId="0" fontId="27" fillId="2" borderId="53" xfId="0" applyFont="1" applyFill="1" applyBorder="1" applyAlignment="1">
      <alignment horizontal="left" vertical="center"/>
    </xf>
    <xf numFmtId="0" fontId="43" fillId="2" borderId="53" xfId="0" applyFont="1" applyFill="1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 wrapText="1"/>
    </xf>
    <xf numFmtId="1" fontId="53" fillId="2" borderId="1" xfId="0" applyNumberFormat="1" applyFont="1" applyFill="1" applyBorder="1" applyAlignment="1">
      <alignment horizontal="center"/>
    </xf>
    <xf numFmtId="177" fontId="21" fillId="2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center" wrapText="1"/>
    </xf>
    <xf numFmtId="1" fontId="56" fillId="0" borderId="0" xfId="0" applyNumberFormat="1" applyFont="1"/>
    <xf numFmtId="0" fontId="56" fillId="0" borderId="0" xfId="0" applyFont="1"/>
    <xf numFmtId="0" fontId="17" fillId="5" borderId="5" xfId="0" applyFont="1" applyFill="1" applyBorder="1" applyAlignment="1">
      <alignment horizontal="center" vertical="center"/>
    </xf>
    <xf numFmtId="0" fontId="53" fillId="0" borderId="15" xfId="0" applyFont="1" applyBorder="1" applyAlignment="1">
      <alignment horizontal="center"/>
    </xf>
    <xf numFmtId="1" fontId="17" fillId="11" borderId="1" xfId="0" applyNumberFormat="1" applyFont="1" applyFill="1" applyBorder="1"/>
    <xf numFmtId="168" fontId="17" fillId="0" borderId="0" xfId="0" applyNumberFormat="1" applyFont="1"/>
    <xf numFmtId="0" fontId="18" fillId="0" borderId="0" xfId="0" applyFont="1" applyAlignment="1">
      <alignment horizontal="center" vertical="center" wrapText="1"/>
    </xf>
    <xf numFmtId="170" fontId="17" fillId="12" borderId="1" xfId="0" applyNumberFormat="1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 wrapText="1"/>
    </xf>
    <xf numFmtId="2" fontId="17" fillId="12" borderId="1" xfId="0" applyNumberFormat="1" applyFont="1" applyFill="1" applyBorder="1" applyAlignment="1">
      <alignment horizontal="center" vertical="center"/>
    </xf>
    <xf numFmtId="2" fontId="17" fillId="5" borderId="1" xfId="0" applyNumberFormat="1" applyFont="1" applyFill="1" applyBorder="1" applyAlignment="1">
      <alignment horizontal="center" vertical="center"/>
    </xf>
    <xf numFmtId="0" fontId="17" fillId="2" borderId="46" xfId="0" applyFont="1" applyFill="1" applyBorder="1"/>
    <xf numFmtId="0" fontId="17" fillId="2" borderId="45" xfId="0" applyFont="1" applyFill="1" applyBorder="1"/>
    <xf numFmtId="0" fontId="44" fillId="2" borderId="46" xfId="0" applyFont="1" applyFill="1" applyBorder="1" applyAlignment="1">
      <alignment horizontal="center"/>
    </xf>
    <xf numFmtId="0" fontId="44" fillId="2" borderId="1" xfId="0" applyFont="1" applyFill="1" applyBorder="1" applyAlignment="1">
      <alignment horizontal="center"/>
    </xf>
    <xf numFmtId="0" fontId="44" fillId="0" borderId="21" xfId="0" applyFont="1" applyBorder="1"/>
    <xf numFmtId="0" fontId="57" fillId="0" borderId="0" xfId="0" applyFont="1"/>
    <xf numFmtId="0" fontId="57" fillId="0" borderId="21" xfId="0" applyFont="1" applyBorder="1"/>
    <xf numFmtId="0" fontId="57" fillId="2" borderId="46" xfId="0" applyFont="1" applyFill="1" applyBorder="1"/>
    <xf numFmtId="0" fontId="57" fillId="0" borderId="0" xfId="0" applyFont="1" applyAlignment="1">
      <alignment horizontal="center"/>
    </xf>
    <xf numFmtId="0" fontId="57" fillId="2" borderId="1" xfId="0" applyFont="1" applyFill="1" applyBorder="1" applyAlignment="1">
      <alignment horizontal="center"/>
    </xf>
    <xf numFmtId="0" fontId="57" fillId="2" borderId="1" xfId="0" applyFont="1" applyFill="1" applyBorder="1"/>
    <xf numFmtId="0" fontId="57" fillId="2" borderId="1" xfId="0" applyFont="1" applyFill="1" applyBorder="1" applyAlignment="1">
      <alignment horizontal="left"/>
    </xf>
    <xf numFmtId="0" fontId="57" fillId="0" borderId="11" xfId="0" applyFont="1" applyBorder="1"/>
    <xf numFmtId="0" fontId="57" fillId="0" borderId="0" xfId="0" applyFont="1" applyAlignment="1">
      <alignment horizontal="left"/>
    </xf>
    <xf numFmtId="0" fontId="57" fillId="2" borderId="45" xfId="0" applyFont="1" applyFill="1" applyBorder="1"/>
    <xf numFmtId="0" fontId="57" fillId="0" borderId="12" xfId="0" applyFont="1" applyBorder="1"/>
    <xf numFmtId="0" fontId="18" fillId="3" borderId="6" xfId="0" applyFont="1" applyFill="1" applyBorder="1" applyAlignment="1">
      <alignment horizontal="left"/>
    </xf>
    <xf numFmtId="0" fontId="18" fillId="2" borderId="46" xfId="0" applyFont="1" applyFill="1" applyBorder="1" applyAlignment="1">
      <alignment horizontal="left"/>
    </xf>
    <xf numFmtId="0" fontId="18" fillId="10" borderId="51" xfId="0" applyFont="1" applyFill="1" applyBorder="1" applyAlignment="1">
      <alignment horizontal="left" vertical="center"/>
    </xf>
    <xf numFmtId="0" fontId="18" fillId="3" borderId="6" xfId="0" applyFont="1" applyFill="1" applyBorder="1" applyAlignment="1">
      <alignment horizontal="center" vertical="center"/>
    </xf>
    <xf numFmtId="0" fontId="18" fillId="2" borderId="46" xfId="0" applyFont="1" applyFill="1" applyBorder="1" applyAlignment="1">
      <alignment horizontal="center" vertical="center"/>
    </xf>
    <xf numFmtId="0" fontId="22" fillId="2" borderId="46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22" fillId="10" borderId="6" xfId="0" applyFont="1" applyFill="1" applyBorder="1" applyAlignment="1">
      <alignment horizontal="left"/>
    </xf>
    <xf numFmtId="0" fontId="22" fillId="10" borderId="6" xfId="0" applyFont="1" applyFill="1" applyBorder="1" applyAlignment="1">
      <alignment horizontal="center"/>
    </xf>
    <xf numFmtId="0" fontId="22" fillId="3" borderId="52" xfId="0" applyFont="1" applyFill="1" applyBorder="1" applyAlignment="1">
      <alignment horizontal="left"/>
    </xf>
    <xf numFmtId="0" fontId="22" fillId="2" borderId="1" xfId="0" applyFont="1" applyFill="1" applyBorder="1" applyAlignment="1">
      <alignment horizontal="left"/>
    </xf>
    <xf numFmtId="0" fontId="22" fillId="12" borderId="6" xfId="0" applyFont="1" applyFill="1" applyBorder="1" applyAlignment="1">
      <alignment horizontal="center" vertical="center"/>
    </xf>
    <xf numFmtId="0" fontId="22" fillId="12" borderId="6" xfId="0" applyFont="1" applyFill="1" applyBorder="1" applyAlignment="1">
      <alignment horizontal="left"/>
    </xf>
    <xf numFmtId="0" fontId="22" fillId="12" borderId="6" xfId="0" applyFont="1" applyFill="1" applyBorder="1" applyAlignment="1">
      <alignment horizontal="center"/>
    </xf>
    <xf numFmtId="0" fontId="22" fillId="12" borderId="52" xfId="0" applyFont="1" applyFill="1" applyBorder="1" applyAlignment="1">
      <alignment horizontal="left"/>
    </xf>
    <xf numFmtId="0" fontId="22" fillId="2" borderId="46" xfId="0" applyFont="1" applyFill="1" applyBorder="1" applyAlignment="1">
      <alignment horizontal="left"/>
    </xf>
    <xf numFmtId="0" fontId="22" fillId="2" borderId="45" xfId="0" applyFont="1" applyFill="1" applyBorder="1" applyAlignment="1">
      <alignment horizontal="center" vertical="center"/>
    </xf>
    <xf numFmtId="0" fontId="22" fillId="19" borderId="6" xfId="0" applyFont="1" applyFill="1" applyBorder="1" applyAlignment="1">
      <alignment horizontal="center" vertical="center"/>
    </xf>
    <xf numFmtId="0" fontId="22" fillId="19" borderId="6" xfId="0" applyFont="1" applyFill="1" applyBorder="1" applyAlignment="1">
      <alignment horizontal="left"/>
    </xf>
    <xf numFmtId="0" fontId="22" fillId="19" borderId="51" xfId="0" applyFont="1" applyFill="1" applyBorder="1" applyAlignment="1">
      <alignment horizontal="center" vertical="center"/>
    </xf>
    <xf numFmtId="0" fontId="22" fillId="19" borderId="52" xfId="0" applyFont="1" applyFill="1" applyBorder="1" applyAlignment="1">
      <alignment horizontal="center" vertical="center"/>
    </xf>
    <xf numFmtId="0" fontId="22" fillId="12" borderId="5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/>
    </xf>
    <xf numFmtId="0" fontId="22" fillId="2" borderId="46" xfId="0" applyFont="1" applyFill="1" applyBorder="1" applyAlignment="1">
      <alignment horizontal="center"/>
    </xf>
    <xf numFmtId="177" fontId="17" fillId="5" borderId="1" xfId="0" applyNumberFormat="1" applyFont="1" applyFill="1" applyBorder="1" applyAlignment="1">
      <alignment horizontal="center"/>
    </xf>
    <xf numFmtId="9" fontId="17" fillId="2" borderId="46" xfId="0" applyNumberFormat="1" applyFont="1" applyFill="1" applyBorder="1" applyAlignment="1">
      <alignment horizontal="center"/>
    </xf>
    <xf numFmtId="10" fontId="17" fillId="0" borderId="0" xfId="0" applyNumberFormat="1" applyFont="1" applyAlignment="1">
      <alignment horizontal="left"/>
    </xf>
    <xf numFmtId="10" fontId="17" fillId="2" borderId="1" xfId="0" applyNumberFormat="1" applyFont="1" applyFill="1" applyBorder="1"/>
    <xf numFmtId="10" fontId="17" fillId="2" borderId="46" xfId="0" applyNumberFormat="1" applyFont="1" applyFill="1" applyBorder="1"/>
    <xf numFmtId="184" fontId="17" fillId="2" borderId="1" xfId="0" applyNumberFormat="1" applyFont="1" applyFill="1" applyBorder="1"/>
    <xf numFmtId="166" fontId="17" fillId="2" borderId="46" xfId="0" applyNumberFormat="1" applyFont="1" applyFill="1" applyBorder="1"/>
    <xf numFmtId="166" fontId="17" fillId="2" borderId="1" xfId="0" applyNumberFormat="1" applyFont="1" applyFill="1" applyBorder="1" applyAlignment="1">
      <alignment horizontal="center" vertical="center"/>
    </xf>
    <xf numFmtId="2" fontId="17" fillId="12" borderId="1" xfId="0" applyNumberFormat="1" applyFont="1" applyFill="1" applyBorder="1"/>
    <xf numFmtId="9" fontId="17" fillId="2" borderId="46" xfId="0" applyNumberFormat="1" applyFont="1" applyFill="1" applyBorder="1"/>
    <xf numFmtId="9" fontId="17" fillId="2" borderId="45" xfId="0" applyNumberFormat="1" applyFont="1" applyFill="1" applyBorder="1"/>
    <xf numFmtId="10" fontId="17" fillId="2" borderId="1" xfId="0" applyNumberFormat="1" applyFont="1" applyFill="1" applyBorder="1" applyAlignment="1">
      <alignment horizontal="center"/>
    </xf>
    <xf numFmtId="10" fontId="17" fillId="2" borderId="1" xfId="0" applyNumberFormat="1" applyFont="1" applyFill="1" applyBorder="1" applyAlignment="1">
      <alignment horizontal="center" vertical="center"/>
    </xf>
    <xf numFmtId="10" fontId="17" fillId="2" borderId="46" xfId="0" applyNumberFormat="1" applyFont="1" applyFill="1" applyBorder="1" applyAlignment="1">
      <alignment horizontal="center"/>
    </xf>
    <xf numFmtId="9" fontId="49" fillId="0" borderId="0" xfId="0" applyNumberFormat="1" applyFont="1"/>
    <xf numFmtId="9" fontId="40" fillId="2" borderId="45" xfId="0" applyNumberFormat="1" applyFont="1" applyFill="1" applyBorder="1"/>
    <xf numFmtId="9" fontId="40" fillId="2" borderId="1" xfId="0" applyNumberFormat="1" applyFont="1" applyFill="1" applyBorder="1"/>
    <xf numFmtId="0" fontId="18" fillId="10" borderId="52" xfId="0" applyFont="1" applyFill="1" applyBorder="1"/>
    <xf numFmtId="2" fontId="17" fillId="2" borderId="46" xfId="0" applyNumberFormat="1" applyFont="1" applyFill="1" applyBorder="1" applyAlignment="1">
      <alignment horizontal="center" vertical="center"/>
    </xf>
    <xf numFmtId="0" fontId="22" fillId="12" borderId="6" xfId="0" applyFont="1" applyFill="1" applyBorder="1" applyAlignment="1">
      <alignment horizontal="left" vertical="center"/>
    </xf>
    <xf numFmtId="2" fontId="17" fillId="2" borderId="45" xfId="0" applyNumberFormat="1" applyFont="1" applyFill="1" applyBorder="1" applyAlignment="1">
      <alignment horizontal="center" vertical="center"/>
    </xf>
    <xf numFmtId="166" fontId="17" fillId="2" borderId="1" xfId="0" applyNumberFormat="1" applyFont="1" applyFill="1" applyBorder="1" applyAlignment="1">
      <alignment horizontal="left"/>
    </xf>
    <xf numFmtId="9" fontId="24" fillId="0" borderId="0" xfId="0" applyNumberFormat="1" applyFont="1"/>
    <xf numFmtId="9" fontId="17" fillId="0" borderId="0" xfId="0" applyNumberFormat="1" applyFont="1" applyAlignment="1">
      <alignment horizontal="left"/>
    </xf>
    <xf numFmtId="185" fontId="17" fillId="0" borderId="0" xfId="0" applyNumberFormat="1" applyFont="1" applyAlignment="1">
      <alignment horizontal="center"/>
    </xf>
    <xf numFmtId="0" fontId="22" fillId="13" borderId="6" xfId="0" applyFont="1" applyFill="1" applyBorder="1" applyAlignment="1">
      <alignment horizontal="right" vertical="center"/>
    </xf>
    <xf numFmtId="2" fontId="17" fillId="0" borderId="0" xfId="0" applyNumberFormat="1" applyFont="1" applyAlignment="1">
      <alignment horizontal="right" vertical="center"/>
    </xf>
    <xf numFmtId="0" fontId="17" fillId="2" borderId="65" xfId="0" applyFont="1" applyFill="1" applyBorder="1"/>
    <xf numFmtId="0" fontId="17" fillId="2" borderId="66" xfId="0" applyFont="1" applyFill="1" applyBorder="1"/>
    <xf numFmtId="0" fontId="17" fillId="2" borderId="67" xfId="0" applyFont="1" applyFill="1" applyBorder="1"/>
    <xf numFmtId="0" fontId="17" fillId="2" borderId="68" xfId="0" applyFont="1" applyFill="1" applyBorder="1"/>
    <xf numFmtId="0" fontId="17" fillId="2" borderId="69" xfId="0" applyFont="1" applyFill="1" applyBorder="1"/>
    <xf numFmtId="0" fontId="18" fillId="2" borderId="52" xfId="0" applyFont="1" applyFill="1" applyBorder="1" applyAlignment="1">
      <alignment horizontal="center"/>
    </xf>
    <xf numFmtId="0" fontId="18" fillId="2" borderId="43" xfId="0" applyFont="1" applyFill="1" applyBorder="1" applyAlignment="1">
      <alignment horizontal="center"/>
    </xf>
    <xf numFmtId="0" fontId="18" fillId="2" borderId="44" xfId="0" applyFont="1" applyFill="1" applyBorder="1"/>
    <xf numFmtId="0" fontId="18" fillId="2" borderId="20" xfId="0" applyFont="1" applyFill="1" applyBorder="1"/>
    <xf numFmtId="0" fontId="25" fillId="2" borderId="51" xfId="0" applyFont="1" applyFill="1" applyBorder="1" applyAlignment="1">
      <alignment horizontal="center" vertical="center" wrapText="1"/>
    </xf>
    <xf numFmtId="0" fontId="25" fillId="2" borderId="6" xfId="0" applyFont="1" applyFill="1" applyBorder="1" applyAlignment="1">
      <alignment horizontal="center" vertical="center" wrapText="1"/>
    </xf>
    <xf numFmtId="0" fontId="25" fillId="2" borderId="52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18" fillId="2" borderId="43" xfId="0" applyFont="1" applyFill="1" applyBorder="1"/>
    <xf numFmtId="0" fontId="40" fillId="2" borderId="43" xfId="0" applyFont="1" applyFill="1" applyBorder="1"/>
    <xf numFmtId="0" fontId="17" fillId="2" borderId="44" xfId="0" applyFont="1" applyFill="1" applyBorder="1"/>
    <xf numFmtId="0" fontId="17" fillId="2" borderId="20" xfId="0" applyFont="1" applyFill="1" applyBorder="1"/>
    <xf numFmtId="0" fontId="17" fillId="2" borderId="51" xfId="0" applyFont="1" applyFill="1" applyBorder="1"/>
    <xf numFmtId="0" fontId="17" fillId="9" borderId="51" xfId="0" applyFont="1" applyFill="1" applyBorder="1" applyAlignment="1">
      <alignment horizontal="center" vertical="center"/>
    </xf>
    <xf numFmtId="0" fontId="17" fillId="9" borderId="6" xfId="0" applyFont="1" applyFill="1" applyBorder="1" applyAlignment="1">
      <alignment horizontal="center" vertical="center"/>
    </xf>
    <xf numFmtId="0" fontId="17" fillId="9" borderId="52" xfId="0" applyFont="1" applyFill="1" applyBorder="1" applyAlignment="1">
      <alignment horizontal="center" vertical="center"/>
    </xf>
    <xf numFmtId="0" fontId="17" fillId="9" borderId="10" xfId="0" applyFont="1" applyFill="1" applyBorder="1" applyAlignment="1">
      <alignment horizontal="center" vertical="center"/>
    </xf>
    <xf numFmtId="0" fontId="17" fillId="2" borderId="45" xfId="0" applyFont="1" applyFill="1" applyBorder="1" applyAlignment="1">
      <alignment horizontal="left"/>
    </xf>
    <xf numFmtId="0" fontId="17" fillId="2" borderId="59" xfId="0" applyFont="1" applyFill="1" applyBorder="1"/>
    <xf numFmtId="0" fontId="17" fillId="2" borderId="59" xfId="0" applyFont="1" applyFill="1" applyBorder="1" applyAlignment="1">
      <alignment horizontal="left"/>
    </xf>
    <xf numFmtId="0" fontId="17" fillId="2" borderId="45" xfId="0" applyFont="1" applyFill="1" applyBorder="1" applyAlignment="1">
      <alignment horizontal="center"/>
    </xf>
    <xf numFmtId="0" fontId="17" fillId="2" borderId="59" xfId="0" applyFont="1" applyFill="1" applyBorder="1" applyAlignment="1">
      <alignment horizontal="center"/>
    </xf>
    <xf numFmtId="0" fontId="17" fillId="2" borderId="22" xfId="0" applyFont="1" applyFill="1" applyBorder="1" applyAlignment="1">
      <alignment horizontal="left"/>
    </xf>
    <xf numFmtId="0" fontId="17" fillId="2" borderId="51" xfId="0" applyFont="1" applyFill="1" applyBorder="1" applyAlignment="1">
      <alignment horizontal="left"/>
    </xf>
    <xf numFmtId="0" fontId="17" fillId="2" borderId="10" xfId="0" applyFont="1" applyFill="1" applyBorder="1"/>
    <xf numFmtId="170" fontId="17" fillId="2" borderId="50" xfId="0" applyNumberFormat="1" applyFont="1" applyFill="1" applyBorder="1"/>
    <xf numFmtId="0" fontId="17" fillId="2" borderId="22" xfId="0" applyFont="1" applyFill="1" applyBorder="1"/>
    <xf numFmtId="0" fontId="17" fillId="2" borderId="10" xfId="0" applyFont="1" applyFill="1" applyBorder="1" applyAlignment="1">
      <alignment horizontal="left"/>
    </xf>
    <xf numFmtId="0" fontId="17" fillId="9" borderId="51" xfId="0" applyFont="1" applyFill="1" applyBorder="1" applyAlignment="1">
      <alignment horizontal="center"/>
    </xf>
    <xf numFmtId="0" fontId="17" fillId="2" borderId="52" xfId="0" applyFont="1" applyFill="1" applyBorder="1" applyAlignment="1">
      <alignment horizontal="center"/>
    </xf>
    <xf numFmtId="0" fontId="17" fillId="2" borderId="22" xfId="0" applyFont="1" applyFill="1" applyBorder="1" applyAlignment="1">
      <alignment horizontal="center"/>
    </xf>
    <xf numFmtId="0" fontId="18" fillId="2" borderId="51" xfId="0" applyFont="1" applyFill="1" applyBorder="1" applyAlignment="1">
      <alignment horizontal="center"/>
    </xf>
    <xf numFmtId="0" fontId="18" fillId="2" borderId="52" xfId="0" applyFont="1" applyFill="1" applyBorder="1"/>
    <xf numFmtId="0" fontId="18" fillId="2" borderId="10" xfId="0" applyFont="1" applyFill="1" applyBorder="1"/>
    <xf numFmtId="0" fontId="18" fillId="2" borderId="45" xfId="0" applyFont="1" applyFill="1" applyBorder="1"/>
    <xf numFmtId="0" fontId="18" fillId="2" borderId="59" xfId="0" applyFont="1" applyFill="1" applyBorder="1"/>
    <xf numFmtId="0" fontId="18" fillId="2" borderId="10" xfId="0" applyFont="1" applyFill="1" applyBorder="1" applyAlignment="1">
      <alignment horizontal="center"/>
    </xf>
    <xf numFmtId="0" fontId="17" fillId="2" borderId="10" xfId="0" applyFont="1" applyFill="1" applyBorder="1" applyAlignment="1">
      <alignment horizontal="center" vertical="center"/>
    </xf>
    <xf numFmtId="0" fontId="17" fillId="2" borderId="52" xfId="0" applyFont="1" applyFill="1" applyBorder="1" applyAlignment="1">
      <alignment horizontal="center" vertical="center"/>
    </xf>
    <xf numFmtId="0" fontId="17" fillId="2" borderId="59" xfId="0" applyFont="1" applyFill="1" applyBorder="1" applyAlignment="1">
      <alignment horizontal="center" vertical="center"/>
    </xf>
    <xf numFmtId="0" fontId="52" fillId="2" borderId="43" xfId="0" applyFont="1" applyFill="1" applyBorder="1"/>
    <xf numFmtId="0" fontId="17" fillId="2" borderId="22" xfId="0" applyFont="1" applyFill="1" applyBorder="1" applyAlignment="1">
      <alignment horizontal="center" vertical="center"/>
    </xf>
    <xf numFmtId="2" fontId="17" fillId="2" borderId="52" xfId="0" applyNumberFormat="1" applyFont="1" applyFill="1" applyBorder="1"/>
    <xf numFmtId="0" fontId="17" fillId="2" borderId="48" xfId="0" applyFont="1" applyFill="1" applyBorder="1" applyAlignment="1">
      <alignment horizontal="center"/>
    </xf>
    <xf numFmtId="0" fontId="17" fillId="5" borderId="22" xfId="0" applyFont="1" applyFill="1" applyBorder="1" applyAlignment="1">
      <alignment horizontal="center"/>
    </xf>
    <xf numFmtId="0" fontId="17" fillId="2" borderId="70" xfId="0" applyFont="1" applyFill="1" applyBorder="1"/>
    <xf numFmtId="0" fontId="17" fillId="2" borderId="71" xfId="0" applyFont="1" applyFill="1" applyBorder="1"/>
    <xf numFmtId="0" fontId="17" fillId="2" borderId="72" xfId="0" applyFont="1" applyFill="1" applyBorder="1"/>
    <xf numFmtId="0" fontId="17" fillId="2" borderId="43" xfId="0" applyFont="1" applyFill="1" applyBorder="1"/>
    <xf numFmtId="0" fontId="17" fillId="2" borderId="44" xfId="0" applyFont="1" applyFill="1" applyBorder="1" applyAlignment="1">
      <alignment horizontal="center"/>
    </xf>
    <xf numFmtId="0" fontId="17" fillId="2" borderId="46" xfId="0" applyFont="1" applyFill="1" applyBorder="1" applyAlignment="1">
      <alignment horizontal="center"/>
    </xf>
    <xf numFmtId="0" fontId="18" fillId="0" borderId="18" xfId="0" applyFont="1" applyBorder="1"/>
    <xf numFmtId="0" fontId="18" fillId="0" borderId="13" xfId="0" applyFont="1" applyBorder="1"/>
    <xf numFmtId="0" fontId="17" fillId="2" borderId="53" xfId="0" applyFont="1" applyFill="1" applyBorder="1"/>
    <xf numFmtId="0" fontId="17" fillId="2" borderId="5" xfId="0" applyFont="1" applyFill="1" applyBorder="1" applyAlignment="1">
      <alignment horizontal="center"/>
    </xf>
    <xf numFmtId="10" fontId="17" fillId="0" borderId="15" xfId="0" applyNumberFormat="1" applyFont="1" applyBorder="1" applyAlignment="1">
      <alignment horizontal="center"/>
    </xf>
    <xf numFmtId="9" fontId="17" fillId="0" borderId="15" xfId="0" applyNumberFormat="1" applyFont="1" applyBorder="1" applyAlignment="1">
      <alignment horizontal="center"/>
    </xf>
    <xf numFmtId="0" fontId="17" fillId="2" borderId="53" xfId="0" applyFont="1" applyFill="1" applyBorder="1" applyAlignment="1">
      <alignment horizontal="center"/>
    </xf>
    <xf numFmtId="1" fontId="17" fillId="0" borderId="18" xfId="0" applyNumberFormat="1" applyFont="1" applyBorder="1" applyAlignment="1">
      <alignment horizontal="center"/>
    </xf>
    <xf numFmtId="0" fontId="18" fillId="2" borderId="1" xfId="0" applyFont="1" applyFill="1" applyBorder="1" applyAlignment="1">
      <alignment horizontal="left"/>
    </xf>
    <xf numFmtId="9" fontId="17" fillId="0" borderId="15" xfId="0" applyNumberFormat="1" applyFont="1" applyBorder="1"/>
    <xf numFmtId="9" fontId="17" fillId="0" borderId="18" xfId="0" applyNumberFormat="1" applyFont="1" applyBorder="1"/>
    <xf numFmtId="0" fontId="17" fillId="0" borderId="23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21" xfId="0" applyFont="1" applyBorder="1" applyAlignment="1">
      <alignment horizontal="center"/>
    </xf>
    <xf numFmtId="9" fontId="17" fillId="0" borderId="12" xfId="0" applyNumberFormat="1" applyFont="1" applyBorder="1" applyAlignment="1">
      <alignment horizontal="center"/>
    </xf>
    <xf numFmtId="9" fontId="17" fillId="0" borderId="18" xfId="0" applyNumberFormat="1" applyFont="1" applyBorder="1" applyAlignment="1">
      <alignment horizontal="center"/>
    </xf>
    <xf numFmtId="9" fontId="17" fillId="0" borderId="19" xfId="0" applyNumberFormat="1" applyFont="1" applyBorder="1" applyAlignment="1">
      <alignment horizontal="center"/>
    </xf>
    <xf numFmtId="0" fontId="17" fillId="0" borderId="13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9" fontId="17" fillId="0" borderId="21" xfId="0" applyNumberFormat="1" applyFont="1" applyBorder="1"/>
    <xf numFmtId="9" fontId="17" fillId="0" borderId="23" xfId="0" applyNumberFormat="1" applyFont="1" applyBorder="1"/>
    <xf numFmtId="9" fontId="17" fillId="0" borderId="19" xfId="0" applyNumberFormat="1" applyFont="1" applyBorder="1"/>
    <xf numFmtId="0" fontId="17" fillId="0" borderId="9" xfId="0" applyFont="1" applyBorder="1"/>
    <xf numFmtId="0" fontId="16" fillId="0" borderId="0" xfId="0" applyFont="1" applyAlignment="1">
      <alignment horizontal="center"/>
    </xf>
    <xf numFmtId="0" fontId="15" fillId="0" borderId="0" xfId="0" applyFont="1"/>
    <xf numFmtId="185" fontId="0" fillId="0" borderId="0" xfId="0" applyNumberFormat="1"/>
    <xf numFmtId="0" fontId="24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13" fillId="0" borderId="0" xfId="0" applyFont="1"/>
    <xf numFmtId="168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6" fontId="17" fillId="10" borderId="1" xfId="1" applyNumberFormat="1" applyFont="1" applyFill="1" applyBorder="1"/>
    <xf numFmtId="0" fontId="68" fillId="0" borderId="0" xfId="0" applyFont="1"/>
    <xf numFmtId="0" fontId="66" fillId="0" borderId="0" xfId="0" applyFont="1"/>
    <xf numFmtId="175" fontId="40" fillId="0" borderId="0" xfId="0" applyNumberFormat="1" applyFont="1"/>
    <xf numFmtId="9" fontId="40" fillId="0" borderId="0" xfId="0" applyNumberFormat="1" applyFont="1"/>
    <xf numFmtId="10" fontId="0" fillId="0" borderId="0" xfId="0" applyNumberFormat="1"/>
    <xf numFmtId="0" fontId="12" fillId="0" borderId="0" xfId="0" applyFont="1"/>
    <xf numFmtId="187" fontId="0" fillId="0" borderId="0" xfId="1" applyNumberFormat="1" applyFont="1"/>
    <xf numFmtId="187" fontId="17" fillId="0" borderId="12" xfId="1" applyNumberFormat="1" applyFont="1" applyBorder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0" fillId="0" borderId="0" xfId="0" applyNumberFormat="1" applyAlignment="1">
      <alignment horizontal="center"/>
    </xf>
    <xf numFmtId="0" fontId="67" fillId="0" borderId="0" xfId="0" applyFont="1"/>
    <xf numFmtId="171" fontId="0" fillId="0" borderId="0" xfId="0" applyNumberFormat="1" applyAlignment="1">
      <alignment horizontal="center"/>
    </xf>
    <xf numFmtId="0" fontId="0" fillId="0" borderId="73" xfId="0" applyBorder="1"/>
    <xf numFmtId="0" fontId="12" fillId="0" borderId="73" xfId="0" applyFont="1" applyBorder="1" applyAlignment="1">
      <alignment horizontal="center"/>
    </xf>
    <xf numFmtId="0" fontId="12" fillId="0" borderId="73" xfId="0" applyFont="1" applyBorder="1"/>
    <xf numFmtId="1" fontId="0" fillId="0" borderId="73" xfId="0" applyNumberFormat="1" applyBorder="1" applyAlignment="1">
      <alignment horizontal="center"/>
    </xf>
    <xf numFmtId="170" fontId="0" fillId="0" borderId="73" xfId="0" applyNumberFormat="1" applyBorder="1" applyAlignment="1">
      <alignment horizontal="center"/>
    </xf>
    <xf numFmtId="0" fontId="70" fillId="0" borderId="0" xfId="0" applyFont="1"/>
    <xf numFmtId="9" fontId="0" fillId="0" borderId="0" xfId="0" applyNumberFormat="1"/>
    <xf numFmtId="0" fontId="17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70" fontId="0" fillId="0" borderId="0" xfId="0" applyNumberFormat="1"/>
    <xf numFmtId="0" fontId="71" fillId="0" borderId="0" xfId="0" applyFont="1"/>
    <xf numFmtId="0" fontId="71" fillId="0" borderId="0" xfId="0" applyFont="1" applyAlignment="1">
      <alignment horizontal="center"/>
    </xf>
    <xf numFmtId="170" fontId="71" fillId="0" borderId="0" xfId="0" applyNumberFormat="1" applyFont="1" applyAlignment="1">
      <alignment horizontal="center"/>
    </xf>
    <xf numFmtId="1" fontId="71" fillId="0" borderId="0" xfId="0" applyNumberFormat="1" applyFont="1" applyAlignment="1">
      <alignment horizontal="center"/>
    </xf>
    <xf numFmtId="9" fontId="0" fillId="0" borderId="0" xfId="2" applyFont="1"/>
    <xf numFmtId="187" fontId="71" fillId="0" borderId="0" xfId="1" applyNumberFormat="1" applyFont="1" applyAlignment="1">
      <alignment horizontal="center"/>
    </xf>
    <xf numFmtId="187" fontId="71" fillId="0" borderId="0" xfId="0" applyNumberFormat="1" applyFont="1" applyAlignment="1">
      <alignment horizontal="center"/>
    </xf>
    <xf numFmtId="0" fontId="72" fillId="0" borderId="0" xfId="0" applyFont="1" applyAlignment="1">
      <alignment horizontal="center"/>
    </xf>
    <xf numFmtId="187" fontId="72" fillId="0" borderId="0" xfId="1" applyNumberFormat="1" applyFont="1" applyAlignment="1">
      <alignment horizontal="center"/>
    </xf>
    <xf numFmtId="168" fontId="67" fillId="0" borderId="0" xfId="0" applyNumberFormat="1" applyFont="1"/>
    <xf numFmtId="2" fontId="71" fillId="0" borderId="0" xfId="0" applyNumberFormat="1" applyFont="1"/>
    <xf numFmtId="0" fontId="73" fillId="0" borderId="0" xfId="0" applyFont="1"/>
    <xf numFmtId="0" fontId="74" fillId="0" borderId="0" xfId="0" applyFont="1"/>
    <xf numFmtId="0" fontId="12" fillId="0" borderId="0" xfId="0" applyFont="1" applyAlignment="1">
      <alignment vertical="center"/>
    </xf>
    <xf numFmtId="168" fontId="25" fillId="0" borderId="17" xfId="0" applyNumberFormat="1" applyFont="1" applyBorder="1"/>
    <xf numFmtId="0" fontId="12" fillId="0" borderId="0" xfId="0" applyFont="1" applyAlignment="1">
      <alignment horizontal="right"/>
    </xf>
    <xf numFmtId="0" fontId="29" fillId="0" borderId="0" xfId="0" applyFont="1" applyAlignment="1">
      <alignment horizontal="right"/>
    </xf>
    <xf numFmtId="0" fontId="11" fillId="0" borderId="0" xfId="0" applyFont="1"/>
    <xf numFmtId="164" fontId="0" fillId="0" borderId="0" xfId="1" applyFont="1"/>
    <xf numFmtId="1" fontId="0" fillId="0" borderId="0" xfId="0" applyNumberFormat="1"/>
    <xf numFmtId="1" fontId="76" fillId="20" borderId="0" xfId="0" applyNumberFormat="1" applyFont="1" applyFill="1"/>
    <xf numFmtId="2" fontId="11" fillId="0" borderId="0" xfId="0" applyNumberFormat="1" applyFont="1"/>
    <xf numFmtId="0" fontId="0" fillId="0" borderId="0" xfId="0" applyAlignment="1">
      <alignment horizontal="left"/>
    </xf>
    <xf numFmtId="0" fontId="11" fillId="0" borderId="0" xfId="0" applyFont="1" applyAlignment="1">
      <alignment horizontal="center" vertical="center"/>
    </xf>
    <xf numFmtId="185" fontId="0" fillId="0" borderId="76" xfId="0" applyNumberFormat="1" applyBorder="1"/>
    <xf numFmtId="0" fontId="67" fillId="0" borderId="0" xfId="0" applyFont="1" applyAlignment="1">
      <alignment horizontal="center"/>
    </xf>
    <xf numFmtId="0" fontId="0" fillId="21" borderId="0" xfId="0" applyFill="1"/>
    <xf numFmtId="166" fontId="0" fillId="0" borderId="0" xfId="2" applyNumberFormat="1" applyFont="1"/>
    <xf numFmtId="9" fontId="24" fillId="0" borderId="0" xfId="2" applyFont="1"/>
    <xf numFmtId="0" fontId="0" fillId="0" borderId="0" xfId="0" applyAlignment="1">
      <alignment horizontal="right"/>
    </xf>
    <xf numFmtId="2" fontId="17" fillId="0" borderId="0" xfId="0" applyNumberFormat="1" applyFont="1" applyAlignment="1">
      <alignment horizontal="left"/>
    </xf>
    <xf numFmtId="164" fontId="24" fillId="0" borderId="0" xfId="1" applyFont="1"/>
    <xf numFmtId="0" fontId="78" fillId="0" borderId="0" xfId="0" applyFont="1"/>
    <xf numFmtId="0" fontId="17" fillId="22" borderId="1" xfId="0" applyFont="1" applyFill="1" applyBorder="1"/>
    <xf numFmtId="0" fontId="0" fillId="23" borderId="0" xfId="0" applyFill="1"/>
    <xf numFmtId="0" fontId="17" fillId="24" borderId="1" xfId="0" applyFont="1" applyFill="1" applyBorder="1"/>
    <xf numFmtId="0" fontId="17" fillId="25" borderId="1" xfId="0" applyFont="1" applyFill="1" applyBorder="1"/>
    <xf numFmtId="0" fontId="17" fillId="2" borderId="64" xfId="0" applyFont="1" applyFill="1" applyBorder="1"/>
    <xf numFmtId="164" fontId="0" fillId="23" borderId="0" xfId="0" applyNumberFormat="1" applyFill="1"/>
    <xf numFmtId="166" fontId="17" fillId="0" borderId="0" xfId="2" applyNumberFormat="1" applyFont="1"/>
    <xf numFmtId="10" fontId="17" fillId="21" borderId="0" xfId="0" applyNumberFormat="1" applyFont="1" applyFill="1"/>
    <xf numFmtId="0" fontId="17" fillId="21" borderId="0" xfId="0" applyFont="1" applyFill="1" applyAlignment="1">
      <alignment horizontal="center" vertical="center"/>
    </xf>
    <xf numFmtId="0" fontId="10" fillId="0" borderId="0" xfId="0" applyFont="1"/>
    <xf numFmtId="0" fontId="9" fillId="0" borderId="0" xfId="0" applyFont="1"/>
    <xf numFmtId="0" fontId="80" fillId="0" borderId="0" xfId="0" applyFont="1"/>
    <xf numFmtId="0" fontId="81" fillId="0" borderId="0" xfId="0" applyFont="1"/>
    <xf numFmtId="0" fontId="82" fillId="0" borderId="0" xfId="0" applyFont="1" applyAlignment="1">
      <alignment horizontal="center"/>
    </xf>
    <xf numFmtId="9" fontId="81" fillId="0" borderId="0" xfId="0" applyNumberFormat="1" applyFont="1"/>
    <xf numFmtId="9" fontId="81" fillId="0" borderId="0" xfId="2" applyFont="1"/>
    <xf numFmtId="170" fontId="82" fillId="0" borderId="0" xfId="0" applyNumberFormat="1" applyFont="1" applyAlignment="1">
      <alignment horizontal="center"/>
    </xf>
    <xf numFmtId="1" fontId="82" fillId="0" borderId="0" xfId="0" applyNumberFormat="1" applyFont="1" applyAlignment="1">
      <alignment horizontal="center"/>
    </xf>
    <xf numFmtId="187" fontId="82" fillId="0" borderId="0" xfId="1" applyNumberFormat="1" applyFont="1" applyAlignment="1">
      <alignment horizontal="center"/>
    </xf>
    <xf numFmtId="9" fontId="81" fillId="0" borderId="76" xfId="0" applyNumberFormat="1" applyFont="1" applyBorder="1"/>
    <xf numFmtId="187" fontId="82" fillId="0" borderId="0" xfId="0" applyNumberFormat="1" applyFont="1" applyAlignment="1">
      <alignment horizontal="center"/>
    </xf>
    <xf numFmtId="0" fontId="83" fillId="0" borderId="0" xfId="0" applyFont="1" applyAlignment="1">
      <alignment horizontal="center"/>
    </xf>
    <xf numFmtId="187" fontId="83" fillId="0" borderId="0" xfId="1" applyNumberFormat="1" applyFont="1" applyAlignment="1">
      <alignment horizontal="center"/>
    </xf>
    <xf numFmtId="0" fontId="84" fillId="0" borderId="0" xfId="0" applyFont="1" applyAlignment="1">
      <alignment horizontal="right"/>
    </xf>
    <xf numFmtId="170" fontId="9" fillId="0" borderId="0" xfId="0" applyNumberFormat="1" applyFont="1"/>
    <xf numFmtId="170" fontId="11" fillId="0" borderId="0" xfId="0" applyNumberFormat="1" applyFont="1"/>
    <xf numFmtId="170" fontId="0" fillId="21" borderId="0" xfId="0" applyNumberFormat="1" applyFill="1"/>
    <xf numFmtId="170" fontId="0" fillId="26" borderId="0" xfId="0" applyNumberFormat="1" applyFill="1"/>
    <xf numFmtId="10" fontId="0" fillId="0" borderId="0" xfId="2" applyNumberFormat="1" applyFont="1"/>
    <xf numFmtId="166" fontId="0" fillId="0" borderId="0" xfId="0" applyNumberFormat="1"/>
    <xf numFmtId="2" fontId="25" fillId="0" borderId="0" xfId="0" applyNumberFormat="1" applyFont="1"/>
    <xf numFmtId="0" fontId="8" fillId="0" borderId="0" xfId="0" applyFont="1"/>
    <xf numFmtId="170" fontId="71" fillId="0" borderId="0" xfId="0" applyNumberFormat="1" applyFont="1"/>
    <xf numFmtId="0" fontId="85" fillId="4" borderId="7" xfId="0" applyFont="1" applyFill="1" applyBorder="1" applyAlignment="1">
      <alignment horizontal="center"/>
    </xf>
    <xf numFmtId="177" fontId="25" fillId="0" borderId="0" xfId="0" applyNumberFormat="1" applyFont="1"/>
    <xf numFmtId="188" fontId="25" fillId="0" borderId="0" xfId="0" applyNumberFormat="1" applyFont="1"/>
    <xf numFmtId="0" fontId="86" fillId="0" borderId="0" xfId="0" applyFont="1"/>
    <xf numFmtId="0" fontId="87" fillId="28" borderId="76" xfId="0" applyFont="1" applyFill="1" applyBorder="1" applyAlignment="1">
      <alignment horizontal="center"/>
    </xf>
    <xf numFmtId="0" fontId="23" fillId="27" borderId="77" xfId="3" applyFont="1" applyBorder="1" applyAlignment="1">
      <alignment horizontal="center" wrapText="1"/>
    </xf>
    <xf numFmtId="0" fontId="23" fillId="27" borderId="77" xfId="3" applyFont="1" applyBorder="1" applyAlignment="1"/>
    <xf numFmtId="0" fontId="90" fillId="0" borderId="0" xfId="0" applyFont="1"/>
    <xf numFmtId="170" fontId="17" fillId="26" borderId="0" xfId="0" applyNumberFormat="1" applyFont="1" applyFill="1" applyAlignment="1">
      <alignment horizontal="center" vertical="center"/>
    </xf>
    <xf numFmtId="170" fontId="0" fillId="26" borderId="0" xfId="0" applyNumberFormat="1" applyFill="1" applyAlignment="1">
      <alignment horizontal="center"/>
    </xf>
    <xf numFmtId="170" fontId="17" fillId="29" borderId="0" xfId="0" applyNumberFormat="1" applyFont="1" applyFill="1" applyAlignment="1">
      <alignment horizontal="center" vertical="center"/>
    </xf>
    <xf numFmtId="0" fontId="0" fillId="26" borderId="0" xfId="0" applyFill="1" applyAlignment="1">
      <alignment horizontal="center"/>
    </xf>
    <xf numFmtId="2" fontId="17" fillId="30" borderId="1" xfId="0" applyNumberFormat="1" applyFont="1" applyFill="1" applyBorder="1" applyAlignment="1">
      <alignment horizontal="center" vertical="center"/>
    </xf>
    <xf numFmtId="166" fontId="40" fillId="2" borderId="1" xfId="0" applyNumberFormat="1" applyFont="1" applyFill="1" applyBorder="1"/>
    <xf numFmtId="0" fontId="40" fillId="0" borderId="0" xfId="0" applyFont="1" applyAlignment="1">
      <alignment horizontal="left"/>
    </xf>
    <xf numFmtId="166" fontId="91" fillId="2" borderId="64" xfId="0" applyNumberFormat="1" applyFont="1" applyFill="1" applyBorder="1"/>
    <xf numFmtId="166" fontId="92" fillId="2" borderId="64" xfId="0" applyNumberFormat="1" applyFont="1" applyFill="1" applyBorder="1"/>
    <xf numFmtId="0" fontId="18" fillId="0" borderId="0" xfId="0" applyFont="1" applyAlignment="1">
      <alignment horizontal="left"/>
    </xf>
    <xf numFmtId="0" fontId="92" fillId="0" borderId="0" xfId="0" applyFont="1" applyAlignment="1">
      <alignment horizontal="left"/>
    </xf>
    <xf numFmtId="0" fontId="17" fillId="2" borderId="1" xfId="0" applyFont="1" applyFill="1" applyBorder="1" applyAlignment="1">
      <alignment horizontal="right" vertical="center"/>
    </xf>
    <xf numFmtId="0" fontId="66" fillId="0" borderId="0" xfId="0" applyFont="1" applyAlignment="1">
      <alignment horizontal="right"/>
    </xf>
    <xf numFmtId="0" fontId="73" fillId="0" borderId="0" xfId="0" applyFont="1" applyAlignment="1">
      <alignment horizontal="right"/>
    </xf>
    <xf numFmtId="0" fontId="40" fillId="2" borderId="1" xfId="0" applyFont="1" applyFill="1" applyBorder="1" applyAlignment="1">
      <alignment horizontal="right" vertical="center"/>
    </xf>
    <xf numFmtId="0" fontId="40" fillId="2" borderId="1" xfId="0" applyFont="1" applyFill="1" applyBorder="1"/>
    <xf numFmtId="0" fontId="92" fillId="2" borderId="64" xfId="0" applyFont="1" applyFill="1" applyBorder="1" applyAlignment="1">
      <alignment horizontal="right" vertical="center"/>
    </xf>
    <xf numFmtId="0" fontId="92" fillId="2" borderId="1" xfId="0" applyFont="1" applyFill="1" applyBorder="1"/>
    <xf numFmtId="0" fontId="92" fillId="2" borderId="64" xfId="0" applyFont="1" applyFill="1" applyBorder="1"/>
    <xf numFmtId="166" fontId="17" fillId="2" borderId="1" xfId="0" applyNumberFormat="1" applyFont="1" applyFill="1" applyBorder="1" applyAlignment="1">
      <alignment horizontal="left" vertical="center"/>
    </xf>
    <xf numFmtId="0" fontId="7" fillId="0" borderId="0" xfId="0" applyFont="1"/>
    <xf numFmtId="2" fontId="17" fillId="2" borderId="64" xfId="0" applyNumberFormat="1" applyFont="1" applyFill="1" applyBorder="1"/>
    <xf numFmtId="0" fontId="17" fillId="2" borderId="1" xfId="0" applyFont="1" applyFill="1" applyBorder="1" applyAlignment="1">
      <alignment horizontal="right"/>
    </xf>
    <xf numFmtId="2" fontId="17" fillId="2" borderId="64" xfId="0" applyNumberFormat="1" applyFont="1" applyFill="1" applyBorder="1" applyAlignment="1">
      <alignment horizontal="right"/>
    </xf>
    <xf numFmtId="2" fontId="17" fillId="2" borderId="1" xfId="0" applyNumberFormat="1" applyFont="1" applyFill="1" applyBorder="1" applyAlignment="1">
      <alignment horizontal="right" vertical="center"/>
    </xf>
    <xf numFmtId="2" fontId="17" fillId="2" borderId="1" xfId="0" applyNumberFormat="1" applyFont="1" applyFill="1" applyBorder="1" applyAlignment="1">
      <alignment horizontal="right"/>
    </xf>
    <xf numFmtId="0" fontId="17" fillId="2" borderId="64" xfId="0" applyFont="1" applyFill="1" applyBorder="1" applyAlignment="1">
      <alignment horizontal="right"/>
    </xf>
    <xf numFmtId="0" fontId="22" fillId="31" borderId="64" xfId="0" applyFont="1" applyFill="1" applyBorder="1" applyAlignment="1">
      <alignment horizontal="right" vertical="center"/>
    </xf>
    <xf numFmtId="0" fontId="22" fillId="31" borderId="64" xfId="0" applyFont="1" applyFill="1" applyBorder="1" applyAlignment="1">
      <alignment vertical="center"/>
    </xf>
    <xf numFmtId="0" fontId="0" fillId="23" borderId="64" xfId="0" applyFill="1" applyBorder="1" applyAlignment="1">
      <alignment horizontal="right"/>
    </xf>
    <xf numFmtId="0" fontId="0" fillId="23" borderId="64" xfId="0" applyFill="1" applyBorder="1"/>
    <xf numFmtId="2" fontId="0" fillId="0" borderId="0" xfId="0" applyNumberFormat="1" applyAlignment="1">
      <alignment horizontal="right"/>
    </xf>
    <xf numFmtId="166" fontId="17" fillId="2" borderId="64" xfId="0" applyNumberFormat="1" applyFont="1" applyFill="1" applyBorder="1"/>
    <xf numFmtId="0" fontId="17" fillId="2" borderId="64" xfId="0" applyFont="1" applyFill="1" applyBorder="1" applyAlignment="1">
      <alignment horizontal="left"/>
    </xf>
    <xf numFmtId="9" fontId="17" fillId="2" borderId="64" xfId="0" applyNumberFormat="1" applyFont="1" applyFill="1" applyBorder="1" applyAlignment="1">
      <alignment horizontal="center"/>
    </xf>
    <xf numFmtId="166" fontId="17" fillId="2" borderId="64" xfId="0" applyNumberFormat="1" applyFont="1" applyFill="1" applyBorder="1" applyAlignment="1">
      <alignment horizontal="left"/>
    </xf>
    <xf numFmtId="0" fontId="17" fillId="2" borderId="64" xfId="0" applyFont="1" applyFill="1" applyBorder="1" applyAlignment="1">
      <alignment horizontal="center"/>
    </xf>
    <xf numFmtId="9" fontId="17" fillId="2" borderId="64" xfId="0" applyNumberFormat="1" applyFont="1" applyFill="1" applyBorder="1" applyAlignment="1">
      <alignment horizontal="left"/>
    </xf>
    <xf numFmtId="9" fontId="17" fillId="2" borderId="64" xfId="0" applyNumberFormat="1" applyFont="1" applyFill="1" applyBorder="1" applyAlignment="1">
      <alignment horizontal="center" vertical="center"/>
    </xf>
    <xf numFmtId="166" fontId="17" fillId="2" borderId="64" xfId="0" applyNumberFormat="1" applyFont="1" applyFill="1" applyBorder="1" applyAlignment="1">
      <alignment horizontal="center"/>
    </xf>
    <xf numFmtId="166" fontId="17" fillId="2" borderId="64" xfId="0" applyNumberFormat="1" applyFont="1" applyFill="1" applyBorder="1" applyAlignment="1">
      <alignment horizontal="center" vertical="center"/>
    </xf>
    <xf numFmtId="9" fontId="0" fillId="0" borderId="0" xfId="2" applyFont="1" applyAlignment="1">
      <alignment horizontal="center"/>
    </xf>
    <xf numFmtId="2" fontId="17" fillId="2" borderId="1" xfId="0" quotePrefix="1" applyNumberFormat="1" applyFont="1" applyFill="1" applyBorder="1"/>
    <xf numFmtId="2" fontId="17" fillId="32" borderId="1" xfId="0" applyNumberFormat="1" applyFont="1" applyFill="1" applyBorder="1"/>
    <xf numFmtId="0" fontId="22" fillId="33" borderId="52" xfId="0" applyFont="1" applyFill="1" applyBorder="1" applyAlignment="1">
      <alignment horizontal="left"/>
    </xf>
    <xf numFmtId="171" fontId="0" fillId="0" borderId="0" xfId="0" applyNumberFormat="1"/>
    <xf numFmtId="166" fontId="24" fillId="0" borderId="0" xfId="0" applyNumberFormat="1" applyFont="1"/>
    <xf numFmtId="0" fontId="6" fillId="0" borderId="0" xfId="0" applyFont="1"/>
    <xf numFmtId="0" fontId="66" fillId="26" borderId="0" xfId="0" applyFont="1" applyFill="1" applyAlignment="1">
      <alignment horizontal="center"/>
    </xf>
    <xf numFmtId="170" fontId="0" fillId="0" borderId="0" xfId="0" applyNumberFormat="1" applyAlignment="1">
      <alignment horizontal="center"/>
    </xf>
    <xf numFmtId="0" fontId="5" fillId="0" borderId="0" xfId="0" applyFont="1"/>
    <xf numFmtId="0" fontId="4" fillId="0" borderId="0" xfId="0" applyFont="1"/>
    <xf numFmtId="0" fontId="0" fillId="0" borderId="78" xfId="0" applyBorder="1"/>
    <xf numFmtId="0" fontId="0" fillId="34" borderId="78" xfId="0" applyFill="1" applyBorder="1"/>
    <xf numFmtId="0" fontId="17" fillId="11" borderId="79" xfId="0" applyFont="1" applyFill="1" applyBorder="1" applyAlignment="1">
      <alignment horizontal="center" vertical="center"/>
    </xf>
    <xf numFmtId="0" fontId="17" fillId="35" borderId="0" xfId="0" applyFont="1" applyFill="1" applyAlignment="1">
      <alignment horizontal="center" vertical="center"/>
    </xf>
    <xf numFmtId="171" fontId="17" fillId="35" borderId="0" xfId="0" applyNumberFormat="1" applyFont="1" applyFill="1"/>
    <xf numFmtId="170" fontId="17" fillId="36" borderId="1" xfId="0" applyNumberFormat="1" applyFont="1" applyFill="1" applyBorder="1"/>
    <xf numFmtId="0" fontId="3" fillId="0" borderId="0" xfId="0" applyFont="1"/>
    <xf numFmtId="0" fontId="2" fillId="0" borderId="0" xfId="0" applyFont="1"/>
    <xf numFmtId="0" fontId="2" fillId="37" borderId="0" xfId="0" applyFont="1" applyFill="1"/>
    <xf numFmtId="0" fontId="0" fillId="37" borderId="0" xfId="0" applyFill="1"/>
    <xf numFmtId="171" fontId="0" fillId="37" borderId="0" xfId="0" applyNumberFormat="1" applyFill="1"/>
    <xf numFmtId="0" fontId="67" fillId="38" borderId="0" xfId="0" applyFont="1" applyFill="1"/>
    <xf numFmtId="2" fontId="0" fillId="38" borderId="0" xfId="0" applyNumberFormat="1" applyFill="1"/>
    <xf numFmtId="168" fontId="0" fillId="38" borderId="0" xfId="0" applyNumberFormat="1" applyFill="1"/>
    <xf numFmtId="185" fontId="0" fillId="38" borderId="0" xfId="0" applyNumberFormat="1" applyFill="1"/>
    <xf numFmtId="189" fontId="2" fillId="0" borderId="0" xfId="0" applyNumberFormat="1" applyFont="1"/>
    <xf numFmtId="0" fontId="18" fillId="2" borderId="2" xfId="0" applyFont="1" applyFill="1" applyBorder="1" applyAlignment="1">
      <alignment horizontal="center"/>
    </xf>
    <xf numFmtId="0" fontId="19" fillId="0" borderId="3" xfId="0" applyFont="1" applyBorder="1"/>
    <xf numFmtId="0" fontId="19" fillId="0" borderId="4" xfId="0" applyFont="1" applyBorder="1"/>
    <xf numFmtId="0" fontId="18" fillId="0" borderId="0" xfId="0" applyFont="1" applyAlignment="1">
      <alignment horizontal="center"/>
    </xf>
    <xf numFmtId="0" fontId="0" fillId="0" borderId="0" xfId="0"/>
    <xf numFmtId="0" fontId="18" fillId="0" borderId="8" xfId="0" applyFont="1" applyBorder="1" applyAlignment="1">
      <alignment horizontal="center"/>
    </xf>
    <xf numFmtId="0" fontId="19" fillId="0" borderId="9" xfId="0" applyFont="1" applyBorder="1"/>
    <xf numFmtId="0" fontId="25" fillId="0" borderId="16" xfId="0" applyFont="1" applyBorder="1" applyAlignment="1">
      <alignment horizontal="left" vertical="center"/>
    </xf>
    <xf numFmtId="0" fontId="19" fillId="0" borderId="12" xfId="0" applyFont="1" applyBorder="1"/>
    <xf numFmtId="0" fontId="19" fillId="0" borderId="19" xfId="0" applyFont="1" applyBorder="1"/>
    <xf numFmtId="0" fontId="18" fillId="0" borderId="23" xfId="0" applyFont="1" applyBorder="1" applyAlignment="1">
      <alignment horizontal="center"/>
    </xf>
    <xf numFmtId="0" fontId="19" fillId="0" borderId="18" xfId="0" applyFont="1" applyBorder="1"/>
    <xf numFmtId="0" fontId="26" fillId="0" borderId="0" xfId="0" applyFont="1" applyAlignment="1">
      <alignment horizontal="center"/>
    </xf>
    <xf numFmtId="0" fontId="25" fillId="26" borderId="0" xfId="0" applyFont="1" applyFill="1" applyAlignment="1">
      <alignment horizontal="center"/>
    </xf>
    <xf numFmtId="0" fontId="34" fillId="7" borderId="29" xfId="0" applyFont="1" applyFill="1" applyBorder="1" applyAlignment="1">
      <alignment horizontal="center" vertical="center" wrapText="1"/>
    </xf>
    <xf numFmtId="0" fontId="19" fillId="0" borderId="30" xfId="0" applyFont="1" applyBorder="1"/>
    <xf numFmtId="0" fontId="19" fillId="0" borderId="31" xfId="0" applyFont="1" applyBorder="1"/>
    <xf numFmtId="0" fontId="33" fillId="6" borderId="29" xfId="0" applyFont="1" applyFill="1" applyBorder="1" applyAlignment="1">
      <alignment horizontal="center" vertical="center"/>
    </xf>
    <xf numFmtId="0" fontId="33" fillId="6" borderId="35" xfId="0" applyFont="1" applyFill="1" applyBorder="1" applyAlignment="1">
      <alignment horizontal="center" vertical="center"/>
    </xf>
    <xf numFmtId="0" fontId="19" fillId="0" borderId="36" xfId="0" applyFont="1" applyBorder="1"/>
    <xf numFmtId="0" fontId="19" fillId="0" borderId="37" xfId="0" applyFont="1" applyBorder="1"/>
    <xf numFmtId="0" fontId="33" fillId="6" borderId="38" xfId="0" applyFont="1" applyFill="1" applyBorder="1" applyAlignment="1">
      <alignment horizontal="center" vertical="center"/>
    </xf>
    <xf numFmtId="0" fontId="19" fillId="0" borderId="39" xfId="0" applyFont="1" applyBorder="1"/>
    <xf numFmtId="0" fontId="19" fillId="0" borderId="40" xfId="0" applyFont="1" applyBorder="1"/>
    <xf numFmtId="2" fontId="17" fillId="0" borderId="24" xfId="0" applyNumberFormat="1" applyFont="1" applyBorder="1" applyAlignment="1">
      <alignment horizontal="center" vertical="center"/>
    </xf>
    <xf numFmtId="0" fontId="19" fillId="0" borderId="21" xfId="0" applyFont="1" applyBorder="1"/>
    <xf numFmtId="0" fontId="19" fillId="0" borderId="23" xfId="0" applyFont="1" applyBorder="1"/>
    <xf numFmtId="172" fontId="17" fillId="0" borderId="16" xfId="0" applyNumberFormat="1" applyFont="1" applyBorder="1" applyAlignment="1">
      <alignment horizontal="center" vertical="center"/>
    </xf>
    <xf numFmtId="2" fontId="25" fillId="0" borderId="24" xfId="0" applyNumberFormat="1" applyFont="1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0" fontId="38" fillId="0" borderId="0" xfId="0" applyFont="1" applyAlignment="1">
      <alignment horizontal="center"/>
    </xf>
    <xf numFmtId="0" fontId="45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2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19" fillId="0" borderId="13" xfId="0" applyFont="1" applyBorder="1"/>
    <xf numFmtId="0" fontId="18" fillId="2" borderId="8" xfId="0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9" fontId="17" fillId="2" borderId="47" xfId="0" applyNumberFormat="1" applyFont="1" applyFill="1" applyBorder="1" applyAlignment="1">
      <alignment horizontal="center" vertical="center"/>
    </xf>
    <xf numFmtId="0" fontId="19" fillId="0" borderId="49" xfId="0" applyFont="1" applyBorder="1"/>
    <xf numFmtId="9" fontId="17" fillId="0" borderId="0" xfId="0" applyNumberFormat="1" applyFont="1" applyAlignment="1">
      <alignment horizontal="center"/>
    </xf>
    <xf numFmtId="0" fontId="18" fillId="2" borderId="54" xfId="0" applyFont="1" applyFill="1" applyBorder="1" applyAlignment="1">
      <alignment horizontal="center" vertical="center"/>
    </xf>
    <xf numFmtId="0" fontId="19" fillId="0" borderId="55" xfId="0" applyFont="1" applyBorder="1"/>
    <xf numFmtId="0" fontId="19" fillId="0" borderId="56" xfId="0" applyFont="1" applyBorder="1"/>
    <xf numFmtId="0" fontId="18" fillId="2" borderId="57" xfId="0" applyFont="1" applyFill="1" applyBorder="1" applyAlignment="1">
      <alignment horizontal="center" vertical="center"/>
    </xf>
    <xf numFmtId="0" fontId="19" fillId="0" borderId="58" xfId="0" applyFont="1" applyBorder="1"/>
    <xf numFmtId="0" fontId="51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0" fontId="27" fillId="18" borderId="2" xfId="0" applyFont="1" applyFill="1" applyBorder="1" applyAlignment="1">
      <alignment horizontal="center"/>
    </xf>
    <xf numFmtId="0" fontId="27" fillId="5" borderId="2" xfId="0" applyFont="1" applyFill="1" applyBorder="1" applyAlignment="1">
      <alignment horizontal="center"/>
    </xf>
    <xf numFmtId="0" fontId="43" fillId="2" borderId="2" xfId="0" applyFont="1" applyFill="1" applyBorder="1" applyAlignment="1">
      <alignment horizontal="center" vertical="center"/>
    </xf>
    <xf numFmtId="0" fontId="18" fillId="5" borderId="2" xfId="0" applyFont="1" applyFill="1" applyBorder="1" applyAlignment="1">
      <alignment horizontal="center"/>
    </xf>
    <xf numFmtId="0" fontId="18" fillId="16" borderId="2" xfId="0" applyFont="1" applyFill="1" applyBorder="1" applyAlignment="1">
      <alignment horizontal="center"/>
    </xf>
    <xf numFmtId="0" fontId="27" fillId="18" borderId="8" xfId="0" applyFont="1" applyFill="1" applyBorder="1" applyAlignment="1">
      <alignment horizontal="center"/>
    </xf>
    <xf numFmtId="0" fontId="27" fillId="18" borderId="8" xfId="0" applyFont="1" applyFill="1" applyBorder="1" applyAlignment="1">
      <alignment horizontal="center" vertical="center"/>
    </xf>
    <xf numFmtId="0" fontId="55" fillId="10" borderId="60" xfId="0" applyFont="1" applyFill="1" applyBorder="1" applyAlignment="1">
      <alignment horizontal="center"/>
    </xf>
    <xf numFmtId="0" fontId="19" fillId="0" borderId="61" xfId="0" applyFont="1" applyBorder="1"/>
    <xf numFmtId="0" fontId="19" fillId="0" borderId="62" xfId="0" applyFont="1" applyBorder="1"/>
    <xf numFmtId="0" fontId="55" fillId="10" borderId="60" xfId="0" applyFont="1" applyFill="1" applyBorder="1" applyAlignment="1">
      <alignment horizontal="center" wrapText="1"/>
    </xf>
    <xf numFmtId="0" fontId="18" fillId="5" borderId="2" xfId="0" applyFont="1" applyFill="1" applyBorder="1" applyAlignment="1">
      <alignment horizontal="center" vertical="center"/>
    </xf>
    <xf numFmtId="0" fontId="44" fillId="0" borderId="0" xfId="0" applyFont="1" applyAlignment="1">
      <alignment horizontal="center"/>
    </xf>
    <xf numFmtId="0" fontId="44" fillId="2" borderId="2" xfId="0" applyFont="1" applyFill="1" applyBorder="1" applyAlignment="1">
      <alignment horizontal="center"/>
    </xf>
    <xf numFmtId="0" fontId="19" fillId="0" borderId="64" xfId="0" applyFont="1" applyBorder="1"/>
    <xf numFmtId="0" fontId="57" fillId="2" borderId="2" xfId="0" applyFont="1" applyFill="1" applyBorder="1" applyAlignment="1">
      <alignment horizontal="center"/>
    </xf>
    <xf numFmtId="0" fontId="57" fillId="0" borderId="0" xfId="0" applyFont="1" applyAlignment="1">
      <alignment horizontal="center"/>
    </xf>
    <xf numFmtId="0" fontId="57" fillId="0" borderId="63" xfId="0" applyFont="1" applyBorder="1" applyAlignment="1">
      <alignment horizontal="center"/>
    </xf>
    <xf numFmtId="0" fontId="19" fillId="0" borderId="63" xfId="0" applyFont="1" applyBorder="1"/>
    <xf numFmtId="0" fontId="18" fillId="0" borderId="18" xfId="0" applyFont="1" applyBorder="1" applyAlignment="1">
      <alignment horizontal="center"/>
    </xf>
    <xf numFmtId="0" fontId="17" fillId="0" borderId="18" xfId="0" applyFont="1" applyBorder="1" applyAlignment="1">
      <alignment horizontal="center"/>
    </xf>
  </cellXfs>
  <cellStyles count="4">
    <cellStyle name="20% - Énfasis5" xfId="3" builtinId="46"/>
    <cellStyle name="Millares" xfId="1" builtinId="3"/>
    <cellStyle name="Normal" xfId="0" builtinId="0"/>
    <cellStyle name="Porcentaje" xfId="2" builtinId="5"/>
  </cellStyles>
  <dxfs count="95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EXP_IMP'!$J$146:$Q$146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EXP_IMP'!$J$147:$Q$147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EXP_IMP'!$J$148:$Q$148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EXP_IMP'!$J$149:$Q$149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EXP_IMP'!$J$150:$Q$150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EXP_IMP'!$J$151:$Q$151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EXP_IMP'!$J$153:$Q$153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EXP_IMP'!$J$154:$Q$154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EXP_IMP'!$J$157:$Q$157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17929</xdr:colOff>
      <xdr:row>167</xdr:row>
      <xdr:rowOff>1681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82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97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2045634</xdr:colOff>
      <xdr:row>167</xdr:row>
      <xdr:rowOff>19610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266269" y="32704928"/>
          <a:ext cx="5238750" cy="3371850"/>
        </a:xfrm>
        <a:prstGeom prst="rect">
          <a:avLst/>
        </a:prstGeom>
        <a:noFill/>
      </xdr:spPr>
    </xdr:pic>
    <xdr:clientData fLocksWithSheet="0"/>
  </xdr:oneCellAnchor>
  <xdr:oneCellAnchor>
    <xdr:from>
      <xdr:col>18</xdr:col>
      <xdr:colOff>923365</xdr:colOff>
      <xdr:row>164</xdr:row>
      <xdr:rowOff>170329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8010094" y="32263976"/>
          <a:ext cx="5229225" cy="3352800"/>
        </a:xfrm>
        <a:prstGeom prst="rect">
          <a:avLst/>
        </a:prstGeom>
        <a:noFill/>
      </xdr:spPr>
    </xdr:pic>
    <xdr:clientData fLocksWithSheet="0"/>
  </xdr:oneCellAnchor>
  <xdr:oneCellAnchor>
    <xdr:from>
      <xdr:col>26</xdr:col>
      <xdr:colOff>502024</xdr:colOff>
      <xdr:row>164</xdr:row>
      <xdr:rowOff>134471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3971624" y="32228118"/>
          <a:ext cx="5124450" cy="33528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88FF94-D417-4D15-8404-79FF7331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5532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49</xdr:row>
      <xdr:rowOff>171450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0" y="9782175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4"/>
  <sheetViews>
    <sheetView topLeftCell="D91" zoomScale="85" zoomScaleNormal="85" workbookViewId="0">
      <selection activeCell="F97" sqref="F97"/>
    </sheetView>
  </sheetViews>
  <sheetFormatPr baseColWidth="10" defaultColWidth="14.44140625" defaultRowHeight="15" customHeight="1" x14ac:dyDescent="0.3"/>
  <cols>
    <col min="1" max="1" width="9.109375" customWidth="1"/>
    <col min="2" max="2" width="14.88671875" customWidth="1"/>
    <col min="3" max="3" width="9.109375" customWidth="1"/>
    <col min="4" max="4" width="21.5546875" customWidth="1"/>
    <col min="5" max="5" width="52.88671875" customWidth="1"/>
    <col min="6" max="6" width="9.109375" customWidth="1"/>
    <col min="7" max="7" width="14.5546875" customWidth="1"/>
    <col min="8" max="11" width="9.109375" customWidth="1"/>
    <col min="12" max="12" width="12.6640625" customWidth="1"/>
    <col min="13" max="13" width="14.88671875" customWidth="1"/>
    <col min="14" max="14" width="9.109375" customWidth="1"/>
    <col min="15" max="15" width="14" customWidth="1"/>
    <col min="16" max="16" width="41.5546875" customWidth="1"/>
    <col min="17" max="17" width="9.109375" customWidth="1"/>
    <col min="18" max="18" width="14.5546875" customWidth="1"/>
    <col min="19" max="23" width="9.109375" customWidth="1"/>
    <col min="24" max="24" width="14.88671875" customWidth="1"/>
    <col min="25" max="25" width="9.109375" customWidth="1"/>
    <col min="26" max="26" width="14" customWidth="1"/>
    <col min="27" max="27" width="41.5546875" customWidth="1"/>
    <col min="28" max="28" width="9.109375" customWidth="1"/>
    <col min="29" max="29" width="14.5546875" customWidth="1"/>
    <col min="30" max="34" width="9.109375" customWidth="1"/>
    <col min="35" max="35" width="14.88671875" customWidth="1"/>
    <col min="36" max="36" width="9.109375" customWidth="1"/>
    <col min="37" max="37" width="20.6640625" customWidth="1"/>
    <col min="38" max="38" width="41.5546875" customWidth="1"/>
    <col min="39" max="39" width="9.109375" customWidth="1"/>
    <col min="40" max="40" width="14.5546875" customWidth="1"/>
    <col min="41" max="63" width="9.109375" customWidth="1"/>
  </cols>
  <sheetData>
    <row r="1" spans="1:63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ht="14.4" x14ac:dyDescent="0.3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ht="14.4" x14ac:dyDescent="0.3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ht="14.4" x14ac:dyDescent="0.3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ht="14.4" x14ac:dyDescent="0.3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ht="14.4" x14ac:dyDescent="0.3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ht="14.4" x14ac:dyDescent="0.3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ht="14.4" x14ac:dyDescent="0.3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ht="14.4" x14ac:dyDescent="0.3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ht="14.4" x14ac:dyDescent="0.3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ht="14.4" x14ac:dyDescent="0.3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ht="14.4" x14ac:dyDescent="0.3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979" t="s">
        <v>36</v>
      </c>
      <c r="Y14" s="980"/>
      <c r="Z14" s="980"/>
      <c r="AA14" s="980"/>
      <c r="AB14" s="980"/>
      <c r="AC14" s="980"/>
      <c r="AD14" s="980"/>
      <c r="AE14" s="980"/>
      <c r="AF14" s="98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ht="14.4" x14ac:dyDescent="0.3">
      <c r="A15" s="1"/>
      <c r="B15" s="979" t="s">
        <v>37</v>
      </c>
      <c r="C15" s="980"/>
      <c r="D15" s="980"/>
      <c r="E15" s="980"/>
      <c r="F15" s="980"/>
      <c r="G15" s="980"/>
      <c r="H15" s="980"/>
      <c r="I15" s="980"/>
      <c r="J15" s="981"/>
      <c r="K15" s="1"/>
      <c r="L15" s="1"/>
      <c r="M15" s="979" t="s">
        <v>38</v>
      </c>
      <c r="N15" s="980"/>
      <c r="O15" s="980"/>
      <c r="P15" s="980"/>
      <c r="Q15" s="980"/>
      <c r="R15" s="980"/>
      <c r="S15" s="980"/>
      <c r="T15" s="980"/>
      <c r="U15" s="98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979" t="s">
        <v>39</v>
      </c>
      <c r="AJ15" s="980"/>
      <c r="AK15" s="980"/>
      <c r="AL15" s="980"/>
      <c r="AM15" s="980"/>
      <c r="AN15" s="980"/>
      <c r="AO15" s="980"/>
      <c r="AP15" s="980"/>
      <c r="AQ15" s="98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ht="14.4" x14ac:dyDescent="0.3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ht="14.4" x14ac:dyDescent="0.3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1.6" x14ac:dyDescent="0.3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ht="14.4" x14ac:dyDescent="0.3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3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3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3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3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3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3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3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3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3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3">
      <c r="A30" s="1"/>
      <c r="B30" s="1"/>
      <c r="C30" s="1"/>
      <c r="D30" s="1" t="s">
        <v>1492</v>
      </c>
      <c r="E30" s="1" t="s">
        <v>1760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3">
      <c r="A31" s="1"/>
      <c r="B31" s="1"/>
      <c r="C31" s="1"/>
      <c r="D31" s="1" t="s">
        <v>89</v>
      </c>
      <c r="E31" s="1" t="s">
        <v>1761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3">
      <c r="A32" s="1"/>
      <c r="B32" s="1"/>
      <c r="C32" s="1"/>
      <c r="D32" s="1" t="s">
        <v>96</v>
      </c>
      <c r="E32" s="1" t="s">
        <v>1762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3">
      <c r="A33" s="1"/>
      <c r="B33" s="1"/>
      <c r="C33" s="1"/>
      <c r="D33" s="1" t="s">
        <v>101</v>
      </c>
      <c r="E33" s="1" t="s">
        <v>1763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3">
      <c r="A34" s="1"/>
      <c r="B34" s="1"/>
      <c r="C34" s="1"/>
      <c r="D34" s="1" t="s">
        <v>106</v>
      </c>
      <c r="E34" s="1" t="s">
        <v>1764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3">
      <c r="A35" s="1"/>
      <c r="B35" s="1"/>
      <c r="C35" s="1"/>
      <c r="D35" s="1" t="s">
        <v>111</v>
      </c>
      <c r="E35" s="1" t="s">
        <v>1765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3">
      <c r="A36" s="1"/>
      <c r="B36" s="1"/>
      <c r="C36" s="1"/>
      <c r="D36" s="1" t="s">
        <v>116</v>
      </c>
      <c r="E36" s="1" t="s">
        <v>1766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3">
      <c r="A37" s="1"/>
      <c r="B37" s="1"/>
      <c r="C37" s="1"/>
      <c r="D37" s="1" t="s">
        <v>127</v>
      </c>
      <c r="E37" s="1" t="s">
        <v>1767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3">
      <c r="A38" s="1"/>
      <c r="B38" s="1"/>
      <c r="C38" s="1"/>
      <c r="D38" s="1" t="s">
        <v>132</v>
      </c>
      <c r="E38" s="1" t="s">
        <v>1768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3">
      <c r="A39" s="1"/>
      <c r="B39" s="1"/>
      <c r="C39" s="1"/>
      <c r="D39" s="1" t="s">
        <v>138</v>
      </c>
      <c r="E39" s="1" t="s">
        <v>1769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3">
      <c r="A40" s="1"/>
      <c r="B40" s="1"/>
      <c r="C40" s="1"/>
      <c r="D40" s="1" t="s">
        <v>139</v>
      </c>
      <c r="E40" s="1" t="s">
        <v>1770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3">
      <c r="A41" s="1"/>
      <c r="B41" s="1"/>
      <c r="C41" s="1"/>
      <c r="D41" s="1" t="s">
        <v>140</v>
      </c>
      <c r="E41" s="1" t="s">
        <v>1771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3">
      <c r="A42" s="1"/>
      <c r="B42" s="1"/>
      <c r="C42" s="1"/>
      <c r="D42" s="1" t="s">
        <v>141</v>
      </c>
      <c r="E42" s="1" t="s">
        <v>1772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3">
      <c r="A43" s="1"/>
      <c r="B43" s="1"/>
      <c r="C43" s="1"/>
      <c r="D43" s="1" t="str">
        <f t="array" ref="D43:D52">+$D$8&amp;"-"&amp;$B$3:$B$12</f>
        <v>GAS-plt-CAM1</v>
      </c>
      <c r="E43" s="1" t="str">
        <f t="array" ref="E43:E52">+"Gas natural rementen de planta de "&amp;$B$3:$B$12</f>
        <v>Gas natural rementen de planta de CAM1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3">
      <c r="A44" s="1"/>
      <c r="B44" s="1"/>
      <c r="C44" s="1"/>
      <c r="D44" s="1" t="str">
        <v>GAS-plt-CAM2</v>
      </c>
      <c r="E44" s="1" t="str">
        <v>Gas natural rementen de planta de CAM2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3">
      <c r="A45" s="1"/>
      <c r="B45" s="1"/>
      <c r="C45" s="1"/>
      <c r="D45" s="1" t="str">
        <v>GAS-plt-CAM3</v>
      </c>
      <c r="E45" s="1" t="str">
        <v>Gas natural rementen de planta de CAM3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3">
      <c r="A46" s="1"/>
      <c r="B46" s="1"/>
      <c r="C46" s="1"/>
      <c r="D46" s="1" t="str">
        <v>GAS-plt-CAM4</v>
      </c>
      <c r="E46" s="1" t="str">
        <v>Gas natural rementen de planta de CAM4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3">
      <c r="A47" s="1"/>
      <c r="B47" s="1"/>
      <c r="C47" s="1"/>
      <c r="D47" s="1" t="str">
        <v>GAS-plt-CAM5</v>
      </c>
      <c r="E47" s="1" t="str">
        <v>Gas natural rementen de planta de CAM5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3">
      <c r="A48" s="1"/>
      <c r="B48" s="1"/>
      <c r="C48" s="1"/>
      <c r="D48" s="1" t="str">
        <v>GAS-plt-CAM6</v>
      </c>
      <c r="E48" s="1" t="str">
        <v>Gas natural rementen de planta de CAM6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3">
      <c r="A49" s="1"/>
      <c r="B49" s="1"/>
      <c r="C49" s="1"/>
      <c r="D49" s="1" t="str">
        <v>GAS-plt-CAM7</v>
      </c>
      <c r="E49" s="1" t="str">
        <v>Gas natural rementen de planta de CAM7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3">
      <c r="A50" s="1"/>
      <c r="B50" s="1"/>
      <c r="C50" s="1"/>
      <c r="D50" s="1" t="str">
        <v>GAS-plt-CAM8</v>
      </c>
      <c r="E50" s="1" t="str">
        <v>Gas natural rementen de planta de CAM8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3">
      <c r="A51" s="1"/>
      <c r="B51" s="1"/>
      <c r="C51" s="1"/>
      <c r="D51" s="1" t="str">
        <v>GAS-plt-CAM9</v>
      </c>
      <c r="E51" s="1" t="str">
        <v>Gas natural rementen de planta de CAM9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3">
      <c r="A52" s="1"/>
      <c r="B52" s="1"/>
      <c r="C52" s="1"/>
      <c r="D52" s="1" t="str">
        <v>GAS-plt-CAM10</v>
      </c>
      <c r="E52" s="1" t="str">
        <v>Gas natural rementen de planta de CAM10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3">
      <c r="A53" s="1"/>
      <c r="B53" s="1"/>
      <c r="C53" s="1"/>
      <c r="D53" s="1" t="str">
        <f t="array" ref="D53:D62">+"FLU-"&amp;B3:B12</f>
        <v>FLU-CAM1</v>
      </c>
      <c r="E53" s="1" t="s">
        <v>147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3">
      <c r="A54" s="1"/>
      <c r="B54" s="1"/>
      <c r="C54" s="1"/>
      <c r="D54" s="1" t="str">
        <v>FLU-CAM2</v>
      </c>
      <c r="E54" s="1" t="s">
        <v>148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3">
      <c r="A55" s="1"/>
      <c r="B55" s="1"/>
      <c r="C55" s="1"/>
      <c r="D55" s="1" t="str">
        <v>FLU-CAM3</v>
      </c>
      <c r="E55" s="1" t="s">
        <v>149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3">
      <c r="A56" s="1"/>
      <c r="B56" s="1"/>
      <c r="C56" s="1"/>
      <c r="D56" s="1" t="str">
        <v>FLU-CAM4</v>
      </c>
      <c r="E56" s="1" t="s">
        <v>150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3">
      <c r="A57" s="1"/>
      <c r="B57" s="1"/>
      <c r="C57" s="1"/>
      <c r="D57" s="1" t="str">
        <v>FLU-CAM5</v>
      </c>
      <c r="E57" s="1" t="s">
        <v>151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3">
      <c r="A58" s="1"/>
      <c r="B58" s="1"/>
      <c r="C58" s="1"/>
      <c r="D58" s="1" t="str">
        <v>FLU-CAM6</v>
      </c>
      <c r="E58" s="1" t="s">
        <v>152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3">
      <c r="A59" s="1"/>
      <c r="B59" s="1"/>
      <c r="C59" s="1"/>
      <c r="D59" s="1" t="str">
        <v>FLU-CAM7</v>
      </c>
      <c r="E59" s="1" t="s">
        <v>153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3">
      <c r="A60" s="1"/>
      <c r="B60" s="1"/>
      <c r="C60" s="1"/>
      <c r="D60" s="1" t="str">
        <v>FLU-CAM8</v>
      </c>
      <c r="E60" s="1" t="s">
        <v>154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3">
      <c r="A61" s="1"/>
      <c r="B61" s="1"/>
      <c r="C61" s="1"/>
      <c r="D61" s="1" t="str">
        <v>FLU-CAM9</v>
      </c>
      <c r="E61" s="1" t="s">
        <v>155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3">
      <c r="A62" s="1"/>
      <c r="B62" s="1"/>
      <c r="C62" s="1"/>
      <c r="D62" s="1" t="str">
        <v>FLU-CAM10</v>
      </c>
      <c r="E62" s="1" t="s">
        <v>156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3">
      <c r="A63" s="1"/>
      <c r="B63" s="1"/>
      <c r="C63" s="1"/>
      <c r="D63" s="1" t="s">
        <v>157</v>
      </c>
      <c r="E63" s="1" t="s">
        <v>158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3">
      <c r="A64" s="1"/>
      <c r="B64" s="1"/>
      <c r="C64" s="1"/>
      <c r="D64" s="1" t="s">
        <v>159</v>
      </c>
      <c r="E64" s="1" t="s">
        <v>160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3">
      <c r="A65" s="1"/>
      <c r="B65" s="1"/>
      <c r="C65" s="1"/>
      <c r="D65" s="1" t="s">
        <v>161</v>
      </c>
      <c r="E65" s="1" t="s">
        <v>162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3">
      <c r="A66" s="1"/>
      <c r="B66" s="1"/>
      <c r="C66" s="1"/>
      <c r="D66" s="1" t="s">
        <v>163</v>
      </c>
      <c r="E66" s="1" t="s">
        <v>164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3">
      <c r="A67" s="1"/>
      <c r="B67" s="1"/>
      <c r="C67" s="1"/>
      <c r="D67" s="1" t="s">
        <v>165</v>
      </c>
      <c r="E67" s="1" t="s">
        <v>166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3">
      <c r="A68" s="1"/>
      <c r="B68" s="1"/>
      <c r="C68" s="1"/>
      <c r="D68" s="1" t="s">
        <v>167</v>
      </c>
      <c r="E68" s="1" t="s">
        <v>168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3">
      <c r="A69" s="1"/>
      <c r="B69" s="1"/>
      <c r="C69" s="1"/>
      <c r="D69" s="1" t="s">
        <v>169</v>
      </c>
      <c r="E69" s="1" t="s">
        <v>170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3">
      <c r="A70" s="1"/>
      <c r="B70" s="1"/>
      <c r="C70" s="1"/>
      <c r="D70" s="1" t="s">
        <v>171</v>
      </c>
      <c r="E70" s="1" t="s">
        <v>172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3">
      <c r="A71" s="1"/>
      <c r="B71" s="1"/>
      <c r="C71" s="1"/>
      <c r="D71" s="1" t="s">
        <v>173</v>
      </c>
      <c r="E71" s="1" t="s">
        <v>174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3">
      <c r="A72" s="1"/>
      <c r="B72" s="1"/>
      <c r="C72" s="1"/>
      <c r="D72" s="1" t="s">
        <v>175</v>
      </c>
      <c r="E72" s="1" t="s">
        <v>176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3">
      <c r="A73" s="1"/>
      <c r="B73" s="1"/>
      <c r="C73" s="1"/>
      <c r="D73" s="1" t="s">
        <v>177</v>
      </c>
      <c r="E73" s="1" t="s">
        <v>178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3">
      <c r="A74" s="1"/>
      <c r="B74" s="1"/>
      <c r="C74" s="1"/>
      <c r="D74" s="1" t="s">
        <v>179</v>
      </c>
      <c r="E74" s="1" t="s">
        <v>180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3">
      <c r="A75" s="1"/>
      <c r="B75" s="1"/>
      <c r="C75" s="1"/>
      <c r="D75" s="1" t="s">
        <v>181</v>
      </c>
      <c r="E75" s="1" t="s">
        <v>182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3">
      <c r="A76" s="1"/>
      <c r="B76" s="1"/>
      <c r="C76" s="1"/>
      <c r="D76" s="1" t="s">
        <v>183</v>
      </c>
      <c r="E76" s="1" t="s">
        <v>184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3">
      <c r="A77" s="1"/>
      <c r="B77" s="1"/>
      <c r="C77" s="1"/>
      <c r="D77" s="1" t="s">
        <v>185</v>
      </c>
      <c r="E77" s="1" t="s">
        <v>186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3">
      <c r="A78" s="1"/>
      <c r="B78" s="1"/>
      <c r="C78" s="1"/>
      <c r="D78" s="1" t="s">
        <v>187</v>
      </c>
      <c r="E78" s="1" t="s">
        <v>188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3">
      <c r="A79" s="1"/>
      <c r="B79" s="1"/>
      <c r="C79" s="1"/>
      <c r="D79" s="1" t="s">
        <v>189</v>
      </c>
      <c r="E79" s="1" t="s">
        <v>190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3">
      <c r="A80" s="1"/>
      <c r="B80" s="1"/>
      <c r="C80" s="1"/>
      <c r="D80" s="1" t="s">
        <v>191</v>
      </c>
      <c r="E80" s="1" t="s">
        <v>192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3">
      <c r="A81" s="1"/>
      <c r="B81" s="1"/>
      <c r="C81" s="1"/>
      <c r="D81" s="1" t="s">
        <v>193</v>
      </c>
      <c r="E81" s="1" t="s">
        <v>194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3">
      <c r="A82" s="1"/>
      <c r="B82" s="1"/>
      <c r="C82" s="1"/>
      <c r="D82" s="1" t="s">
        <v>195</v>
      </c>
      <c r="E82" s="1" t="s">
        <v>196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3">
      <c r="A83" s="1"/>
      <c r="B83" s="1"/>
      <c r="C83" s="1"/>
      <c r="D83" s="1" t="s">
        <v>197</v>
      </c>
      <c r="E83" s="1" t="s">
        <v>198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3">
      <c r="A84" s="1"/>
      <c r="B84" s="1"/>
      <c r="C84" s="1"/>
      <c r="D84" s="1" t="s">
        <v>199</v>
      </c>
      <c r="E84" s="1" t="s">
        <v>200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3">
      <c r="A85" s="1"/>
      <c r="B85" s="1"/>
      <c r="C85" s="1"/>
      <c r="D85" s="1" t="s">
        <v>201</v>
      </c>
      <c r="E85" s="1" t="s">
        <v>202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3">
      <c r="A86" s="1"/>
      <c r="B86" s="1"/>
      <c r="C86" s="1"/>
      <c r="D86" s="1" t="s">
        <v>203</v>
      </c>
      <c r="E86" s="1" t="s">
        <v>204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3">
      <c r="A87" s="1"/>
      <c r="B87" s="1"/>
      <c r="C87" s="1"/>
      <c r="D87" s="1" t="str">
        <f t="array" ref="D87:D93">+"FUEL-DSL-"&amp;B3:B9</f>
        <v>FUEL-DSL-CAM1</v>
      </c>
      <c r="E87" s="1" t="s">
        <v>205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3">
      <c r="A88" s="1"/>
      <c r="B88" s="1"/>
      <c r="C88" s="1"/>
      <c r="D88" s="1" t="str">
        <v>FUEL-DSL-CAM2</v>
      </c>
      <c r="E88" s="1" t="s">
        <v>206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3">
      <c r="A89" s="1"/>
      <c r="B89" s="1"/>
      <c r="C89" s="1"/>
      <c r="D89" s="1" t="str">
        <v>FUEL-DSL-CAM3</v>
      </c>
      <c r="E89" s="1" t="s">
        <v>207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3">
      <c r="A90" s="1"/>
      <c r="B90" s="1"/>
      <c r="C90" s="1"/>
      <c r="D90" s="1" t="str">
        <v>FUEL-DSL-CAM4</v>
      </c>
      <c r="E90" s="1" t="s">
        <v>208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3">
      <c r="A91" s="1"/>
      <c r="B91" s="1"/>
      <c r="C91" s="1"/>
      <c r="D91" s="1" t="str">
        <v>FUEL-DSL-CAM5</v>
      </c>
      <c r="E91" s="1" t="s">
        <v>209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3">
      <c r="A92" s="1"/>
      <c r="B92" s="1"/>
      <c r="C92" s="1"/>
      <c r="D92" s="1" t="str">
        <v>FUEL-DSL-CAM6</v>
      </c>
      <c r="E92" s="1" t="s">
        <v>210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3">
      <c r="A93" s="1"/>
      <c r="B93" s="1"/>
      <c r="C93" s="1"/>
      <c r="D93" s="1" t="str">
        <v>FUEL-DSL-CAM7</v>
      </c>
      <c r="E93" s="1" t="s">
        <v>211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3">
      <c r="A94" s="1"/>
      <c r="B94" s="1"/>
      <c r="C94" s="1"/>
      <c r="D94" s="1" t="s">
        <v>212</v>
      </c>
      <c r="E94" s="1" t="s">
        <v>213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3">
      <c r="A95" s="1"/>
      <c r="B95" s="1"/>
      <c r="C95" s="1"/>
      <c r="D95" s="1" t="str">
        <f>+'1. EXP_IMP'!J54</f>
        <v>ELC-SIN</v>
      </c>
      <c r="E95" s="1" t="s">
        <v>214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3">
      <c r="A96" s="874"/>
      <c r="B96" s="874"/>
      <c r="C96" s="874"/>
      <c r="D96" s="874" t="s">
        <v>1777</v>
      </c>
      <c r="E96" s="874" t="s">
        <v>1778</v>
      </c>
      <c r="F96" s="874" t="s">
        <v>59</v>
      </c>
      <c r="G96" s="874"/>
      <c r="H96" s="874"/>
      <c r="I96" s="874"/>
      <c r="J96" s="874"/>
      <c r="K96" s="874"/>
      <c r="L96" s="874"/>
      <c r="M96" s="874"/>
      <c r="N96" s="874"/>
      <c r="O96" s="874"/>
      <c r="P96" s="874"/>
      <c r="Q96" s="874"/>
      <c r="R96" s="874"/>
      <c r="S96" s="874"/>
      <c r="T96" s="874"/>
      <c r="U96" s="874"/>
      <c r="V96" s="874"/>
      <c r="W96" s="874"/>
      <c r="X96" s="874"/>
      <c r="Y96" s="874"/>
      <c r="Z96" s="874"/>
      <c r="AA96" s="874"/>
      <c r="AB96" s="874"/>
      <c r="AC96" s="874"/>
      <c r="AD96" s="874"/>
      <c r="AE96" s="874"/>
      <c r="AF96" s="874"/>
      <c r="AG96" s="874"/>
      <c r="AH96" s="874"/>
      <c r="AI96" s="874"/>
      <c r="AJ96" s="874"/>
      <c r="AK96" s="874"/>
      <c r="AL96" s="874"/>
      <c r="AM96" s="874"/>
      <c r="AN96" s="874"/>
      <c r="AO96" s="874"/>
      <c r="AP96" s="874"/>
      <c r="AQ96" s="874"/>
      <c r="AR96" s="874"/>
      <c r="AS96" s="874"/>
      <c r="AT96" s="874"/>
      <c r="AU96" s="874"/>
      <c r="AV96" s="874"/>
      <c r="AW96" s="874"/>
      <c r="AX96" s="874"/>
      <c r="AY96" s="874"/>
      <c r="AZ96" s="874"/>
      <c r="BA96" s="874"/>
      <c r="BB96" s="874"/>
      <c r="BC96" s="874"/>
      <c r="BD96" s="874"/>
      <c r="BE96" s="874"/>
      <c r="BF96" s="874"/>
      <c r="BG96" s="874"/>
      <c r="BH96" s="874"/>
      <c r="BI96" s="874"/>
      <c r="BJ96" s="874"/>
      <c r="BK96" s="874"/>
    </row>
    <row r="97" spans="1:63" ht="15.75" customHeight="1" x14ac:dyDescent="0.3">
      <c r="A97" s="1"/>
      <c r="B97" s="1"/>
      <c r="C97" s="1"/>
      <c r="D97" s="1" t="s">
        <v>215</v>
      </c>
      <c r="E97" s="1" t="s">
        <v>216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3">
      <c r="A98" s="1"/>
      <c r="B98" s="1"/>
      <c r="C98" s="1"/>
      <c r="D98" s="1" t="s">
        <v>217</v>
      </c>
      <c r="E98" s="1" t="s">
        <v>218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3">
      <c r="A99" s="1"/>
      <c r="B99" s="1"/>
      <c r="C99" s="1"/>
      <c r="D99" s="926" t="s">
        <v>219</v>
      </c>
      <c r="E99" s="926" t="s">
        <v>1753</v>
      </c>
      <c r="F99" s="926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3">
      <c r="A100" s="1"/>
      <c r="B100" s="1"/>
      <c r="C100" s="1"/>
      <c r="D100" s="929" t="s">
        <v>1752</v>
      </c>
      <c r="E100" s="928" t="s">
        <v>220</v>
      </c>
      <c r="F100" s="929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3">
      <c r="A101" s="1"/>
      <c r="B101" s="1"/>
      <c r="C101" s="1"/>
      <c r="D101" s="928" t="s">
        <v>221</v>
      </c>
      <c r="E101" s="928" t="s">
        <v>222</v>
      </c>
      <c r="F101" s="928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3">
      <c r="A102" s="1"/>
      <c r="B102" s="1"/>
      <c r="C102" s="1"/>
      <c r="D102" s="1" t="s">
        <v>223</v>
      </c>
      <c r="E102" s="1" t="s">
        <v>224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3">
      <c r="A103" s="1"/>
      <c r="B103" s="1"/>
      <c r="C103" s="1"/>
      <c r="D103" s="1" t="s">
        <v>225</v>
      </c>
      <c r="E103" s="1" t="s">
        <v>226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3">
      <c r="A104" s="1"/>
      <c r="B104" s="1"/>
      <c r="C104" s="1"/>
      <c r="D104" s="1" t="s">
        <v>227</v>
      </c>
      <c r="E104" s="1" t="s">
        <v>228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3">
      <c r="A105" s="1"/>
      <c r="B105" s="1"/>
      <c r="C105" s="1"/>
      <c r="D105" s="1" t="s">
        <v>229</v>
      </c>
      <c r="E105" s="1" t="s">
        <v>230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3">
      <c r="A106" s="1"/>
      <c r="B106" s="1"/>
      <c r="C106" s="1"/>
      <c r="D106" s="11" t="s">
        <v>231</v>
      </c>
      <c r="E106" s="1" t="s">
        <v>232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3">
      <c r="A107" s="1"/>
      <c r="B107" s="1"/>
      <c r="C107" s="1"/>
      <c r="D107" s="814" t="s">
        <v>233</v>
      </c>
      <c r="E107" s="926" t="s">
        <v>234</v>
      </c>
      <c r="F107" s="926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3">
      <c r="A108" s="1"/>
      <c r="B108" s="1"/>
      <c r="C108" s="1"/>
      <c r="D108" s="929" t="s">
        <v>1754</v>
      </c>
      <c r="E108" s="929" t="s">
        <v>1758</v>
      </c>
      <c r="F108" s="929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3">
      <c r="A109" s="1"/>
      <c r="B109" s="1"/>
      <c r="C109" s="1"/>
      <c r="D109" s="929" t="s">
        <v>1755</v>
      </c>
      <c r="E109" s="929" t="s">
        <v>1759</v>
      </c>
      <c r="F109" s="929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3">
      <c r="A110" s="1"/>
      <c r="B110" s="1"/>
      <c r="C110" s="1"/>
      <c r="D110" s="11" t="s">
        <v>235</v>
      </c>
      <c r="E110" s="1" t="s">
        <v>236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3">
      <c r="A111" s="1"/>
      <c r="B111" s="1"/>
      <c r="C111" s="1"/>
      <c r="D111" s="11" t="s">
        <v>237</v>
      </c>
      <c r="E111" s="1" t="s">
        <v>238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3">
      <c r="A112" s="1"/>
      <c r="B112" s="1"/>
      <c r="C112" s="1"/>
      <c r="D112" s="11" t="s">
        <v>239</v>
      </c>
      <c r="E112" s="1" t="s">
        <v>240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3">
      <c r="A113" s="1"/>
      <c r="B113" s="1"/>
      <c r="C113" s="1"/>
      <c r="D113" s="11" t="s">
        <v>241</v>
      </c>
      <c r="E113" s="1" t="s">
        <v>242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3">
      <c r="A114" s="1"/>
      <c r="B114" s="1"/>
      <c r="C114" s="1"/>
      <c r="D114" s="11" t="s">
        <v>243</v>
      </c>
      <c r="E114" s="1" t="s">
        <v>244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3">
      <c r="A115" s="1"/>
      <c r="B115" s="1"/>
      <c r="C115" s="1"/>
      <c r="D115" s="814" t="s">
        <v>245</v>
      </c>
      <c r="E115" s="926" t="s">
        <v>246</v>
      </c>
      <c r="F115" s="926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3">
      <c r="A116" s="1"/>
      <c r="B116" s="1"/>
      <c r="C116" s="1"/>
      <c r="D116" s="929" t="s">
        <v>1773</v>
      </c>
      <c r="E116" s="929" t="s">
        <v>1756</v>
      </c>
      <c r="F116" s="929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3">
      <c r="A117" s="1"/>
      <c r="B117" s="1"/>
      <c r="C117" s="1"/>
      <c r="D117" s="929" t="s">
        <v>1774</v>
      </c>
      <c r="E117" s="929" t="s">
        <v>1757</v>
      </c>
      <c r="F117" s="929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3">
      <c r="A118" s="1"/>
      <c r="B118" s="1"/>
      <c r="C118" s="1"/>
      <c r="D118" s="11" t="s">
        <v>247</v>
      </c>
      <c r="E118" s="1" t="s">
        <v>248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3">
      <c r="A119" s="1"/>
      <c r="B119" s="1"/>
      <c r="C119" s="1"/>
      <c r="D119" s="11" t="s">
        <v>249</v>
      </c>
      <c r="E119" s="1" t="s">
        <v>250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3">
      <c r="A120" s="1"/>
      <c r="B120" s="1"/>
      <c r="C120" s="1"/>
      <c r="D120" s="11" t="s">
        <v>251</v>
      </c>
      <c r="E120" s="1" t="s">
        <v>252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3">
      <c r="A121" s="1"/>
      <c r="B121" s="1"/>
      <c r="C121" s="1"/>
      <c r="D121" s="11" t="s">
        <v>253</v>
      </c>
      <c r="E121" s="1" t="s">
        <v>254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3">
      <c r="A123" s="1"/>
      <c r="B123" s="1"/>
      <c r="C123" s="1"/>
      <c r="D123" s="1"/>
      <c r="E123" s="1"/>
      <c r="F123" s="1"/>
      <c r="G123" s="874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3">
      <c r="A127" s="874"/>
      <c r="B127" s="874"/>
      <c r="C127" s="874"/>
      <c r="D127" s="1"/>
      <c r="E127" s="1"/>
      <c r="F127" s="1"/>
      <c r="G127" s="1"/>
      <c r="H127" s="874"/>
      <c r="I127" s="874"/>
      <c r="J127" s="874"/>
      <c r="K127" s="874"/>
      <c r="L127" s="874"/>
      <c r="M127" s="874"/>
      <c r="N127" s="874"/>
      <c r="O127" s="874"/>
      <c r="P127" s="874"/>
      <c r="Q127" s="874"/>
      <c r="R127" s="874"/>
      <c r="S127" s="874"/>
      <c r="T127" s="874"/>
      <c r="U127" s="874"/>
      <c r="V127" s="874"/>
      <c r="W127" s="874"/>
      <c r="X127" s="874"/>
      <c r="Y127" s="874"/>
      <c r="Z127" s="874"/>
      <c r="AA127" s="874"/>
      <c r="AB127" s="874"/>
      <c r="AC127" s="874"/>
      <c r="AD127" s="874"/>
      <c r="AE127" s="874"/>
      <c r="AF127" s="874"/>
      <c r="AG127" s="874"/>
      <c r="AH127" s="874"/>
      <c r="AI127" s="874"/>
      <c r="AJ127" s="874"/>
      <c r="AK127" s="874"/>
      <c r="AL127" s="874"/>
      <c r="AM127" s="874"/>
      <c r="AN127" s="874"/>
      <c r="AO127" s="874"/>
      <c r="AP127" s="874"/>
      <c r="AQ127" s="874"/>
      <c r="AR127" s="874"/>
      <c r="AS127" s="874"/>
      <c r="AT127" s="874"/>
      <c r="AU127" s="874"/>
      <c r="AV127" s="874"/>
      <c r="AW127" s="874"/>
      <c r="AX127" s="874"/>
      <c r="AY127" s="874"/>
      <c r="AZ127" s="874"/>
      <c r="BA127" s="874"/>
      <c r="BB127" s="874"/>
      <c r="BC127" s="874"/>
      <c r="BD127" s="874"/>
      <c r="BE127" s="874"/>
      <c r="BF127" s="874"/>
      <c r="BG127" s="874"/>
      <c r="BH127" s="874"/>
      <c r="BI127" s="874"/>
      <c r="BJ127" s="874"/>
      <c r="BK127" s="874"/>
    </row>
    <row r="128" spans="1:63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3">
      <c r="A131" s="1"/>
      <c r="B131" s="1"/>
      <c r="C131" s="1"/>
      <c r="D131" s="1"/>
      <c r="E131" s="1"/>
      <c r="F131" s="1"/>
      <c r="G131" s="874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3">
      <c r="A132" s="1"/>
      <c r="B132" s="1"/>
      <c r="C132" s="1"/>
      <c r="D132" s="1"/>
      <c r="E132" s="1"/>
      <c r="F132" s="1"/>
      <c r="G132" s="874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3">
      <c r="A135" s="874"/>
      <c r="B135" s="874"/>
      <c r="C135" s="874"/>
      <c r="D135" s="1"/>
      <c r="E135" s="1"/>
      <c r="F135" s="1"/>
      <c r="G135" s="1"/>
      <c r="H135" s="874"/>
      <c r="I135" s="874"/>
      <c r="J135" s="874"/>
      <c r="K135" s="874"/>
      <c r="L135" s="874"/>
      <c r="M135" s="874"/>
      <c r="N135" s="874"/>
      <c r="O135" s="874"/>
      <c r="P135" s="874"/>
      <c r="Q135" s="874"/>
      <c r="R135" s="874"/>
      <c r="S135" s="874"/>
      <c r="T135" s="874"/>
      <c r="U135" s="874"/>
      <c r="V135" s="874"/>
      <c r="W135" s="874"/>
      <c r="X135" s="874"/>
      <c r="Y135" s="874"/>
      <c r="Z135" s="874"/>
      <c r="AA135" s="874"/>
      <c r="AB135" s="874"/>
      <c r="AC135" s="874"/>
      <c r="AD135" s="874"/>
      <c r="AE135" s="874"/>
      <c r="AF135" s="874"/>
      <c r="AG135" s="874"/>
      <c r="AH135" s="874"/>
      <c r="AI135" s="874"/>
      <c r="AJ135" s="874"/>
      <c r="AK135" s="874"/>
      <c r="AL135" s="874"/>
      <c r="AM135" s="874"/>
      <c r="AN135" s="874"/>
      <c r="AO135" s="874"/>
      <c r="AP135" s="874"/>
      <c r="AQ135" s="874"/>
      <c r="AR135" s="874"/>
      <c r="AS135" s="874"/>
      <c r="AT135" s="874"/>
      <c r="AU135" s="874"/>
      <c r="AV135" s="874"/>
      <c r="AW135" s="874"/>
      <c r="AX135" s="874"/>
      <c r="AY135" s="874"/>
      <c r="AZ135" s="874"/>
      <c r="BA135" s="874"/>
      <c r="BB135" s="874"/>
      <c r="BC135" s="874"/>
      <c r="BD135" s="874"/>
      <c r="BE135" s="874"/>
      <c r="BF135" s="874"/>
      <c r="BG135" s="874"/>
      <c r="BH135" s="874"/>
      <c r="BI135" s="874"/>
      <c r="BJ135" s="874"/>
      <c r="BK135" s="874"/>
    </row>
    <row r="136" spans="1:63" ht="15.75" customHeight="1" x14ac:dyDescent="0.3">
      <c r="A136" s="874"/>
      <c r="B136" s="874"/>
      <c r="C136" s="874"/>
      <c r="D136" s="1"/>
      <c r="E136" s="1"/>
      <c r="F136" s="1"/>
      <c r="G136" s="1"/>
      <c r="H136" s="874"/>
      <c r="I136" s="874"/>
      <c r="J136" s="874"/>
      <c r="K136" s="874"/>
      <c r="L136" s="874"/>
      <c r="M136" s="874"/>
      <c r="N136" s="874"/>
      <c r="O136" s="874"/>
      <c r="P136" s="874"/>
      <c r="Q136" s="874"/>
      <c r="R136" s="874"/>
      <c r="S136" s="874"/>
      <c r="T136" s="874"/>
      <c r="U136" s="874"/>
      <c r="V136" s="874"/>
      <c r="W136" s="874"/>
      <c r="X136" s="874"/>
      <c r="Y136" s="874"/>
      <c r="Z136" s="874"/>
      <c r="AA136" s="874"/>
      <c r="AB136" s="874"/>
      <c r="AC136" s="874"/>
      <c r="AD136" s="874"/>
      <c r="AE136" s="874"/>
      <c r="AF136" s="874"/>
      <c r="AG136" s="874"/>
      <c r="AH136" s="874"/>
      <c r="AI136" s="874"/>
      <c r="AJ136" s="874"/>
      <c r="AK136" s="874"/>
      <c r="AL136" s="874"/>
      <c r="AM136" s="874"/>
      <c r="AN136" s="874"/>
      <c r="AO136" s="874"/>
      <c r="AP136" s="874"/>
      <c r="AQ136" s="874"/>
      <c r="AR136" s="874"/>
      <c r="AS136" s="874"/>
      <c r="AT136" s="874"/>
      <c r="AU136" s="874"/>
      <c r="AV136" s="874"/>
      <c r="AW136" s="874"/>
      <c r="AX136" s="874"/>
      <c r="AY136" s="874"/>
      <c r="AZ136" s="874"/>
      <c r="BA136" s="874"/>
      <c r="BB136" s="874"/>
      <c r="BC136" s="874"/>
      <c r="BD136" s="874"/>
      <c r="BE136" s="874"/>
      <c r="BF136" s="874"/>
      <c r="BG136" s="874"/>
      <c r="BH136" s="874"/>
      <c r="BI136" s="874"/>
      <c r="BJ136" s="874"/>
      <c r="BK136" s="874"/>
    </row>
    <row r="137" spans="1:63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3">
      <c r="A958" s="1"/>
      <c r="B958" s="1"/>
      <c r="C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3">
      <c r="A959" s="1"/>
      <c r="B959" s="1"/>
      <c r="C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3">
      <c r="A960" s="1"/>
      <c r="B960" s="1"/>
      <c r="C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3">
      <c r="A961" s="1"/>
      <c r="B961" s="1"/>
      <c r="C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3">
      <c r="A962" s="1"/>
      <c r="B962" s="1"/>
      <c r="C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3">
      <c r="A963" s="1"/>
      <c r="B963" s="1"/>
      <c r="C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3">
      <c r="A964" s="1"/>
      <c r="B964" s="1"/>
      <c r="C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3">
      <c r="A965" s="1"/>
      <c r="B965" s="1"/>
      <c r="C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3">
      <c r="A966" s="1"/>
      <c r="B966" s="1"/>
      <c r="C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3">
      <c r="A967" s="1"/>
      <c r="B967" s="1"/>
      <c r="C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3">
      <c r="A968" s="1"/>
      <c r="B968" s="1"/>
      <c r="C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3">
      <c r="A969" s="1"/>
      <c r="B969" s="1"/>
      <c r="C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3">
      <c r="A970" s="1"/>
      <c r="B970" s="1"/>
      <c r="C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3">
      <c r="A971" s="1"/>
      <c r="B971" s="1"/>
      <c r="C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3">
      <c r="A972" s="1"/>
      <c r="B972" s="1"/>
      <c r="C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3">
      <c r="A973" s="1"/>
      <c r="B973" s="1"/>
      <c r="C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3">
      <c r="A974" s="1"/>
      <c r="B974" s="1"/>
      <c r="C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3">
      <c r="A975" s="1"/>
      <c r="B975" s="1"/>
      <c r="C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3">
      <c r="A976" s="1"/>
      <c r="B976" s="1"/>
      <c r="C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3">
      <c r="A977" s="1"/>
      <c r="B977" s="1"/>
      <c r="C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3">
      <c r="A978" s="1"/>
      <c r="B978" s="1"/>
      <c r="C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3">
      <c r="A979" s="1"/>
      <c r="B979" s="1"/>
      <c r="C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3">
      <c r="A980" s="1"/>
      <c r="B980" s="1"/>
      <c r="C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3">
      <c r="A981" s="1"/>
      <c r="B981" s="1"/>
      <c r="C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3">
      <c r="A982" s="1"/>
      <c r="B982" s="1"/>
      <c r="C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3">
      <c r="A983" s="1"/>
      <c r="B983" s="1"/>
      <c r="C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3">
      <c r="A984" s="1"/>
      <c r="B984" s="1"/>
      <c r="C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3">
      <c r="A985" s="1"/>
      <c r="B985" s="1"/>
      <c r="C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3">
      <c r="A986" s="1"/>
      <c r="B986" s="1"/>
      <c r="C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3">
      <c r="A987" s="1"/>
      <c r="B987" s="1"/>
      <c r="C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3">
      <c r="A988" s="1"/>
      <c r="B988" s="1"/>
      <c r="C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3">
      <c r="A989" s="1"/>
      <c r="B989" s="1"/>
      <c r="C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3">
      <c r="A990" s="1"/>
      <c r="B990" s="1"/>
      <c r="C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3">
      <c r="A991" s="1"/>
      <c r="B991" s="1"/>
      <c r="C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3">
      <c r="A992" s="1"/>
      <c r="B992" s="1"/>
      <c r="C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3">
      <c r="A993" s="1"/>
      <c r="B993" s="1"/>
      <c r="C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3">
      <c r="A994" s="1"/>
      <c r="B994" s="1"/>
      <c r="C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3">
      <c r="A995" s="1"/>
      <c r="B995" s="1"/>
      <c r="C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3">
      <c r="A996" s="1"/>
      <c r="B996" s="1"/>
      <c r="C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3">
      <c r="A997" s="1"/>
      <c r="B997" s="1"/>
      <c r="C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3">
      <c r="A998" s="1"/>
      <c r="B998" s="1"/>
      <c r="C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3">
      <c r="A999" s="1"/>
      <c r="B999" s="1"/>
      <c r="C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3">
      <c r="A1000" s="1"/>
      <c r="B1000" s="1"/>
      <c r="C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  <row r="1001" spans="1:63" ht="15.75" customHeight="1" x14ac:dyDescent="0.3">
      <c r="A1001" s="1"/>
      <c r="B1001" s="1"/>
      <c r="C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</row>
    <row r="1002" spans="1:63" ht="15.75" customHeight="1" x14ac:dyDescent="0.3">
      <c r="A1002" s="1"/>
      <c r="B1002" s="1"/>
      <c r="C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</row>
    <row r="1003" spans="1:63" ht="15.75" customHeight="1" x14ac:dyDescent="0.3">
      <c r="A1003" s="1"/>
      <c r="B1003" s="1"/>
      <c r="C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</row>
    <row r="1004" spans="1:63" ht="15.75" customHeight="1" x14ac:dyDescent="0.3">
      <c r="A1004" s="1"/>
      <c r="B1004" s="1"/>
      <c r="C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</row>
  </sheetData>
  <mergeCells count="4">
    <mergeCell ref="X14:AF14"/>
    <mergeCell ref="B15:J15"/>
    <mergeCell ref="M15:U15"/>
    <mergeCell ref="AI15:AQ15"/>
  </mergeCells>
  <phoneticPr fontId="77" type="noConversion"/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20"/>
  <sheetViews>
    <sheetView showGridLines="0" topLeftCell="I169" zoomScaleNormal="100" workbookViewId="0">
      <selection activeCell="N121" sqref="N121"/>
    </sheetView>
  </sheetViews>
  <sheetFormatPr baseColWidth="10" defaultColWidth="14.44140625" defaultRowHeight="15" customHeight="1" x14ac:dyDescent="0.3"/>
  <cols>
    <col min="1" max="2" width="10.6640625" customWidth="1"/>
    <col min="3" max="3" width="7.109375" customWidth="1"/>
    <col min="4" max="4" width="16.88671875" customWidth="1"/>
    <col min="5" max="5" width="42.88671875" customWidth="1"/>
    <col min="6" max="7" width="10.6640625" customWidth="1"/>
    <col min="8" max="8" width="15.33203125" customWidth="1"/>
    <col min="9" max="9" width="14.88671875" customWidth="1"/>
    <col min="10" max="12" width="10.6640625" customWidth="1"/>
    <col min="13" max="13" width="7.109375" customWidth="1"/>
    <col min="14" max="14" width="29.33203125" customWidth="1"/>
    <col min="15" max="15" width="61.88671875" customWidth="1"/>
    <col min="16" max="17" width="10.6640625" customWidth="1"/>
    <col min="18" max="18" width="15.33203125" customWidth="1"/>
    <col min="19" max="19" width="14.88671875" customWidth="1"/>
    <col min="20" max="22" width="10.6640625" customWidth="1"/>
    <col min="23" max="23" width="7.109375" customWidth="1"/>
    <col min="24" max="24" width="16.88671875" customWidth="1"/>
    <col min="25" max="25" width="42.88671875" customWidth="1"/>
    <col min="26" max="27" width="10.6640625" customWidth="1"/>
    <col min="28" max="28" width="15.33203125" customWidth="1"/>
    <col min="29" max="29" width="14.88671875" customWidth="1"/>
    <col min="30" max="30" width="10.6640625" customWidth="1"/>
  </cols>
  <sheetData>
    <row r="3" spans="2:6" ht="14.4" x14ac:dyDescent="0.3">
      <c r="B3" s="12" t="s">
        <v>0</v>
      </c>
      <c r="D3" s="12" t="s">
        <v>255</v>
      </c>
      <c r="E3" s="12" t="s">
        <v>256</v>
      </c>
      <c r="F3" s="13" t="s">
        <v>257</v>
      </c>
    </row>
    <row r="4" spans="2:6" ht="14.4" x14ac:dyDescent="0.3">
      <c r="B4" s="12" t="s">
        <v>6</v>
      </c>
      <c r="D4" s="12" t="s">
        <v>258</v>
      </c>
      <c r="E4" s="1" t="s">
        <v>8</v>
      </c>
      <c r="F4" s="14" t="s">
        <v>259</v>
      </c>
    </row>
    <row r="5" spans="2:6" ht="14.4" x14ac:dyDescent="0.3">
      <c r="B5" s="12" t="s">
        <v>12</v>
      </c>
      <c r="D5" s="12" t="s">
        <v>260</v>
      </c>
      <c r="E5" s="3" t="s">
        <v>14</v>
      </c>
      <c r="F5" s="14" t="s">
        <v>261</v>
      </c>
    </row>
    <row r="6" spans="2:6" ht="14.4" x14ac:dyDescent="0.3">
      <c r="B6" s="12" t="s">
        <v>16</v>
      </c>
      <c r="D6" s="12" t="s">
        <v>262</v>
      </c>
      <c r="E6" s="1" t="s">
        <v>18</v>
      </c>
    </row>
    <row r="7" spans="2:6" ht="14.4" x14ac:dyDescent="0.3">
      <c r="B7" s="12" t="s">
        <v>20</v>
      </c>
      <c r="D7" s="12" t="s">
        <v>263</v>
      </c>
      <c r="E7" s="1" t="s">
        <v>22</v>
      </c>
    </row>
    <row r="8" spans="2:6" ht="14.4" x14ac:dyDescent="0.3">
      <c r="B8" s="12" t="s">
        <v>24</v>
      </c>
      <c r="D8" s="12" t="s">
        <v>264</v>
      </c>
      <c r="E8" s="1" t="s">
        <v>26</v>
      </c>
    </row>
    <row r="9" spans="2:6" ht="14.4" x14ac:dyDescent="0.3">
      <c r="B9" s="12" t="s">
        <v>28</v>
      </c>
      <c r="D9" s="12" t="s">
        <v>265</v>
      </c>
      <c r="E9" s="1" t="s">
        <v>30</v>
      </c>
    </row>
    <row r="10" spans="2:6" ht="14.4" x14ac:dyDescent="0.3">
      <c r="B10" s="12" t="s">
        <v>31</v>
      </c>
      <c r="D10" s="12" t="s">
        <v>266</v>
      </c>
      <c r="E10" s="1" t="s">
        <v>32</v>
      </c>
    </row>
    <row r="11" spans="2:6" ht="14.4" x14ac:dyDescent="0.3">
      <c r="B11" s="12" t="s">
        <v>33</v>
      </c>
      <c r="E11" s="1" t="s">
        <v>7</v>
      </c>
    </row>
    <row r="12" spans="2:6" ht="14.4" x14ac:dyDescent="0.3">
      <c r="B12" s="12" t="s">
        <v>34</v>
      </c>
      <c r="E12" s="3" t="s">
        <v>13</v>
      </c>
    </row>
    <row r="13" spans="2:6" ht="14.4" x14ac:dyDescent="0.3">
      <c r="B13" s="12" t="s">
        <v>35</v>
      </c>
      <c r="E13" s="1" t="s">
        <v>17</v>
      </c>
    </row>
    <row r="14" spans="2:6" ht="14.4" x14ac:dyDescent="0.3">
      <c r="E14" s="1" t="s">
        <v>21</v>
      </c>
    </row>
    <row r="15" spans="2:6" ht="14.4" x14ac:dyDescent="0.3">
      <c r="E15" s="1"/>
    </row>
    <row r="16" spans="2:6" ht="14.4" x14ac:dyDescent="0.3">
      <c r="E16" s="1"/>
    </row>
    <row r="17" spans="1:30" ht="14.4" x14ac:dyDescent="0.3">
      <c r="E17" s="1"/>
    </row>
    <row r="18" spans="1:30" ht="14.4" x14ac:dyDescent="0.3">
      <c r="B18" s="982" t="s">
        <v>267</v>
      </c>
      <c r="C18" s="983"/>
      <c r="D18" s="983"/>
      <c r="E18" s="983"/>
      <c r="F18" s="983"/>
      <c r="G18" s="983"/>
      <c r="H18" s="983"/>
      <c r="I18" s="983"/>
      <c r="J18" s="983"/>
      <c r="L18" s="982" t="s">
        <v>268</v>
      </c>
      <c r="M18" s="983"/>
      <c r="N18" s="983"/>
      <c r="O18" s="983"/>
      <c r="P18" s="983"/>
      <c r="Q18" s="983"/>
      <c r="R18" s="983"/>
      <c r="S18" s="983"/>
      <c r="T18" s="983"/>
      <c r="V18" s="982" t="s">
        <v>269</v>
      </c>
      <c r="W18" s="983"/>
      <c r="X18" s="983"/>
      <c r="Y18" s="983"/>
      <c r="Z18" s="983"/>
      <c r="AA18" s="983"/>
      <c r="AB18" s="983"/>
      <c r="AC18" s="983"/>
      <c r="AD18" s="983"/>
    </row>
    <row r="20" spans="1:30" ht="14.4" x14ac:dyDescent="0.3">
      <c r="B20" s="15" t="s">
        <v>270</v>
      </c>
      <c r="C20" s="1"/>
      <c r="D20" s="1"/>
      <c r="E20" s="1"/>
      <c r="F20" s="1"/>
      <c r="G20" s="1"/>
      <c r="H20" s="1"/>
      <c r="I20" s="1"/>
      <c r="J20" s="1"/>
      <c r="L20" s="15" t="s">
        <v>270</v>
      </c>
      <c r="M20" s="1"/>
      <c r="N20" s="1"/>
      <c r="O20" s="1"/>
      <c r="P20" s="1"/>
      <c r="Q20" s="1"/>
      <c r="R20" s="1"/>
      <c r="S20" s="1"/>
      <c r="T20" s="1"/>
      <c r="V20" s="15" t="s">
        <v>270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3">
      <c r="B21" s="8" t="s">
        <v>271</v>
      </c>
      <c r="C21" s="9" t="s">
        <v>42</v>
      </c>
      <c r="D21" s="8" t="s">
        <v>272</v>
      </c>
      <c r="E21" s="8" t="s">
        <v>273</v>
      </c>
      <c r="F21" s="8" t="s">
        <v>274</v>
      </c>
      <c r="G21" s="8" t="s">
        <v>275</v>
      </c>
      <c r="H21" s="8" t="s">
        <v>276</v>
      </c>
      <c r="I21" s="8" t="s">
        <v>277</v>
      </c>
      <c r="J21" s="8" t="s">
        <v>278</v>
      </c>
      <c r="L21" s="8" t="s">
        <v>271</v>
      </c>
      <c r="M21" s="9" t="s">
        <v>42</v>
      </c>
      <c r="N21" s="8" t="s">
        <v>272</v>
      </c>
      <c r="O21" s="8" t="s">
        <v>273</v>
      </c>
      <c r="P21" s="8" t="s">
        <v>274</v>
      </c>
      <c r="Q21" s="8" t="s">
        <v>275</v>
      </c>
      <c r="R21" s="8" t="s">
        <v>276</v>
      </c>
      <c r="S21" s="8" t="s">
        <v>277</v>
      </c>
      <c r="T21" s="8" t="s">
        <v>278</v>
      </c>
      <c r="V21" s="8" t="s">
        <v>271</v>
      </c>
      <c r="W21" s="9" t="s">
        <v>42</v>
      </c>
      <c r="X21" s="8" t="s">
        <v>272</v>
      </c>
      <c r="Y21" s="8" t="s">
        <v>273</v>
      </c>
      <c r="Z21" s="8" t="s">
        <v>274</v>
      </c>
      <c r="AA21" s="8" t="s">
        <v>275</v>
      </c>
      <c r="AB21" s="8" t="s">
        <v>276</v>
      </c>
      <c r="AC21" s="8" t="s">
        <v>277</v>
      </c>
      <c r="AD21" s="8" t="s">
        <v>278</v>
      </c>
    </row>
    <row r="22" spans="1:30" ht="15.75" customHeight="1" x14ac:dyDescent="0.3">
      <c r="A22" s="5"/>
      <c r="B22" s="10" t="s">
        <v>279</v>
      </c>
      <c r="C22" s="10" t="s">
        <v>51</v>
      </c>
      <c r="D22" s="10" t="s">
        <v>280</v>
      </c>
      <c r="E22" s="10" t="s">
        <v>281</v>
      </c>
      <c r="F22" s="10" t="s">
        <v>282</v>
      </c>
      <c r="G22" s="10" t="s">
        <v>283</v>
      </c>
      <c r="H22" s="10" t="s">
        <v>284</v>
      </c>
      <c r="I22" s="10" t="s">
        <v>285</v>
      </c>
      <c r="J22" s="10" t="s">
        <v>286</v>
      </c>
      <c r="K22" s="5"/>
      <c r="L22" s="10" t="s">
        <v>279</v>
      </c>
      <c r="M22" s="10" t="s">
        <v>51</v>
      </c>
      <c r="N22" s="10" t="s">
        <v>280</v>
      </c>
      <c r="O22" s="10" t="s">
        <v>281</v>
      </c>
      <c r="P22" s="10" t="s">
        <v>282</v>
      </c>
      <c r="Q22" s="10" t="s">
        <v>283</v>
      </c>
      <c r="R22" s="10" t="s">
        <v>284</v>
      </c>
      <c r="S22" s="10" t="s">
        <v>285</v>
      </c>
      <c r="T22" s="10" t="s">
        <v>286</v>
      </c>
      <c r="U22" s="5"/>
      <c r="V22" s="10" t="s">
        <v>279</v>
      </c>
      <c r="W22" s="10" t="s">
        <v>51</v>
      </c>
      <c r="X22" s="10" t="s">
        <v>280</v>
      </c>
      <c r="Y22" s="10" t="s">
        <v>281</v>
      </c>
      <c r="Z22" s="10" t="s">
        <v>282</v>
      </c>
      <c r="AA22" s="10" t="s">
        <v>283</v>
      </c>
      <c r="AB22" s="10" t="s">
        <v>284</v>
      </c>
      <c r="AC22" s="10" t="s">
        <v>285</v>
      </c>
      <c r="AD22" s="10" t="s">
        <v>286</v>
      </c>
    </row>
    <row r="23" spans="1:30" ht="15.75" customHeight="1" x14ac:dyDescent="0.3">
      <c r="B23" s="10" t="s">
        <v>287</v>
      </c>
      <c r="C23" s="10"/>
      <c r="D23" s="10"/>
      <c r="E23" s="10"/>
      <c r="F23" s="10"/>
      <c r="G23" s="10"/>
      <c r="H23" s="10"/>
      <c r="I23" s="10"/>
      <c r="J23" s="10"/>
      <c r="L23" s="10" t="s">
        <v>287</v>
      </c>
      <c r="M23" s="10"/>
      <c r="N23" s="10"/>
      <c r="O23" s="10"/>
      <c r="P23" s="10"/>
      <c r="Q23" s="10"/>
      <c r="R23" s="10"/>
      <c r="S23" s="10"/>
      <c r="T23" s="10"/>
      <c r="V23" s="10" t="s">
        <v>287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3">
      <c r="B24" s="12" t="s">
        <v>258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288</v>
      </c>
      <c r="L24" s="12" t="s">
        <v>289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288</v>
      </c>
    </row>
    <row r="25" spans="1:30" ht="15.75" customHeight="1" x14ac:dyDescent="0.3">
      <c r="D25" s="12" t="str">
        <v>MIN-CAM2</v>
      </c>
      <c r="E25" s="12" t="str">
        <v>Mina de reservas de fluidos de CAM2</v>
      </c>
      <c r="F25" s="12" t="s">
        <v>59</v>
      </c>
      <c r="G25" s="12" t="s">
        <v>288</v>
      </c>
      <c r="N25" s="12" t="str">
        <v>PROF-CAM2</v>
      </c>
      <c r="O25" s="12" t="str">
        <v>Produccion con flaring de CAM2</v>
      </c>
      <c r="P25" s="12" t="s">
        <v>59</v>
      </c>
      <c r="Q25" s="12" t="s">
        <v>288</v>
      </c>
    </row>
    <row r="26" spans="1:30" ht="15.75" customHeight="1" x14ac:dyDescent="0.3">
      <c r="D26" s="12" t="str">
        <v>MIN-CAM3</v>
      </c>
      <c r="E26" s="12" t="str">
        <v>Mina de reservas de fluidos de CAM3</v>
      </c>
      <c r="F26" s="12" t="s">
        <v>59</v>
      </c>
      <c r="G26" s="12" t="s">
        <v>288</v>
      </c>
      <c r="N26" s="12" t="str">
        <v>PROF-CAM3</v>
      </c>
      <c r="O26" s="12" t="str">
        <v>Produccion con flaring de CAM3</v>
      </c>
      <c r="P26" s="12" t="s">
        <v>59</v>
      </c>
      <c r="Q26" s="12" t="s">
        <v>288</v>
      </c>
    </row>
    <row r="27" spans="1:30" ht="15.75" customHeight="1" x14ac:dyDescent="0.3">
      <c r="D27" s="12" t="str">
        <v>MIN-CAM4</v>
      </c>
      <c r="E27" s="12" t="str">
        <v>Mina de reservas de fluidos de CAM4</v>
      </c>
      <c r="F27" s="12" t="s">
        <v>59</v>
      </c>
      <c r="G27" s="12" t="s">
        <v>288</v>
      </c>
      <c r="N27" s="12" t="str">
        <v>PROF-CAM4</v>
      </c>
      <c r="O27" s="12" t="str">
        <v>Produccion con flaring de CAM4</v>
      </c>
      <c r="P27" s="12" t="s">
        <v>59</v>
      </c>
      <c r="Q27" s="12" t="s">
        <v>288</v>
      </c>
    </row>
    <row r="28" spans="1:30" ht="15.75" customHeight="1" x14ac:dyDescent="0.3">
      <c r="D28" s="12" t="str">
        <v>MIN-CAM5</v>
      </c>
      <c r="E28" s="12" t="str">
        <v>Mina de reservas de fluidos de CAM5</v>
      </c>
      <c r="F28" s="12" t="s">
        <v>59</v>
      </c>
      <c r="G28" s="12" t="s">
        <v>288</v>
      </c>
      <c r="N28" s="12" t="str">
        <v>PROF-CAM5</v>
      </c>
      <c r="O28" s="12" t="str">
        <v>Produccion con flaring de CAM5</v>
      </c>
      <c r="P28" s="12" t="s">
        <v>59</v>
      </c>
      <c r="Q28" s="12" t="s">
        <v>288</v>
      </c>
    </row>
    <row r="29" spans="1:30" ht="15.75" customHeight="1" x14ac:dyDescent="0.3">
      <c r="D29" s="12" t="str">
        <v>MIN-CAM6</v>
      </c>
      <c r="E29" s="12" t="str">
        <v>Mina de reservas de fluidos de CAM6</v>
      </c>
      <c r="F29" s="12" t="s">
        <v>59</v>
      </c>
      <c r="G29" s="12" t="s">
        <v>288</v>
      </c>
      <c r="N29" s="12" t="str">
        <v>PROF-CAM6</v>
      </c>
      <c r="O29" s="12" t="str">
        <v>Produccion con flaring de CAM6</v>
      </c>
      <c r="P29" s="12" t="s">
        <v>59</v>
      </c>
      <c r="Q29" s="12" t="s">
        <v>288</v>
      </c>
    </row>
    <row r="30" spans="1:30" ht="15.75" customHeight="1" x14ac:dyDescent="0.3">
      <c r="D30" s="12" t="str">
        <v>MIN-CAM7</v>
      </c>
      <c r="E30" s="12" t="str">
        <v>Mina de reservas de fluidos de CAM7</v>
      </c>
      <c r="F30" s="12" t="s">
        <v>59</v>
      </c>
      <c r="G30" s="12" t="s">
        <v>288</v>
      </c>
      <c r="N30" s="12" t="str">
        <v>PROF-CAM7</v>
      </c>
      <c r="O30" s="12" t="str">
        <v>Produccion con flaring de CAM7</v>
      </c>
      <c r="P30" s="12" t="s">
        <v>59</v>
      </c>
      <c r="Q30" s="12" t="s">
        <v>288</v>
      </c>
    </row>
    <row r="31" spans="1:30" ht="15.75" customHeight="1" x14ac:dyDescent="0.3">
      <c r="D31" s="12" t="str">
        <v>MIN-CAM8</v>
      </c>
      <c r="E31" s="12" t="str">
        <v>Mina de reservas de fluidos de CAM8</v>
      </c>
      <c r="F31" s="12" t="s">
        <v>59</v>
      </c>
      <c r="G31" s="12" t="s">
        <v>288</v>
      </c>
      <c r="N31" s="12" t="str">
        <v>PROF-CAM8</v>
      </c>
      <c r="O31" s="12" t="str">
        <v>Produccion con flaring de CAM8</v>
      </c>
      <c r="P31" s="12" t="s">
        <v>59</v>
      </c>
      <c r="Q31" s="12" t="s">
        <v>288</v>
      </c>
    </row>
    <row r="32" spans="1:30" ht="15.75" customHeight="1" x14ac:dyDescent="0.3">
      <c r="D32" s="12" t="str">
        <v>MIN-CAM9</v>
      </c>
      <c r="E32" s="12" t="str">
        <v>Mina de reservas de fluidos de CAM9</v>
      </c>
      <c r="F32" s="12" t="s">
        <v>59</v>
      </c>
      <c r="G32" s="12" t="s">
        <v>288</v>
      </c>
      <c r="N32" s="12" t="str">
        <v>PROF-CAM9</v>
      </c>
      <c r="O32" s="12" t="str">
        <v>Produccion con flaring de CAM9</v>
      </c>
      <c r="P32" s="12" t="s">
        <v>59</v>
      </c>
      <c r="Q32" s="12" t="s">
        <v>288</v>
      </c>
    </row>
    <row r="33" spans="4:17" ht="15.75" customHeight="1" x14ac:dyDescent="0.3">
      <c r="D33" s="12" t="str">
        <v>MIN-CAM10</v>
      </c>
      <c r="E33" s="12" t="str">
        <v>Mina de reservas de fluidos de CAM10</v>
      </c>
      <c r="F33" s="12" t="s">
        <v>59</v>
      </c>
      <c r="G33" s="12" t="s">
        <v>288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288</v>
      </c>
    </row>
    <row r="34" spans="4:17" ht="15.75" customHeight="1" x14ac:dyDescent="0.3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288</v>
      </c>
    </row>
    <row r="35" spans="4:17" ht="15.75" customHeight="1" x14ac:dyDescent="0.3">
      <c r="N35" s="12" t="str">
        <v>PROSF-CAM2</v>
      </c>
      <c r="O35" s="12" t="str">
        <v>Produccion sin flaring de CAM2</v>
      </c>
      <c r="P35" s="12" t="s">
        <v>59</v>
      </c>
      <c r="Q35" s="12" t="s">
        <v>288</v>
      </c>
    </row>
    <row r="36" spans="4:17" ht="15.75" customHeight="1" x14ac:dyDescent="0.3">
      <c r="N36" s="12" t="str">
        <v>PROSF-CAM3</v>
      </c>
      <c r="O36" s="12" t="str">
        <v>Produccion sin flaring de CAM3</v>
      </c>
      <c r="P36" s="12" t="s">
        <v>59</v>
      </c>
      <c r="Q36" s="12" t="s">
        <v>288</v>
      </c>
    </row>
    <row r="37" spans="4:17" ht="15.75" customHeight="1" x14ac:dyDescent="0.3">
      <c r="N37" s="12" t="str">
        <v>PROSF-CAM4</v>
      </c>
      <c r="O37" s="12" t="str">
        <v>Produccion sin flaring de CAM4</v>
      </c>
      <c r="P37" s="12" t="s">
        <v>59</v>
      </c>
      <c r="Q37" s="12" t="s">
        <v>288</v>
      </c>
    </row>
    <row r="38" spans="4:17" ht="15.75" customHeight="1" x14ac:dyDescent="0.3">
      <c r="N38" s="12" t="str">
        <v>PROSF-CAM5</v>
      </c>
      <c r="O38" s="12" t="str">
        <v>Produccion sin flaring de CAM5</v>
      </c>
      <c r="P38" s="12" t="s">
        <v>59</v>
      </c>
      <c r="Q38" s="12" t="s">
        <v>288</v>
      </c>
    </row>
    <row r="39" spans="4:17" ht="15.75" customHeight="1" x14ac:dyDescent="0.3">
      <c r="N39" s="12" t="str">
        <v>PROSF-CAM6</v>
      </c>
      <c r="O39" s="12" t="str">
        <v>Produccion sin flaring de CAM6</v>
      </c>
      <c r="P39" s="12" t="s">
        <v>59</v>
      </c>
      <c r="Q39" s="12" t="s">
        <v>288</v>
      </c>
    </row>
    <row r="40" spans="4:17" ht="15.75" customHeight="1" x14ac:dyDescent="0.3">
      <c r="N40" s="12" t="str">
        <v>PROSF-CAM7</v>
      </c>
      <c r="O40" s="12" t="str">
        <v>Produccion sin flaring de CAM7</v>
      </c>
      <c r="P40" s="12" t="s">
        <v>59</v>
      </c>
      <c r="Q40" s="12" t="s">
        <v>288</v>
      </c>
    </row>
    <row r="41" spans="4:17" ht="15.75" customHeight="1" x14ac:dyDescent="0.3">
      <c r="N41" s="12" t="str">
        <v>PROSF-CAM8</v>
      </c>
      <c r="O41" s="12" t="str">
        <v>Produccion sin flaring de CAM8</v>
      </c>
      <c r="P41" s="12" t="s">
        <v>59</v>
      </c>
      <c r="Q41" s="12" t="s">
        <v>288</v>
      </c>
    </row>
    <row r="42" spans="4:17" ht="15.75" customHeight="1" x14ac:dyDescent="0.3">
      <c r="N42" s="12" t="str">
        <v>PROSF-CAM9</v>
      </c>
      <c r="O42" s="12" t="str">
        <v>Produccion sin flaring de CAM9</v>
      </c>
      <c r="P42" s="12" t="s">
        <v>59</v>
      </c>
      <c r="Q42" s="12" t="s">
        <v>288</v>
      </c>
    </row>
    <row r="43" spans="4:17" ht="15.75" customHeight="1" x14ac:dyDescent="0.3">
      <c r="N43" s="12" t="str">
        <v>PROSF-CAM10</v>
      </c>
      <c r="O43" s="12" t="str">
        <v>Produccion sin flaring de CAM10</v>
      </c>
      <c r="P43" s="12" t="s">
        <v>59</v>
      </c>
      <c r="Q43" s="12" t="s">
        <v>288</v>
      </c>
    </row>
    <row r="44" spans="4:17" ht="15.75" customHeight="1" x14ac:dyDescent="0.3">
      <c r="N44" s="12" t="str">
        <f t="array" ref="N44:N53">+"SEP-"&amp;B4:B13</f>
        <v>SEP-CAM1</v>
      </c>
      <c r="O44" s="12" t="s">
        <v>290</v>
      </c>
      <c r="P44" s="12" t="s">
        <v>59</v>
      </c>
      <c r="Q44" s="12" t="s">
        <v>288</v>
      </c>
    </row>
    <row r="45" spans="4:17" ht="15.75" customHeight="1" x14ac:dyDescent="0.3">
      <c r="N45" s="12" t="str">
        <v>SEP-CAM2</v>
      </c>
      <c r="O45" s="12" t="s">
        <v>291</v>
      </c>
      <c r="P45" s="12" t="s">
        <v>59</v>
      </c>
      <c r="Q45" s="12" t="s">
        <v>288</v>
      </c>
    </row>
    <row r="46" spans="4:17" ht="15.75" customHeight="1" x14ac:dyDescent="0.3">
      <c r="N46" s="12" t="str">
        <v>SEP-CAM3</v>
      </c>
      <c r="O46" s="12" t="s">
        <v>292</v>
      </c>
      <c r="P46" s="12" t="s">
        <v>59</v>
      </c>
      <c r="Q46" s="12" t="s">
        <v>288</v>
      </c>
    </row>
    <row r="47" spans="4:17" ht="15.75" customHeight="1" x14ac:dyDescent="0.3">
      <c r="N47" s="12" t="str">
        <v>SEP-CAM4</v>
      </c>
      <c r="O47" s="12" t="s">
        <v>293</v>
      </c>
      <c r="P47" s="12" t="s">
        <v>59</v>
      </c>
      <c r="Q47" s="12" t="s">
        <v>288</v>
      </c>
    </row>
    <row r="48" spans="4:17" ht="15.75" customHeight="1" x14ac:dyDescent="0.3">
      <c r="N48" s="12" t="str">
        <v>SEP-CAM5</v>
      </c>
      <c r="O48" s="12" t="s">
        <v>294</v>
      </c>
      <c r="P48" s="12" t="s">
        <v>59</v>
      </c>
      <c r="Q48" s="12" t="s">
        <v>288</v>
      </c>
    </row>
    <row r="49" spans="14:17" ht="15.75" customHeight="1" x14ac:dyDescent="0.3">
      <c r="N49" s="12" t="str">
        <v>SEP-CAM6</v>
      </c>
      <c r="O49" s="12" t="s">
        <v>295</v>
      </c>
      <c r="P49" s="12" t="s">
        <v>59</v>
      </c>
      <c r="Q49" s="12" t="s">
        <v>288</v>
      </c>
    </row>
    <row r="50" spans="14:17" ht="15.75" customHeight="1" x14ac:dyDescent="0.3">
      <c r="N50" s="12" t="str">
        <v>SEP-CAM7</v>
      </c>
      <c r="O50" s="12" t="s">
        <v>296</v>
      </c>
      <c r="P50" s="12" t="s">
        <v>59</v>
      </c>
      <c r="Q50" s="12" t="s">
        <v>288</v>
      </c>
    </row>
    <row r="51" spans="14:17" ht="15.75" customHeight="1" x14ac:dyDescent="0.3">
      <c r="N51" s="12" t="str">
        <v>SEP-CAM8</v>
      </c>
      <c r="O51" s="12" t="s">
        <v>297</v>
      </c>
      <c r="P51" s="12" t="s">
        <v>59</v>
      </c>
      <c r="Q51" s="12" t="s">
        <v>288</v>
      </c>
    </row>
    <row r="52" spans="14:17" ht="15.75" customHeight="1" x14ac:dyDescent="0.3">
      <c r="N52" s="12" t="str">
        <v>SEP-CAM9</v>
      </c>
      <c r="O52" s="12" t="s">
        <v>298</v>
      </c>
      <c r="P52" s="12" t="s">
        <v>59</v>
      </c>
      <c r="Q52" s="12" t="s">
        <v>288</v>
      </c>
    </row>
    <row r="53" spans="14:17" ht="15.75" customHeight="1" x14ac:dyDescent="0.3">
      <c r="N53" s="12" t="str">
        <v>SEP-CAM10</v>
      </c>
      <c r="O53" s="12" t="s">
        <v>299</v>
      </c>
      <c r="P53" s="12" t="s">
        <v>59</v>
      </c>
      <c r="Q53" s="12" t="s">
        <v>288</v>
      </c>
    </row>
    <row r="54" spans="14:17" ht="15.75" customHeight="1" x14ac:dyDescent="0.3">
      <c r="N54" s="12" t="str">
        <f t="array" ref="N54:N59">+"PLT-"&amp;B4:B9</f>
        <v>PLT-CAM1</v>
      </c>
      <c r="O54" s="12" t="s">
        <v>300</v>
      </c>
      <c r="P54" s="12" t="s">
        <v>59</v>
      </c>
      <c r="Q54" s="12" t="s">
        <v>288</v>
      </c>
    </row>
    <row r="55" spans="14:17" ht="15.75" customHeight="1" x14ac:dyDescent="0.3">
      <c r="N55" s="12" t="str">
        <v>PLT-CAM2</v>
      </c>
      <c r="O55" s="12" t="s">
        <v>301</v>
      </c>
      <c r="P55" s="12" t="s">
        <v>59</v>
      </c>
      <c r="Q55" s="12" t="s">
        <v>288</v>
      </c>
    </row>
    <row r="56" spans="14:17" ht="15.75" customHeight="1" x14ac:dyDescent="0.3">
      <c r="N56" s="12" t="str">
        <v>PLT-CAM3</v>
      </c>
      <c r="O56" s="12" t="s">
        <v>302</v>
      </c>
      <c r="P56" s="12" t="s">
        <v>59</v>
      </c>
      <c r="Q56" s="12" t="s">
        <v>288</v>
      </c>
    </row>
    <row r="57" spans="14:17" ht="15.75" customHeight="1" x14ac:dyDescent="0.3">
      <c r="N57" s="12" t="str">
        <v>PLT-CAM4</v>
      </c>
      <c r="O57" s="12" t="s">
        <v>303</v>
      </c>
      <c r="P57" s="12" t="s">
        <v>59</v>
      </c>
      <c r="Q57" s="12" t="s">
        <v>288</v>
      </c>
    </row>
    <row r="58" spans="14:17" ht="15.75" customHeight="1" x14ac:dyDescent="0.3">
      <c r="N58" s="12" t="str">
        <v>PLT-CAM5</v>
      </c>
      <c r="O58" s="12" t="s">
        <v>304</v>
      </c>
      <c r="P58" s="12" t="s">
        <v>59</v>
      </c>
      <c r="Q58" s="12" t="s">
        <v>288</v>
      </c>
    </row>
    <row r="59" spans="14:17" ht="15.75" customHeight="1" x14ac:dyDescent="0.3">
      <c r="N59" s="12" t="str">
        <v>PLT-CAM6</v>
      </c>
      <c r="O59" s="12" t="s">
        <v>305</v>
      </c>
      <c r="P59" s="12" t="s">
        <v>59</v>
      </c>
      <c r="Q59" s="12" t="s">
        <v>288</v>
      </c>
    </row>
    <row r="60" spans="14:17" ht="15.75" customHeight="1" x14ac:dyDescent="0.3">
      <c r="N60" s="18" t="s">
        <v>306</v>
      </c>
      <c r="O60" s="12" t="s">
        <v>307</v>
      </c>
      <c r="P60" s="12" t="s">
        <v>59</v>
      </c>
      <c r="Q60" s="12" t="s">
        <v>288</v>
      </c>
    </row>
    <row r="61" spans="14:17" ht="15.75" customHeight="1" x14ac:dyDescent="0.3">
      <c r="N61" s="17" t="str">
        <f t="array" ref="N61:N67">+"COLFUEL-GAS-"&amp;B4:B10</f>
        <v>COLFUEL-GAS-CAM1</v>
      </c>
      <c r="O61" s="18" t="s">
        <v>332</v>
      </c>
      <c r="P61" s="12" t="s">
        <v>59</v>
      </c>
      <c r="Q61" s="12" t="s">
        <v>288</v>
      </c>
    </row>
    <row r="62" spans="14:17" ht="15.75" customHeight="1" x14ac:dyDescent="0.3">
      <c r="N62" s="18" t="str">
        <v>COLFUEL-GAS-CAM2</v>
      </c>
      <c r="O62" s="18" t="s">
        <v>334</v>
      </c>
      <c r="P62" s="12" t="s">
        <v>59</v>
      </c>
      <c r="Q62" s="12" t="s">
        <v>288</v>
      </c>
    </row>
    <row r="63" spans="14:17" ht="15.75" customHeight="1" x14ac:dyDescent="0.3">
      <c r="N63" s="18" t="str">
        <v>COLFUEL-GAS-CAM3</v>
      </c>
      <c r="O63" s="18" t="s">
        <v>335</v>
      </c>
      <c r="P63" s="12" t="s">
        <v>59</v>
      </c>
      <c r="Q63" s="12" t="s">
        <v>288</v>
      </c>
    </row>
    <row r="64" spans="14:17" ht="15.75" customHeight="1" x14ac:dyDescent="0.3">
      <c r="N64" s="18" t="str">
        <v>COLFUEL-GAS-CAM4</v>
      </c>
      <c r="O64" s="18" t="s">
        <v>336</v>
      </c>
      <c r="P64" s="12" t="s">
        <v>59</v>
      </c>
      <c r="Q64" s="12" t="s">
        <v>288</v>
      </c>
    </row>
    <row r="65" spans="14:17" ht="15.75" customHeight="1" x14ac:dyDescent="0.3">
      <c r="N65" s="18" t="str">
        <v>COLFUEL-GAS-CAM5</v>
      </c>
      <c r="O65" s="18" t="s">
        <v>337</v>
      </c>
      <c r="P65" s="12" t="s">
        <v>59</v>
      </c>
      <c r="Q65" s="12" t="s">
        <v>288</v>
      </c>
    </row>
    <row r="66" spans="14:17" ht="15.75" customHeight="1" x14ac:dyDescent="0.3">
      <c r="N66" s="18" t="str">
        <v>COLFUEL-GAS-CAM6</v>
      </c>
      <c r="O66" s="18" t="s">
        <v>338</v>
      </c>
      <c r="P66" s="12" t="s">
        <v>59</v>
      </c>
      <c r="Q66" s="12" t="s">
        <v>288</v>
      </c>
    </row>
    <row r="67" spans="14:17" ht="15.75" customHeight="1" x14ac:dyDescent="0.3">
      <c r="N67" s="18" t="str">
        <v>COLFUEL-GAS-CAM7</v>
      </c>
      <c r="O67" s="18" t="s">
        <v>339</v>
      </c>
      <c r="P67" s="12" t="s">
        <v>59</v>
      </c>
      <c r="Q67" s="12" t="s">
        <v>288</v>
      </c>
    </row>
    <row r="68" spans="14:17" ht="15.75" customHeight="1" x14ac:dyDescent="0.3">
      <c r="N68" s="17" t="str">
        <f t="array" ref="N68:N74">+"COLELC-GAS-"&amp;B4:B10</f>
        <v>COLELC-GAS-CAM1</v>
      </c>
      <c r="O68" s="18" t="s">
        <v>340</v>
      </c>
      <c r="P68" s="12" t="s">
        <v>59</v>
      </c>
      <c r="Q68" s="12" t="s">
        <v>288</v>
      </c>
    </row>
    <row r="69" spans="14:17" ht="15.75" customHeight="1" x14ac:dyDescent="0.3">
      <c r="N69" s="18" t="str">
        <v>COLELC-GAS-CAM2</v>
      </c>
      <c r="O69" s="18" t="s">
        <v>341</v>
      </c>
      <c r="P69" s="12" t="s">
        <v>59</v>
      </c>
      <c r="Q69" s="12" t="s">
        <v>288</v>
      </c>
    </row>
    <row r="70" spans="14:17" ht="15.75" customHeight="1" x14ac:dyDescent="0.3">
      <c r="N70" s="18" t="str">
        <v>COLELC-GAS-CAM3</v>
      </c>
      <c r="O70" s="18" t="s">
        <v>342</v>
      </c>
      <c r="P70" s="12" t="s">
        <v>59</v>
      </c>
      <c r="Q70" s="12" t="s">
        <v>288</v>
      </c>
    </row>
    <row r="71" spans="14:17" ht="15.75" customHeight="1" x14ac:dyDescent="0.3">
      <c r="N71" s="18" t="str">
        <v>COLELC-GAS-CAM4</v>
      </c>
      <c r="O71" s="18" t="s">
        <v>343</v>
      </c>
      <c r="P71" s="12" t="s">
        <v>59</v>
      </c>
      <c r="Q71" s="12" t="s">
        <v>288</v>
      </c>
    </row>
    <row r="72" spans="14:17" ht="15.75" customHeight="1" x14ac:dyDescent="0.3">
      <c r="N72" s="18" t="str">
        <v>COLELC-GAS-CAM5</v>
      </c>
      <c r="O72" s="18" t="s">
        <v>344</v>
      </c>
      <c r="P72" s="12" t="s">
        <v>59</v>
      </c>
      <c r="Q72" s="12" t="s">
        <v>288</v>
      </c>
    </row>
    <row r="73" spans="14:17" ht="15.75" customHeight="1" x14ac:dyDescent="0.3">
      <c r="N73" s="18" t="str">
        <v>COLELC-GAS-CAM6</v>
      </c>
      <c r="O73" s="18" t="s">
        <v>345</v>
      </c>
      <c r="P73" s="12" t="s">
        <v>59</v>
      </c>
      <c r="Q73" s="12" t="s">
        <v>288</v>
      </c>
    </row>
    <row r="74" spans="14:17" ht="15.75" customHeight="1" x14ac:dyDescent="0.3">
      <c r="N74" s="18" t="str">
        <v>COLELC-GAS-CAM7</v>
      </c>
      <c r="O74" s="18" t="s">
        <v>346</v>
      </c>
      <c r="P74" s="12" t="s">
        <v>59</v>
      </c>
      <c r="Q74" s="12" t="s">
        <v>288</v>
      </c>
    </row>
    <row r="75" spans="14:17" ht="15.75" customHeight="1" x14ac:dyDescent="0.3">
      <c r="N75" s="12" t="s">
        <v>347</v>
      </c>
      <c r="O75" s="18" t="s">
        <v>348</v>
      </c>
      <c r="P75" s="12" t="s">
        <v>59</v>
      </c>
      <c r="Q75" s="12" t="s">
        <v>288</v>
      </c>
    </row>
    <row r="76" spans="14:17" ht="15.75" customHeight="1" x14ac:dyDescent="0.3">
      <c r="N76" s="12" t="s">
        <v>349</v>
      </c>
      <c r="O76" s="18" t="s">
        <v>350</v>
      </c>
      <c r="P76" s="12" t="s">
        <v>59</v>
      </c>
      <c r="Q76" s="12" t="s">
        <v>288</v>
      </c>
    </row>
    <row r="77" spans="14:17" ht="15.75" customHeight="1" x14ac:dyDescent="0.3">
      <c r="N77" s="12" t="s">
        <v>351</v>
      </c>
      <c r="O77" s="18" t="s">
        <v>352</v>
      </c>
      <c r="P77" s="12" t="s">
        <v>59</v>
      </c>
      <c r="Q77" s="12" t="s">
        <v>288</v>
      </c>
    </row>
    <row r="78" spans="14:17" ht="15.75" customHeight="1" x14ac:dyDescent="0.3">
      <c r="N78" s="12" t="s">
        <v>353</v>
      </c>
      <c r="O78" s="18" t="s">
        <v>354</v>
      </c>
      <c r="P78" s="12" t="s">
        <v>59</v>
      </c>
      <c r="Q78" s="12" t="s">
        <v>288</v>
      </c>
    </row>
    <row r="79" spans="14:17" ht="15.75" customHeight="1" x14ac:dyDescent="0.3">
      <c r="N79" s="12" t="s">
        <v>355</v>
      </c>
      <c r="O79" s="18" t="s">
        <v>356</v>
      </c>
      <c r="P79" s="12" t="s">
        <v>59</v>
      </c>
      <c r="Q79" s="12" t="s">
        <v>288</v>
      </c>
    </row>
    <row r="80" spans="14:17" ht="15.75" customHeight="1" x14ac:dyDescent="0.3">
      <c r="N80" s="12" t="s">
        <v>357</v>
      </c>
      <c r="O80" s="18" t="s">
        <v>358</v>
      </c>
      <c r="P80" s="12" t="s">
        <v>59</v>
      </c>
      <c r="Q80" s="12" t="s">
        <v>288</v>
      </c>
    </row>
    <row r="81" spans="14:17" ht="15.75" customHeight="1" x14ac:dyDescent="0.3">
      <c r="N81" s="12" t="s">
        <v>359</v>
      </c>
      <c r="O81" s="18" t="s">
        <v>360</v>
      </c>
      <c r="P81" s="18" t="s">
        <v>59</v>
      </c>
      <c r="Q81" s="18" t="s">
        <v>333</v>
      </c>
    </row>
    <row r="82" spans="14:17" ht="15.75" customHeight="1" x14ac:dyDescent="0.3">
      <c r="N82" s="12" t="s">
        <v>361</v>
      </c>
      <c r="O82" s="18" t="s">
        <v>362</v>
      </c>
      <c r="P82" s="18" t="s">
        <v>59</v>
      </c>
      <c r="Q82" s="18" t="s">
        <v>333</v>
      </c>
    </row>
    <row r="83" spans="14:17" ht="15.75" customHeight="1" x14ac:dyDescent="0.3">
      <c r="N83" s="12" t="s">
        <v>363</v>
      </c>
      <c r="O83" s="18" t="s">
        <v>364</v>
      </c>
      <c r="P83" s="18" t="s">
        <v>59</v>
      </c>
      <c r="Q83" s="18" t="s">
        <v>333</v>
      </c>
    </row>
    <row r="84" spans="14:17" ht="15.75" customHeight="1" x14ac:dyDescent="0.3">
      <c r="N84" s="12" t="s">
        <v>365</v>
      </c>
      <c r="O84" s="18" t="s">
        <v>366</v>
      </c>
      <c r="P84" s="18" t="s">
        <v>59</v>
      </c>
      <c r="Q84" s="18" t="s">
        <v>333</v>
      </c>
    </row>
    <row r="85" spans="14:17" ht="15.75" customHeight="1" x14ac:dyDescent="0.3">
      <c r="N85" s="12" t="str">
        <f t="array" ref="N85:N91">+"FTE-FUEL-GAS-"&amp;B4:B10</f>
        <v>FTE-FUEL-GAS-CAM1</v>
      </c>
      <c r="O85" s="18" t="s">
        <v>367</v>
      </c>
      <c r="P85" s="18" t="s">
        <v>59</v>
      </c>
      <c r="Q85" s="18" t="s">
        <v>333</v>
      </c>
    </row>
    <row r="86" spans="14:17" ht="15.75" customHeight="1" x14ac:dyDescent="0.3">
      <c r="N86" s="12" t="str">
        <v>FTE-FUEL-GAS-CAM2</v>
      </c>
      <c r="O86" s="18" t="s">
        <v>368</v>
      </c>
      <c r="P86" s="18" t="s">
        <v>59</v>
      </c>
      <c r="Q86" s="18" t="s">
        <v>333</v>
      </c>
    </row>
    <row r="87" spans="14:17" ht="15.75" customHeight="1" x14ac:dyDescent="0.3">
      <c r="N87" s="12" t="str">
        <v>FTE-FUEL-GAS-CAM3</v>
      </c>
      <c r="O87" s="18" t="s">
        <v>369</v>
      </c>
      <c r="P87" s="18" t="s">
        <v>59</v>
      </c>
      <c r="Q87" s="18" t="s">
        <v>333</v>
      </c>
    </row>
    <row r="88" spans="14:17" ht="15.75" customHeight="1" x14ac:dyDescent="0.3">
      <c r="N88" s="12" t="str">
        <v>FTE-FUEL-GAS-CAM4</v>
      </c>
      <c r="O88" s="18" t="s">
        <v>370</v>
      </c>
      <c r="P88" s="18" t="s">
        <v>59</v>
      </c>
      <c r="Q88" s="18" t="s">
        <v>333</v>
      </c>
    </row>
    <row r="89" spans="14:17" ht="15.75" customHeight="1" x14ac:dyDescent="0.3">
      <c r="N89" s="12" t="str">
        <v>FTE-FUEL-GAS-CAM5</v>
      </c>
      <c r="O89" s="18" t="s">
        <v>371</v>
      </c>
      <c r="P89" s="18" t="s">
        <v>59</v>
      </c>
      <c r="Q89" s="18" t="s">
        <v>333</v>
      </c>
    </row>
    <row r="90" spans="14:17" ht="15.75" customHeight="1" x14ac:dyDescent="0.3">
      <c r="N90" s="12" t="str">
        <v>FTE-FUEL-GAS-CAM6</v>
      </c>
      <c r="O90" s="18" t="s">
        <v>372</v>
      </c>
      <c r="P90" s="18" t="s">
        <v>59</v>
      </c>
      <c r="Q90" s="18" t="s">
        <v>333</v>
      </c>
    </row>
    <row r="91" spans="14:17" ht="15.75" customHeight="1" x14ac:dyDescent="0.3">
      <c r="N91" s="12" t="str">
        <v>FTE-FUEL-GAS-CAM7</v>
      </c>
      <c r="O91" s="18" t="s">
        <v>373</v>
      </c>
      <c r="P91" s="18" t="s">
        <v>59</v>
      </c>
      <c r="Q91" s="18" t="s">
        <v>333</v>
      </c>
    </row>
    <row r="92" spans="14:17" ht="15.75" customHeight="1" x14ac:dyDescent="0.3">
      <c r="N92" s="12" t="str">
        <f t="array" ref="N92:N98">+"FTE-FUEL-DSL-"&amp;$B$4:$B$10</f>
        <v>FTE-FUEL-DSL-CAM1</v>
      </c>
      <c r="O92" s="18" t="s">
        <v>374</v>
      </c>
      <c r="P92" s="18" t="s">
        <v>59</v>
      </c>
      <c r="Q92" s="18" t="s">
        <v>333</v>
      </c>
    </row>
    <row r="93" spans="14:17" ht="15.75" customHeight="1" x14ac:dyDescent="0.3">
      <c r="N93" s="12" t="str">
        <v>FTE-FUEL-DSL-CAM2</v>
      </c>
      <c r="O93" s="18" t="s">
        <v>375</v>
      </c>
      <c r="P93" s="18" t="s">
        <v>59</v>
      </c>
      <c r="Q93" s="18" t="s">
        <v>333</v>
      </c>
    </row>
    <row r="94" spans="14:17" ht="15.75" customHeight="1" x14ac:dyDescent="0.3">
      <c r="N94" s="12" t="str">
        <v>FTE-FUEL-DSL-CAM3</v>
      </c>
      <c r="O94" s="18" t="s">
        <v>376</v>
      </c>
      <c r="P94" s="18" t="s">
        <v>59</v>
      </c>
      <c r="Q94" s="18" t="s">
        <v>333</v>
      </c>
    </row>
    <row r="95" spans="14:17" ht="15.75" customHeight="1" x14ac:dyDescent="0.3">
      <c r="N95" s="12" t="str">
        <v>FTE-FUEL-DSL-CAM4</v>
      </c>
      <c r="O95" s="18" t="s">
        <v>377</v>
      </c>
      <c r="P95" s="18" t="s">
        <v>59</v>
      </c>
      <c r="Q95" s="18" t="s">
        <v>288</v>
      </c>
    </row>
    <row r="96" spans="14:17" ht="15.75" customHeight="1" x14ac:dyDescent="0.3">
      <c r="N96" s="12" t="str">
        <v>FTE-FUEL-DSL-CAM5</v>
      </c>
      <c r="O96" s="18" t="s">
        <v>378</v>
      </c>
      <c r="P96" s="18" t="s">
        <v>59</v>
      </c>
      <c r="Q96" s="18" t="s">
        <v>288</v>
      </c>
    </row>
    <row r="97" spans="14:17" ht="15.75" customHeight="1" x14ac:dyDescent="0.3">
      <c r="N97" s="12" t="str">
        <v>FTE-FUEL-DSL-CAM6</v>
      </c>
      <c r="O97" s="18" t="s">
        <v>379</v>
      </c>
      <c r="P97" s="18" t="s">
        <v>59</v>
      </c>
      <c r="Q97" s="18" t="s">
        <v>288</v>
      </c>
    </row>
    <row r="98" spans="14:17" ht="15.75" customHeight="1" x14ac:dyDescent="0.3">
      <c r="N98" s="12" t="str">
        <v>FTE-FUEL-DSL-CAM7</v>
      </c>
      <c r="O98" s="18" t="s">
        <v>380</v>
      </c>
      <c r="P98" s="18" t="s">
        <v>59</v>
      </c>
      <c r="Q98" s="18" t="s">
        <v>288</v>
      </c>
    </row>
    <row r="99" spans="14:17" ht="15.75" customHeight="1" x14ac:dyDescent="0.3">
      <c r="N99" s="12" t="str">
        <f t="array" ref="N99:N105">+"FTE-FUEL-OIL-"&amp;$B$4:$B$10</f>
        <v>FTE-FUEL-OIL-CAM1</v>
      </c>
      <c r="O99" s="18" t="s">
        <v>381</v>
      </c>
      <c r="P99" s="18" t="s">
        <v>59</v>
      </c>
      <c r="Q99" s="18" t="s">
        <v>288</v>
      </c>
    </row>
    <row r="100" spans="14:17" ht="15.75" customHeight="1" x14ac:dyDescent="0.3">
      <c r="N100" s="12" t="str">
        <v>FTE-FUEL-OIL-CAM2</v>
      </c>
      <c r="O100" s="18" t="s">
        <v>382</v>
      </c>
      <c r="P100" s="18" t="s">
        <v>59</v>
      </c>
      <c r="Q100" s="18" t="s">
        <v>288</v>
      </c>
    </row>
    <row r="101" spans="14:17" ht="15.75" customHeight="1" x14ac:dyDescent="0.3">
      <c r="N101" s="12" t="str">
        <v>FTE-FUEL-OIL-CAM3</v>
      </c>
      <c r="O101" s="18" t="s">
        <v>383</v>
      </c>
      <c r="P101" s="18" t="s">
        <v>59</v>
      </c>
      <c r="Q101" s="18" t="s">
        <v>288</v>
      </c>
    </row>
    <row r="102" spans="14:17" ht="15.75" customHeight="1" x14ac:dyDescent="0.3">
      <c r="N102" s="1" t="str">
        <v>FTE-FUEL-OIL-CAM4</v>
      </c>
      <c r="O102" s="18" t="s">
        <v>384</v>
      </c>
      <c r="P102" s="18" t="s">
        <v>59</v>
      </c>
      <c r="Q102" s="18" t="s">
        <v>288</v>
      </c>
    </row>
    <row r="103" spans="14:17" ht="15.75" customHeight="1" x14ac:dyDescent="0.3">
      <c r="N103" s="1" t="str">
        <v>FTE-FUEL-OIL-CAM5</v>
      </c>
      <c r="O103" s="18" t="s">
        <v>385</v>
      </c>
      <c r="P103" s="18" t="s">
        <v>59</v>
      </c>
      <c r="Q103" s="18" t="s">
        <v>288</v>
      </c>
    </row>
    <row r="104" spans="14:17" ht="15.75" customHeight="1" x14ac:dyDescent="0.3">
      <c r="N104" s="1" t="str">
        <v>FTE-FUEL-OIL-CAM6</v>
      </c>
      <c r="O104" s="18" t="s">
        <v>386</v>
      </c>
      <c r="P104" s="18" t="s">
        <v>59</v>
      </c>
      <c r="Q104" s="18" t="s">
        <v>288</v>
      </c>
    </row>
    <row r="105" spans="14:17" ht="15.75" customHeight="1" x14ac:dyDescent="0.3">
      <c r="N105" s="1" t="str">
        <v>FTE-FUEL-OIL-CAM7</v>
      </c>
      <c r="O105" s="18" t="s">
        <v>387</v>
      </c>
      <c r="P105" s="18" t="s">
        <v>59</v>
      </c>
      <c r="Q105" s="18" t="s">
        <v>288</v>
      </c>
    </row>
    <row r="106" spans="14:17" ht="15.75" customHeight="1" x14ac:dyDescent="0.3">
      <c r="N106" s="12" t="s">
        <v>388</v>
      </c>
      <c r="O106" s="18" t="s">
        <v>389</v>
      </c>
      <c r="P106" s="18" t="s">
        <v>59</v>
      </c>
      <c r="Q106" s="18" t="s">
        <v>288</v>
      </c>
    </row>
    <row r="107" spans="14:17" ht="15.75" customHeight="1" x14ac:dyDescent="0.3">
      <c r="N107" s="19" t="s">
        <v>390</v>
      </c>
      <c r="O107" s="18" t="s">
        <v>391</v>
      </c>
      <c r="P107" s="18" t="s">
        <v>59</v>
      </c>
      <c r="Q107" s="18" t="s">
        <v>288</v>
      </c>
    </row>
    <row r="108" spans="14:17" ht="15.75" customHeight="1" x14ac:dyDescent="0.3">
      <c r="N108" s="19" t="s">
        <v>392</v>
      </c>
      <c r="O108" s="18" t="s">
        <v>393</v>
      </c>
      <c r="P108" s="18" t="s">
        <v>59</v>
      </c>
      <c r="Q108" s="18" t="s">
        <v>288</v>
      </c>
    </row>
    <row r="109" spans="14:17" ht="15.75" customHeight="1" x14ac:dyDescent="0.3">
      <c r="N109" s="19" t="s">
        <v>394</v>
      </c>
      <c r="O109" s="18" t="s">
        <v>395</v>
      </c>
      <c r="P109" s="18" t="s">
        <v>59</v>
      </c>
      <c r="Q109" s="18" t="s">
        <v>288</v>
      </c>
    </row>
    <row r="110" spans="14:17" ht="15.75" customHeight="1" x14ac:dyDescent="0.3">
      <c r="N110" s="916" t="s">
        <v>396</v>
      </c>
      <c r="O110" s="917" t="s">
        <v>397</v>
      </c>
      <c r="P110" s="917" t="s">
        <v>59</v>
      </c>
      <c r="Q110" s="917" t="s">
        <v>288</v>
      </c>
    </row>
    <row r="111" spans="14:17" ht="15.75" customHeight="1" x14ac:dyDescent="0.3">
      <c r="N111" s="916" t="s">
        <v>398</v>
      </c>
      <c r="O111" s="917" t="s">
        <v>399</v>
      </c>
      <c r="P111" s="917" t="s">
        <v>59</v>
      </c>
      <c r="Q111" s="917" t="s">
        <v>288</v>
      </c>
    </row>
    <row r="112" spans="14:17" ht="15.75" customHeight="1" x14ac:dyDescent="0.3">
      <c r="N112" s="916" t="s">
        <v>400</v>
      </c>
      <c r="O112" s="917" t="s">
        <v>401</v>
      </c>
      <c r="P112" s="917" t="s">
        <v>59</v>
      </c>
      <c r="Q112" s="917" t="s">
        <v>288</v>
      </c>
    </row>
    <row r="113" spans="14:18" ht="15.75" customHeight="1" x14ac:dyDescent="0.3">
      <c r="N113" s="916" t="s">
        <v>402</v>
      </c>
      <c r="O113" s="917" t="s">
        <v>403</v>
      </c>
      <c r="P113" s="917" t="s">
        <v>59</v>
      </c>
      <c r="Q113" s="917" t="s">
        <v>288</v>
      </c>
    </row>
    <row r="114" spans="14:18" ht="15.75" customHeight="1" x14ac:dyDescent="0.3">
      <c r="N114" s="918" t="s">
        <v>1712</v>
      </c>
      <c r="O114" s="18" t="s">
        <v>1716</v>
      </c>
      <c r="P114" s="18" t="s">
        <v>59</v>
      </c>
      <c r="Q114" s="18" t="s">
        <v>288</v>
      </c>
    </row>
    <row r="115" spans="14:18" ht="15.75" customHeight="1" x14ac:dyDescent="0.3">
      <c r="N115" s="918" t="s">
        <v>1713</v>
      </c>
      <c r="O115" s="18" t="s">
        <v>1717</v>
      </c>
      <c r="P115" s="18" t="s">
        <v>59</v>
      </c>
      <c r="Q115" s="18" t="s">
        <v>288</v>
      </c>
    </row>
    <row r="116" spans="14:18" ht="15.75" customHeight="1" x14ac:dyDescent="0.3">
      <c r="N116" s="918" t="s">
        <v>1714</v>
      </c>
      <c r="O116" s="18" t="s">
        <v>1718</v>
      </c>
      <c r="P116" s="18" t="s">
        <v>59</v>
      </c>
      <c r="Q116" s="18" t="s">
        <v>288</v>
      </c>
    </row>
    <row r="117" spans="14:18" ht="15.75" customHeight="1" x14ac:dyDescent="0.3">
      <c r="N117" s="918" t="s">
        <v>1720</v>
      </c>
      <c r="O117" s="18" t="s">
        <v>1719</v>
      </c>
      <c r="P117" s="18" t="s">
        <v>59</v>
      </c>
      <c r="Q117" s="18" t="s">
        <v>288</v>
      </c>
    </row>
    <row r="118" spans="14:18" ht="15.75" customHeight="1" x14ac:dyDescent="0.3">
      <c r="N118" s="919" t="s">
        <v>1721</v>
      </c>
      <c r="O118" s="920" t="s">
        <v>1724</v>
      </c>
      <c r="P118" s="18" t="s">
        <v>59</v>
      </c>
      <c r="Q118" s="18" t="s">
        <v>288</v>
      </c>
    </row>
    <row r="119" spans="14:18" ht="15.75" customHeight="1" x14ac:dyDescent="0.3">
      <c r="N119" s="919" t="s">
        <v>1722</v>
      </c>
      <c r="O119" s="920" t="s">
        <v>1725</v>
      </c>
      <c r="P119" s="18" t="s">
        <v>59</v>
      </c>
      <c r="Q119" s="18" t="s">
        <v>288</v>
      </c>
    </row>
    <row r="120" spans="14:18" ht="15.75" customHeight="1" x14ac:dyDescent="0.3">
      <c r="N120" s="919" t="s">
        <v>1723</v>
      </c>
      <c r="O120" s="920" t="s">
        <v>1726</v>
      </c>
      <c r="P120" s="18" t="s">
        <v>59</v>
      </c>
      <c r="Q120" s="18" t="s">
        <v>288</v>
      </c>
    </row>
    <row r="121" spans="14:18" ht="15.75" customHeight="1" x14ac:dyDescent="0.3">
      <c r="N121" s="919" t="s">
        <v>1715</v>
      </c>
      <c r="O121" s="920" t="s">
        <v>1727</v>
      </c>
      <c r="P121" s="18" t="s">
        <v>59</v>
      </c>
      <c r="Q121" s="18" t="s">
        <v>288</v>
      </c>
    </row>
    <row r="122" spans="14:18" ht="15.75" customHeight="1" x14ac:dyDescent="0.3">
      <c r="N122" s="19" t="s">
        <v>404</v>
      </c>
      <c r="O122" s="18" t="s">
        <v>405</v>
      </c>
      <c r="P122" s="18" t="s">
        <v>59</v>
      </c>
      <c r="Q122" s="18" t="s">
        <v>288</v>
      </c>
    </row>
    <row r="123" spans="14:18" ht="15.75" customHeight="1" x14ac:dyDescent="0.3">
      <c r="N123" s="19" t="s">
        <v>406</v>
      </c>
      <c r="O123" s="18" t="s">
        <v>407</v>
      </c>
      <c r="P123" s="18" t="s">
        <v>59</v>
      </c>
      <c r="Q123" s="18" t="s">
        <v>288</v>
      </c>
    </row>
    <row r="124" spans="14:18" ht="15.75" customHeight="1" x14ac:dyDescent="0.3">
      <c r="N124" s="19" t="s">
        <v>408</v>
      </c>
      <c r="O124" s="18" t="s">
        <v>409</v>
      </c>
      <c r="P124" s="18" t="s">
        <v>59</v>
      </c>
      <c r="Q124" s="18" t="s">
        <v>288</v>
      </c>
      <c r="R124" s="1"/>
    </row>
    <row r="125" spans="14:18" ht="15.75" customHeight="1" x14ac:dyDescent="0.3">
      <c r="N125" s="19" t="s">
        <v>410</v>
      </c>
      <c r="O125" s="18" t="s">
        <v>411</v>
      </c>
      <c r="P125" s="18" t="s">
        <v>59</v>
      </c>
      <c r="Q125" s="18" t="s">
        <v>288</v>
      </c>
      <c r="R125" s="1"/>
    </row>
    <row r="126" spans="14:18" ht="15.75" customHeight="1" x14ac:dyDescent="0.3">
      <c r="N126" s="19" t="s">
        <v>412</v>
      </c>
      <c r="O126" s="18" t="s">
        <v>413</v>
      </c>
      <c r="P126" s="18" t="s">
        <v>59</v>
      </c>
      <c r="Q126" s="18" t="s">
        <v>288</v>
      </c>
      <c r="R126" s="874"/>
    </row>
    <row r="127" spans="14:18" ht="15.75" customHeight="1" x14ac:dyDescent="0.3">
      <c r="N127" s="19" t="s">
        <v>414</v>
      </c>
      <c r="O127" s="18" t="s">
        <v>415</v>
      </c>
      <c r="P127" s="18" t="s">
        <v>59</v>
      </c>
      <c r="Q127" s="18" t="s">
        <v>288</v>
      </c>
      <c r="R127" s="874"/>
    </row>
    <row r="128" spans="14:18" ht="15.75" customHeight="1" x14ac:dyDescent="0.3">
      <c r="N128" s="19" t="s">
        <v>416</v>
      </c>
      <c r="O128" s="18" t="s">
        <v>417</v>
      </c>
      <c r="P128" s="18" t="s">
        <v>59</v>
      </c>
      <c r="Q128" s="18" t="s">
        <v>288</v>
      </c>
      <c r="R128" s="874"/>
    </row>
    <row r="129" spans="13:20" ht="15.75" customHeight="1" x14ac:dyDescent="0.3">
      <c r="N129" s="19" t="s">
        <v>418</v>
      </c>
      <c r="O129" s="18" t="s">
        <v>419</v>
      </c>
      <c r="P129" s="18" t="s">
        <v>59</v>
      </c>
      <c r="Q129" s="18" t="s">
        <v>288</v>
      </c>
      <c r="R129" s="874"/>
    </row>
    <row r="130" spans="13:20" ht="15.75" customHeight="1" x14ac:dyDescent="0.3">
      <c r="N130" s="19" t="s">
        <v>420</v>
      </c>
      <c r="O130" s="18" t="s">
        <v>421</v>
      </c>
      <c r="P130" s="18" t="s">
        <v>59</v>
      </c>
      <c r="Q130" s="18" t="s">
        <v>288</v>
      </c>
      <c r="R130" s="874"/>
    </row>
    <row r="131" spans="13:20" ht="15.75" customHeight="1" x14ac:dyDescent="0.3">
      <c r="N131" s="19" t="s">
        <v>422</v>
      </c>
      <c r="O131" s="18" t="s">
        <v>423</v>
      </c>
      <c r="P131" s="18" t="s">
        <v>59</v>
      </c>
      <c r="Q131" s="18" t="s">
        <v>288</v>
      </c>
      <c r="R131" s="874"/>
    </row>
    <row r="132" spans="13:20" ht="15.75" customHeight="1" x14ac:dyDescent="0.3">
      <c r="N132" s="19" t="s">
        <v>424</v>
      </c>
      <c r="O132" s="18" t="s">
        <v>425</v>
      </c>
      <c r="P132" s="18" t="s">
        <v>59</v>
      </c>
      <c r="Q132" s="18" t="s">
        <v>288</v>
      </c>
      <c r="R132" s="874"/>
    </row>
    <row r="133" spans="13:20" ht="15.75" customHeight="1" x14ac:dyDescent="0.3">
      <c r="N133" s="19" t="s">
        <v>426</v>
      </c>
      <c r="O133" s="18" t="s">
        <v>427</v>
      </c>
      <c r="P133" s="18" t="s">
        <v>59</v>
      </c>
      <c r="Q133" s="18" t="s">
        <v>288</v>
      </c>
      <c r="R133" s="874"/>
    </row>
    <row r="134" spans="13:20" ht="15.75" customHeight="1" x14ac:dyDescent="0.3">
      <c r="N134" s="12" t="s">
        <v>428</v>
      </c>
      <c r="O134" s="18" t="s">
        <v>429</v>
      </c>
      <c r="P134" s="18" t="s">
        <v>59</v>
      </c>
      <c r="Q134" s="18" t="s">
        <v>288</v>
      </c>
      <c r="R134" s="1"/>
      <c r="S134" s="1"/>
    </row>
    <row r="135" spans="13:20" ht="15.75" customHeight="1" x14ac:dyDescent="0.3">
      <c r="N135" s="12" t="s">
        <v>430</v>
      </c>
      <c r="O135" s="18" t="s">
        <v>431</v>
      </c>
      <c r="P135" s="18" t="s">
        <v>59</v>
      </c>
      <c r="Q135" s="18" t="s">
        <v>288</v>
      </c>
      <c r="R135" s="1"/>
      <c r="S135" s="1"/>
    </row>
    <row r="136" spans="13:20" ht="15.75" customHeight="1" x14ac:dyDescent="0.3">
      <c r="M136" s="1"/>
      <c r="N136" s="12" t="s">
        <v>432</v>
      </c>
      <c r="O136" s="18" t="s">
        <v>433</v>
      </c>
      <c r="P136" s="18" t="s">
        <v>59</v>
      </c>
      <c r="Q136" s="18" t="s">
        <v>288</v>
      </c>
      <c r="R136" s="1"/>
      <c r="S136" s="1"/>
      <c r="T136" s="1"/>
    </row>
    <row r="137" spans="13:20" ht="15.75" customHeight="1" x14ac:dyDescent="0.3">
      <c r="M137" s="1"/>
      <c r="N137" s="814" t="s">
        <v>434</v>
      </c>
      <c r="O137" s="917" t="s">
        <v>435</v>
      </c>
      <c r="P137" s="917" t="s">
        <v>59</v>
      </c>
      <c r="Q137" s="917" t="s">
        <v>288</v>
      </c>
      <c r="R137" s="1"/>
      <c r="S137" s="1"/>
      <c r="T137" s="1"/>
    </row>
    <row r="138" spans="13:20" ht="15.75" customHeight="1" x14ac:dyDescent="0.3">
      <c r="M138" s="1"/>
      <c r="N138" s="814" t="s">
        <v>436</v>
      </c>
      <c r="O138" s="917" t="s">
        <v>437</v>
      </c>
      <c r="P138" s="917" t="s">
        <v>59</v>
      </c>
      <c r="Q138" s="917" t="s">
        <v>288</v>
      </c>
      <c r="R138" s="1"/>
      <c r="S138" s="1"/>
      <c r="T138" s="1"/>
    </row>
    <row r="139" spans="13:20" ht="15.75" customHeight="1" x14ac:dyDescent="0.3">
      <c r="M139" s="1"/>
      <c r="N139" s="814" t="s">
        <v>438</v>
      </c>
      <c r="O139" s="917" t="s">
        <v>439</v>
      </c>
      <c r="P139" s="917" t="s">
        <v>59</v>
      </c>
      <c r="Q139" s="917" t="s">
        <v>288</v>
      </c>
      <c r="R139" s="1"/>
      <c r="S139" s="1"/>
      <c r="T139" s="1"/>
    </row>
    <row r="140" spans="13:20" ht="15.75" customHeight="1" x14ac:dyDescent="0.3">
      <c r="M140" s="1"/>
      <c r="N140" s="848" t="s">
        <v>1728</v>
      </c>
      <c r="O140" s="921" t="s">
        <v>1731</v>
      </c>
      <c r="P140" s="921" t="s">
        <v>59</v>
      </c>
      <c r="Q140" s="921" t="s">
        <v>288</v>
      </c>
      <c r="R140" s="1"/>
      <c r="S140" s="1"/>
      <c r="T140" s="1"/>
    </row>
    <row r="141" spans="13:20" ht="15.75" customHeight="1" x14ac:dyDescent="0.3">
      <c r="M141" s="1"/>
      <c r="N141" s="848" t="s">
        <v>1729</v>
      </c>
      <c r="O141" s="921" t="s">
        <v>1732</v>
      </c>
      <c r="P141" s="921" t="s">
        <v>59</v>
      </c>
      <c r="Q141" s="921" t="s">
        <v>288</v>
      </c>
      <c r="R141" s="1"/>
      <c r="S141" s="1"/>
      <c r="T141" s="1"/>
    </row>
    <row r="142" spans="13:20" ht="15.75" customHeight="1" x14ac:dyDescent="0.3">
      <c r="M142" s="1"/>
      <c r="N142" s="848" t="s">
        <v>1730</v>
      </c>
      <c r="O142" s="921" t="s">
        <v>1733</v>
      </c>
      <c r="P142" s="921" t="s">
        <v>59</v>
      </c>
      <c r="Q142" s="921" t="s">
        <v>288</v>
      </c>
      <c r="R142" s="1"/>
      <c r="S142" s="1"/>
      <c r="T142" s="1"/>
    </row>
    <row r="143" spans="13:20" ht="15.75" customHeight="1" x14ac:dyDescent="0.3">
      <c r="M143" s="1"/>
      <c r="N143" s="848" t="s">
        <v>1737</v>
      </c>
      <c r="O143" s="921" t="s">
        <v>1734</v>
      </c>
      <c r="P143" s="921" t="s">
        <v>59</v>
      </c>
      <c r="Q143" s="921" t="s">
        <v>288</v>
      </c>
      <c r="R143" s="1"/>
      <c r="S143" s="1"/>
      <c r="T143" s="1"/>
    </row>
    <row r="144" spans="13:20" ht="15.75" customHeight="1" x14ac:dyDescent="0.3">
      <c r="M144" s="1"/>
      <c r="N144" s="848" t="s">
        <v>1738</v>
      </c>
      <c r="O144" s="921" t="s">
        <v>1735</v>
      </c>
      <c r="P144" s="921" t="s">
        <v>59</v>
      </c>
      <c r="Q144" s="921" t="s">
        <v>288</v>
      </c>
      <c r="R144" s="1"/>
      <c r="S144" s="1"/>
      <c r="T144" s="1"/>
    </row>
    <row r="145" spans="13:20" ht="15.75" customHeight="1" x14ac:dyDescent="0.3">
      <c r="M145" s="1"/>
      <c r="N145" s="848" t="s">
        <v>1739</v>
      </c>
      <c r="O145" s="921" t="s">
        <v>1736</v>
      </c>
      <c r="P145" s="921" t="s">
        <v>59</v>
      </c>
      <c r="Q145" s="921" t="s">
        <v>288</v>
      </c>
      <c r="S145" s="1"/>
      <c r="T145" s="1"/>
    </row>
    <row r="146" spans="13:20" ht="15.75" customHeight="1" x14ac:dyDescent="0.3">
      <c r="M146" s="1"/>
      <c r="N146" s="12" t="s">
        <v>440</v>
      </c>
      <c r="O146" s="18" t="s">
        <v>441</v>
      </c>
      <c r="P146" s="18" t="s">
        <v>59</v>
      </c>
      <c r="Q146" s="18" t="s">
        <v>288</v>
      </c>
      <c r="S146" s="1"/>
      <c r="T146" s="1"/>
    </row>
    <row r="147" spans="13:20" ht="15.75" customHeight="1" x14ac:dyDescent="0.3">
      <c r="M147" s="1"/>
      <c r="N147" s="12" t="s">
        <v>442</v>
      </c>
      <c r="O147" s="18" t="s">
        <v>443</v>
      </c>
      <c r="P147" s="18" t="s">
        <v>59</v>
      </c>
      <c r="Q147" s="18" t="s">
        <v>288</v>
      </c>
      <c r="T147" s="1"/>
    </row>
    <row r="148" spans="13:20" ht="15.75" customHeight="1" x14ac:dyDescent="0.3">
      <c r="M148" s="1"/>
      <c r="N148" s="12" t="s">
        <v>444</v>
      </c>
      <c r="O148" s="18" t="s">
        <v>445</v>
      </c>
      <c r="P148" s="18" t="s">
        <v>59</v>
      </c>
      <c r="Q148" s="18" t="s">
        <v>288</v>
      </c>
      <c r="T148" s="1"/>
    </row>
    <row r="149" spans="13:20" ht="15.75" customHeight="1" x14ac:dyDescent="0.3">
      <c r="N149" s="12" t="s">
        <v>446</v>
      </c>
      <c r="O149" s="18" t="s">
        <v>447</v>
      </c>
      <c r="P149" s="18" t="s">
        <v>59</v>
      </c>
      <c r="Q149" s="18" t="s">
        <v>288</v>
      </c>
    </row>
    <row r="150" spans="13:20" ht="15.75" customHeight="1" x14ac:dyDescent="0.3">
      <c r="N150" s="12" t="s">
        <v>448</v>
      </c>
      <c r="O150" s="18" t="s">
        <v>449</v>
      </c>
      <c r="P150" s="18" t="s">
        <v>59</v>
      </c>
      <c r="Q150" s="18" t="s">
        <v>288</v>
      </c>
    </row>
    <row r="151" spans="13:20" ht="15.75" customHeight="1" x14ac:dyDescent="0.3">
      <c r="N151" s="12" t="s">
        <v>450</v>
      </c>
      <c r="O151" s="18" t="s">
        <v>451</v>
      </c>
      <c r="P151" s="18" t="s">
        <v>59</v>
      </c>
      <c r="Q151" s="18" t="s">
        <v>288</v>
      </c>
    </row>
    <row r="152" spans="13:20" ht="15.75" customHeight="1" x14ac:dyDescent="0.3">
      <c r="N152" s="12" t="s">
        <v>452</v>
      </c>
      <c r="O152" s="18" t="s">
        <v>453</v>
      </c>
      <c r="P152" s="18" t="s">
        <v>59</v>
      </c>
      <c r="Q152" s="18" t="s">
        <v>288</v>
      </c>
    </row>
    <row r="153" spans="13:20" ht="15.75" customHeight="1" x14ac:dyDescent="0.3">
      <c r="N153" s="12" t="s">
        <v>454</v>
      </c>
      <c r="O153" s="18" t="s">
        <v>455</v>
      </c>
      <c r="P153" s="18" t="s">
        <v>59</v>
      </c>
      <c r="Q153" s="18" t="s">
        <v>288</v>
      </c>
    </row>
    <row r="154" spans="13:20" ht="15.75" customHeight="1" x14ac:dyDescent="0.3">
      <c r="N154" s="12" t="s">
        <v>456</v>
      </c>
      <c r="O154" s="18" t="s">
        <v>457</v>
      </c>
      <c r="P154" s="18" t="s">
        <v>59</v>
      </c>
      <c r="Q154" s="18" t="s">
        <v>288</v>
      </c>
    </row>
    <row r="155" spans="13:20" ht="15.75" customHeight="1" x14ac:dyDescent="0.3">
      <c r="N155" s="12" t="s">
        <v>458</v>
      </c>
      <c r="O155" s="18" t="s">
        <v>459</v>
      </c>
      <c r="P155" s="18" t="s">
        <v>59</v>
      </c>
      <c r="Q155" s="18" t="s">
        <v>288</v>
      </c>
    </row>
    <row r="156" spans="13:20" ht="15.75" customHeight="1" x14ac:dyDescent="0.3">
      <c r="N156" s="12" t="s">
        <v>460</v>
      </c>
      <c r="O156" s="18" t="s">
        <v>461</v>
      </c>
      <c r="P156" s="18" t="s">
        <v>59</v>
      </c>
      <c r="Q156" s="18" t="s">
        <v>288</v>
      </c>
    </row>
    <row r="157" spans="13:20" ht="15.75" customHeight="1" x14ac:dyDescent="0.3">
      <c r="N157" s="12" t="s">
        <v>462</v>
      </c>
      <c r="O157" s="18" t="s">
        <v>463</v>
      </c>
      <c r="P157" s="18" t="s">
        <v>59</v>
      </c>
      <c r="Q157" s="18" t="s">
        <v>288</v>
      </c>
    </row>
    <row r="158" spans="13:20" ht="15.75" customHeight="1" x14ac:dyDescent="0.3">
      <c r="N158" s="805" t="s">
        <v>464</v>
      </c>
      <c r="O158" s="18" t="s">
        <v>465</v>
      </c>
      <c r="P158" s="18" t="s">
        <v>59</v>
      </c>
      <c r="Q158" s="18" t="s">
        <v>288</v>
      </c>
    </row>
    <row r="159" spans="13:20" ht="15.75" customHeight="1" x14ac:dyDescent="0.3">
      <c r="N159" s="923" t="s">
        <v>466</v>
      </c>
      <c r="O159" s="917" t="s">
        <v>1742</v>
      </c>
      <c r="P159" s="917" t="s">
        <v>59</v>
      </c>
      <c r="Q159" s="917" t="s">
        <v>288</v>
      </c>
    </row>
    <row r="160" spans="13:20" ht="15.75" customHeight="1" x14ac:dyDescent="0.3">
      <c r="N160" s="924" t="s">
        <v>1740</v>
      </c>
      <c r="O160" s="921" t="s">
        <v>467</v>
      </c>
      <c r="P160" s="921" t="s">
        <v>59</v>
      </c>
      <c r="Q160" s="921" t="s">
        <v>288</v>
      </c>
    </row>
    <row r="161" spans="14:17" ht="15.75" customHeight="1" x14ac:dyDescent="0.3">
      <c r="N161" s="924" t="s">
        <v>1741</v>
      </c>
      <c r="O161" s="921" t="s">
        <v>1743</v>
      </c>
      <c r="P161" s="921" t="s">
        <v>59</v>
      </c>
      <c r="Q161" s="921" t="s">
        <v>288</v>
      </c>
    </row>
    <row r="162" spans="14:17" ht="15.75" customHeight="1" x14ac:dyDescent="0.3">
      <c r="N162" s="805" t="s">
        <v>468</v>
      </c>
      <c r="O162" s="18" t="s">
        <v>469</v>
      </c>
      <c r="P162" s="18" t="s">
        <v>59</v>
      </c>
      <c r="Q162" s="18" t="s">
        <v>288</v>
      </c>
    </row>
    <row r="163" spans="14:17" ht="15.75" customHeight="1" x14ac:dyDescent="0.3">
      <c r="N163" s="805" t="s">
        <v>470</v>
      </c>
      <c r="O163" s="18" t="s">
        <v>471</v>
      </c>
      <c r="P163" s="18" t="s">
        <v>59</v>
      </c>
      <c r="Q163" s="18" t="s">
        <v>288</v>
      </c>
    </row>
    <row r="164" spans="14:17" ht="15.75" customHeight="1" x14ac:dyDescent="0.3">
      <c r="N164" s="805" t="s">
        <v>472</v>
      </c>
      <c r="O164" s="18" t="s">
        <v>473</v>
      </c>
      <c r="P164" s="18" t="s">
        <v>59</v>
      </c>
      <c r="Q164" s="18" t="s">
        <v>288</v>
      </c>
    </row>
    <row r="165" spans="14:17" ht="15.75" customHeight="1" x14ac:dyDescent="0.3">
      <c r="N165" s="805" t="s">
        <v>474</v>
      </c>
      <c r="O165" s="18" t="s">
        <v>475</v>
      </c>
      <c r="P165" s="18" t="s">
        <v>59</v>
      </c>
      <c r="Q165" s="18" t="s">
        <v>288</v>
      </c>
    </row>
    <row r="166" spans="14:17" ht="15.75" customHeight="1" x14ac:dyDescent="0.3">
      <c r="N166" s="922" t="s">
        <v>308</v>
      </c>
      <c r="O166" s="1" t="s">
        <v>309</v>
      </c>
      <c r="P166" s="12" t="s">
        <v>59</v>
      </c>
      <c r="Q166" s="12" t="s">
        <v>288</v>
      </c>
    </row>
    <row r="167" spans="14:17" ht="15.75" customHeight="1" x14ac:dyDescent="0.3">
      <c r="N167" s="925" t="s">
        <v>310</v>
      </c>
      <c r="O167" s="926" t="s">
        <v>311</v>
      </c>
      <c r="P167" s="814" t="s">
        <v>59</v>
      </c>
      <c r="Q167" s="814" t="s">
        <v>288</v>
      </c>
    </row>
    <row r="168" spans="14:17" ht="15.75" customHeight="1" x14ac:dyDescent="0.3">
      <c r="N168" s="927" t="s">
        <v>1744</v>
      </c>
      <c r="O168" s="928" t="s">
        <v>1746</v>
      </c>
      <c r="P168" s="848" t="s">
        <v>59</v>
      </c>
      <c r="Q168" s="848" t="s">
        <v>288</v>
      </c>
    </row>
    <row r="169" spans="14:17" ht="15.75" customHeight="1" x14ac:dyDescent="0.3">
      <c r="N169" s="927" t="s">
        <v>1745</v>
      </c>
      <c r="O169" s="928" t="s">
        <v>1747</v>
      </c>
      <c r="P169" s="848" t="s">
        <v>59</v>
      </c>
      <c r="Q169" s="848" t="s">
        <v>288</v>
      </c>
    </row>
    <row r="170" spans="14:17" ht="15.75" customHeight="1" x14ac:dyDescent="0.3">
      <c r="N170" s="922" t="s">
        <v>312</v>
      </c>
      <c r="O170" s="1" t="s">
        <v>313</v>
      </c>
      <c r="P170" s="12" t="s">
        <v>59</v>
      </c>
      <c r="Q170" s="12" t="s">
        <v>288</v>
      </c>
    </row>
    <row r="171" spans="14:17" ht="15.75" customHeight="1" x14ac:dyDescent="0.3">
      <c r="N171" s="922" t="s">
        <v>314</v>
      </c>
      <c r="O171" s="1" t="s">
        <v>315</v>
      </c>
      <c r="P171" s="12" t="s">
        <v>59</v>
      </c>
      <c r="Q171" s="12" t="s">
        <v>288</v>
      </c>
    </row>
    <row r="172" spans="14:17" ht="15.75" customHeight="1" x14ac:dyDescent="0.3">
      <c r="N172" s="922" t="s">
        <v>316</v>
      </c>
      <c r="O172" s="1" t="s">
        <v>317</v>
      </c>
      <c r="P172" s="12" t="s">
        <v>59</v>
      </c>
      <c r="Q172" s="12" t="s">
        <v>288</v>
      </c>
    </row>
    <row r="173" spans="14:17" ht="15.75" customHeight="1" x14ac:dyDescent="0.3">
      <c r="N173" s="922" t="s">
        <v>318</v>
      </c>
      <c r="O173" s="1" t="s">
        <v>319</v>
      </c>
      <c r="P173" s="12" t="s">
        <v>59</v>
      </c>
      <c r="Q173" s="12" t="s">
        <v>288</v>
      </c>
    </row>
    <row r="174" spans="14:17" ht="15.75" customHeight="1" x14ac:dyDescent="0.3">
      <c r="N174" s="922" t="s">
        <v>320</v>
      </c>
      <c r="O174" s="1" t="s">
        <v>321</v>
      </c>
      <c r="P174" s="12" t="s">
        <v>59</v>
      </c>
      <c r="Q174" s="12" t="s">
        <v>288</v>
      </c>
    </row>
    <row r="175" spans="14:17" ht="15.75" customHeight="1" x14ac:dyDescent="0.3">
      <c r="N175" s="925" t="s">
        <v>322</v>
      </c>
      <c r="O175" s="926" t="s">
        <v>323</v>
      </c>
      <c r="P175" s="814" t="s">
        <v>59</v>
      </c>
      <c r="Q175" s="814" t="s">
        <v>288</v>
      </c>
    </row>
    <row r="176" spans="14:17" ht="15.75" customHeight="1" x14ac:dyDescent="0.3">
      <c r="N176" s="927" t="s">
        <v>1748</v>
      </c>
      <c r="O176" s="929" t="s">
        <v>1750</v>
      </c>
      <c r="P176" s="848" t="s">
        <v>59</v>
      </c>
      <c r="Q176" s="848" t="s">
        <v>288</v>
      </c>
    </row>
    <row r="177" spans="14:17" ht="15.75" customHeight="1" x14ac:dyDescent="0.3">
      <c r="N177" s="927" t="s">
        <v>1749</v>
      </c>
      <c r="O177" s="929" t="s">
        <v>1751</v>
      </c>
      <c r="P177" s="848" t="s">
        <v>59</v>
      </c>
      <c r="Q177" s="848" t="s">
        <v>288</v>
      </c>
    </row>
    <row r="178" spans="14:17" ht="15.75" customHeight="1" x14ac:dyDescent="0.3">
      <c r="N178" s="922" t="s">
        <v>324</v>
      </c>
      <c r="O178" s="1" t="s">
        <v>325</v>
      </c>
      <c r="P178" s="12" t="s">
        <v>59</v>
      </c>
      <c r="Q178" s="12" t="s">
        <v>288</v>
      </c>
    </row>
    <row r="179" spans="14:17" ht="15.75" customHeight="1" x14ac:dyDescent="0.3">
      <c r="N179" s="922" t="s">
        <v>326</v>
      </c>
      <c r="O179" s="1" t="s">
        <v>327</v>
      </c>
      <c r="P179" s="12" t="s">
        <v>59</v>
      </c>
      <c r="Q179" s="12" t="s">
        <v>288</v>
      </c>
    </row>
    <row r="180" spans="14:17" ht="15.75" customHeight="1" x14ac:dyDescent="0.3">
      <c r="N180" s="922" t="s">
        <v>328</v>
      </c>
      <c r="O180" s="1" t="s">
        <v>329</v>
      </c>
      <c r="P180" s="12" t="s">
        <v>59</v>
      </c>
      <c r="Q180" s="12" t="s">
        <v>288</v>
      </c>
    </row>
    <row r="181" spans="14:17" ht="15.75" customHeight="1" x14ac:dyDescent="0.3">
      <c r="N181" s="922" t="s">
        <v>330</v>
      </c>
      <c r="O181" s="1" t="s">
        <v>331</v>
      </c>
      <c r="P181" s="12" t="s">
        <v>59</v>
      </c>
      <c r="Q181" s="12" t="s">
        <v>288</v>
      </c>
    </row>
    <row r="182" spans="14:17" ht="15.75" customHeight="1" x14ac:dyDescent="0.3">
      <c r="P182" s="18"/>
      <c r="Q182" s="18"/>
    </row>
    <row r="183" spans="14:17" ht="15.75" customHeight="1" x14ac:dyDescent="0.3">
      <c r="P183" s="18"/>
      <c r="Q183" s="18"/>
    </row>
    <row r="184" spans="14:17" ht="15.75" customHeight="1" x14ac:dyDescent="0.3">
      <c r="P184" s="18"/>
      <c r="Q184" s="18"/>
    </row>
    <row r="185" spans="14:17" ht="15.75" customHeight="1" x14ac:dyDescent="0.3">
      <c r="P185" s="18"/>
      <c r="Q185" s="18"/>
    </row>
    <row r="186" spans="14:17" ht="15.75" customHeight="1" x14ac:dyDescent="0.3">
      <c r="P186" s="18"/>
      <c r="Q186" s="18"/>
    </row>
    <row r="187" spans="14:17" ht="15.75" customHeight="1" x14ac:dyDescent="0.3">
      <c r="P187" s="18"/>
      <c r="Q187" s="18"/>
    </row>
    <row r="188" spans="14:17" ht="15.75" customHeight="1" x14ac:dyDescent="0.3">
      <c r="P188" s="18"/>
      <c r="Q188" s="18"/>
    </row>
    <row r="189" spans="14:17" ht="15.75" customHeight="1" x14ac:dyDescent="0.3">
      <c r="P189" s="18"/>
      <c r="Q189" s="18"/>
    </row>
    <row r="190" spans="14:17" ht="15.75" customHeight="1" x14ac:dyDescent="0.3"/>
    <row r="191" spans="14:17" ht="15.75" customHeight="1" x14ac:dyDescent="0.3"/>
    <row r="192" spans="14:17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  <row r="1014" ht="15.75" customHeight="1" x14ac:dyDescent="0.3"/>
    <row r="1015" ht="15.75" customHeight="1" x14ac:dyDescent="0.3"/>
    <row r="1016" ht="15.75" customHeight="1" x14ac:dyDescent="0.3"/>
    <row r="1017" ht="15.75" customHeight="1" x14ac:dyDescent="0.3"/>
    <row r="1018" ht="15.75" customHeight="1" x14ac:dyDescent="0.3"/>
    <row r="1019" ht="15.75" customHeight="1" x14ac:dyDescent="0.3"/>
    <row r="1020" ht="15.75" customHeight="1" x14ac:dyDescent="0.3"/>
  </sheetData>
  <mergeCells count="3">
    <mergeCell ref="B18:J18"/>
    <mergeCell ref="L18:T18"/>
    <mergeCell ref="V18:AD18"/>
  </mergeCells>
  <pageMargins left="0.7" right="0.7" top="0.75" bottom="0.75" header="0" footer="0"/>
  <pageSetup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A7" zoomScale="115" zoomScaleNormal="115" workbookViewId="0">
      <selection activeCell="A25" sqref="A25:XFD25"/>
    </sheetView>
  </sheetViews>
  <sheetFormatPr baseColWidth="10" defaultColWidth="14.44140625" defaultRowHeight="15" customHeight="1" x14ac:dyDescent="0.3"/>
  <cols>
    <col min="1" max="1" width="2.6640625" customWidth="1"/>
    <col min="2" max="2" width="28.6640625" customWidth="1"/>
    <col min="3" max="3" width="24.33203125" customWidth="1"/>
    <col min="4" max="4" width="20.44140625" customWidth="1"/>
    <col min="5" max="5" width="11.5546875" customWidth="1"/>
    <col min="6" max="6" width="13.88671875" customWidth="1"/>
    <col min="7" max="7" width="13.5546875" customWidth="1"/>
    <col min="8" max="9" width="7.88671875" customWidth="1"/>
    <col min="10" max="10" width="26.5546875" customWidth="1"/>
    <col min="11" max="11" width="11.109375" customWidth="1"/>
    <col min="12" max="12" width="7.88671875" customWidth="1"/>
    <col min="13" max="13" width="11.44140625" customWidth="1"/>
    <col min="14" max="14" width="11.109375" customWidth="1"/>
    <col min="15" max="15" width="15.44140625" customWidth="1"/>
    <col min="16" max="16" width="12.44140625" customWidth="1"/>
    <col min="17" max="18" width="9.109375" customWidth="1"/>
    <col min="19" max="19" width="11.88671875" customWidth="1"/>
    <col min="20" max="45" width="9.109375" customWidth="1"/>
  </cols>
  <sheetData>
    <row r="1" spans="1:45" ht="12.75" customHeight="1" x14ac:dyDescent="0.3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 t="s">
        <v>1687</v>
      </c>
      <c r="P1" s="20">
        <v>2020</v>
      </c>
      <c r="Q1" s="20" t="s">
        <v>1690</v>
      </c>
      <c r="R1" s="20"/>
      <c r="S1" s="20" t="s">
        <v>1687</v>
      </c>
      <c r="T1" s="20">
        <v>2020</v>
      </c>
      <c r="U1" s="20" t="s">
        <v>1690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3">
      <c r="A2" s="20"/>
      <c r="B2" s="23"/>
      <c r="C2" s="20"/>
      <c r="D2" s="20"/>
      <c r="E2" s="20"/>
      <c r="F2" s="984" t="s">
        <v>476</v>
      </c>
      <c r="G2" s="985"/>
      <c r="H2" s="20"/>
      <c r="I2" s="20"/>
      <c r="J2" s="21"/>
      <c r="K2" s="21"/>
      <c r="L2" s="21"/>
      <c r="M2" s="21"/>
      <c r="N2" s="22"/>
      <c r="O2" s="20" t="s">
        <v>1688</v>
      </c>
      <c r="P2" s="20">
        <v>3685</v>
      </c>
      <c r="Q2" s="20" t="s">
        <v>1691</v>
      </c>
      <c r="R2" s="20"/>
      <c r="S2" s="20" t="s">
        <v>1688</v>
      </c>
      <c r="T2" s="20">
        <v>3700</v>
      </c>
      <c r="U2" s="20" t="s">
        <v>1691</v>
      </c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3">
      <c r="A3" s="20"/>
      <c r="B3" s="20"/>
      <c r="C3" s="20"/>
      <c r="D3" s="20"/>
      <c r="E3" s="20"/>
      <c r="F3" s="24" t="s">
        <v>477</v>
      </c>
      <c r="G3" s="25" t="s">
        <v>478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3">
      <c r="A4" s="20"/>
      <c r="B4" s="20"/>
      <c r="C4" s="20"/>
      <c r="D4" s="20"/>
      <c r="E4" s="20"/>
      <c r="F4" s="26" t="s">
        <v>479</v>
      </c>
      <c r="G4" s="27" t="s">
        <v>480</v>
      </c>
      <c r="H4" s="20"/>
      <c r="I4" s="20"/>
      <c r="J4" s="21"/>
      <c r="K4" s="21"/>
      <c r="L4" s="21"/>
      <c r="M4" s="21"/>
      <c r="N4" s="22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3">
      <c r="A5" s="20"/>
      <c r="B5" s="28" t="s">
        <v>481</v>
      </c>
      <c r="C5" s="29" t="s">
        <v>482</v>
      </c>
      <c r="D5" s="29" t="s">
        <v>483</v>
      </c>
      <c r="E5" s="30" t="s">
        <v>484</v>
      </c>
      <c r="F5" s="26" t="s">
        <v>485</v>
      </c>
      <c r="G5" s="27" t="s">
        <v>486</v>
      </c>
      <c r="H5" s="20"/>
      <c r="I5" s="20"/>
      <c r="J5" s="21"/>
      <c r="K5" s="21"/>
      <c r="L5" s="21"/>
      <c r="M5" s="21"/>
      <c r="N5" s="22"/>
      <c r="O5" s="992" t="s">
        <v>1683</v>
      </c>
      <c r="P5" s="992"/>
      <c r="Q5" s="992"/>
      <c r="R5" s="20"/>
      <c r="S5" s="992" t="s">
        <v>1683</v>
      </c>
      <c r="T5" s="992"/>
      <c r="U5" s="992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3">
      <c r="A6" s="20"/>
      <c r="B6" s="31" t="s">
        <v>487</v>
      </c>
      <c r="C6" s="32" t="s">
        <v>488</v>
      </c>
      <c r="D6" s="33" t="s">
        <v>489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 t="s">
        <v>1684</v>
      </c>
      <c r="P6" s="20" t="s">
        <v>784</v>
      </c>
      <c r="Q6" s="20"/>
      <c r="R6" s="20"/>
      <c r="S6" s="20" t="s">
        <v>1684</v>
      </c>
      <c r="T6" s="20" t="s">
        <v>74</v>
      </c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3">
      <c r="A7" s="20"/>
      <c r="B7" s="37" t="s">
        <v>490</v>
      </c>
      <c r="C7" s="38" t="s">
        <v>491</v>
      </c>
      <c r="D7" s="986" t="s">
        <v>492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 t="s">
        <v>477</v>
      </c>
      <c r="P7" s="905">
        <f>F15/1000000</f>
        <v>2.933593489850151E-6</v>
      </c>
      <c r="Q7" s="20" t="s">
        <v>1693</v>
      </c>
      <c r="R7" s="20"/>
      <c r="S7" s="20" t="s">
        <v>477</v>
      </c>
      <c r="T7" s="904">
        <f>F16/1000000</f>
        <v>5.274111587340502E-6</v>
      </c>
      <c r="U7" s="20" t="s">
        <v>1693</v>
      </c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3">
      <c r="A8" s="20"/>
      <c r="B8" s="43" t="s">
        <v>493</v>
      </c>
      <c r="C8" s="44" t="s">
        <v>494</v>
      </c>
      <c r="D8" s="987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 t="s">
        <v>1685</v>
      </c>
      <c r="P8" s="20">
        <v>8850</v>
      </c>
      <c r="Q8" s="20" t="s">
        <v>1686</v>
      </c>
      <c r="R8" s="20"/>
      <c r="S8" s="20" t="s">
        <v>1685</v>
      </c>
      <c r="T8" s="20">
        <v>14816</v>
      </c>
      <c r="U8" s="20" t="s">
        <v>1686</v>
      </c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3">
      <c r="A9" s="20"/>
      <c r="B9" s="47" t="s">
        <v>495</v>
      </c>
      <c r="C9" s="48" t="s">
        <v>494</v>
      </c>
      <c r="D9" s="988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496</v>
      </c>
      <c r="L9" s="21"/>
      <c r="M9" s="21"/>
      <c r="N9" s="22"/>
      <c r="O9" s="20"/>
      <c r="P9" s="20">
        <f>P8*42</f>
        <v>371700</v>
      </c>
      <c r="Q9" s="20" t="s">
        <v>1689</v>
      </c>
      <c r="R9" s="20"/>
      <c r="S9" s="20"/>
      <c r="T9" s="20">
        <f>T8*42</f>
        <v>622272</v>
      </c>
      <c r="U9" s="20" t="s">
        <v>1689</v>
      </c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3">
      <c r="A10" s="20"/>
      <c r="B10" s="37" t="s">
        <v>497</v>
      </c>
      <c r="C10" s="38" t="s">
        <v>498</v>
      </c>
      <c r="D10" s="39" t="s">
        <v>499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496</v>
      </c>
      <c r="L10" s="21"/>
      <c r="M10" s="21"/>
      <c r="N10" s="22"/>
      <c r="O10" s="837"/>
      <c r="P10" s="902">
        <f>P9/P2</f>
        <v>100.86838534599728</v>
      </c>
      <c r="Q10" s="20" t="s">
        <v>1692</v>
      </c>
      <c r="R10" s="20"/>
      <c r="S10" s="837"/>
      <c r="T10" s="902">
        <f>T9/T2</f>
        <v>168.18162162162162</v>
      </c>
      <c r="U10" s="20" t="s">
        <v>1692</v>
      </c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thickBot="1" x14ac:dyDescent="0.35">
      <c r="A11" s="20"/>
      <c r="B11" s="43" t="s">
        <v>500</v>
      </c>
      <c r="C11" s="44" t="s">
        <v>501</v>
      </c>
      <c r="D11" s="52" t="s">
        <v>502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837"/>
      <c r="P11" s="847">
        <f>(P10/1000000)/P7</f>
        <v>34.383900051247274</v>
      </c>
      <c r="Q11" s="903" t="s">
        <v>819</v>
      </c>
      <c r="R11" s="20"/>
      <c r="S11" s="20"/>
      <c r="T11" s="847">
        <f>(T10/1000000)/T7</f>
        <v>31.888142455178514</v>
      </c>
      <c r="U11" s="903" t="s">
        <v>819</v>
      </c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3">
      <c r="A12" s="20"/>
      <c r="B12" s="43" t="s">
        <v>65</v>
      </c>
      <c r="C12" s="44" t="s">
        <v>503</v>
      </c>
      <c r="D12" s="52" t="s">
        <v>504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837"/>
      <c r="P12" s="837"/>
      <c r="Q12" s="837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3">
      <c r="A13" s="20"/>
      <c r="B13" s="43" t="s">
        <v>505</v>
      </c>
      <c r="C13" s="44" t="s">
        <v>506</v>
      </c>
      <c r="D13" s="55" t="s">
        <v>507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508</v>
      </c>
      <c r="AL13" s="21">
        <v>450000</v>
      </c>
      <c r="AM13" s="21" t="s">
        <v>509</v>
      </c>
      <c r="AN13" s="21"/>
      <c r="AO13" s="22"/>
      <c r="AP13" s="20"/>
      <c r="AQ13" s="20"/>
      <c r="AR13" s="20"/>
      <c r="AS13" s="20"/>
    </row>
    <row r="14" spans="1:45" ht="12.75" customHeight="1" x14ac:dyDescent="0.3">
      <c r="A14" s="20"/>
      <c r="B14" s="47" t="s">
        <v>510</v>
      </c>
      <c r="C14" s="48" t="s">
        <v>511</v>
      </c>
      <c r="D14" s="56" t="s">
        <v>512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 t="s">
        <v>1694</v>
      </c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513</v>
      </c>
      <c r="AN14" s="21"/>
      <c r="AO14" s="22"/>
      <c r="AP14" s="20"/>
      <c r="AQ14" s="20"/>
      <c r="AR14" s="20"/>
      <c r="AS14" s="20"/>
    </row>
    <row r="15" spans="1:45" ht="12.75" customHeight="1" x14ac:dyDescent="0.3">
      <c r="A15" s="20"/>
      <c r="B15" s="37" t="s">
        <v>72</v>
      </c>
      <c r="C15" s="38" t="s">
        <v>514</v>
      </c>
      <c r="D15" s="39" t="s">
        <v>515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 t="s">
        <v>1695</v>
      </c>
      <c r="P15" s="20" t="s">
        <v>60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3">
      <c r="A16" s="20"/>
      <c r="B16" s="47" t="s">
        <v>74</v>
      </c>
      <c r="C16" s="48" t="s">
        <v>516</v>
      </c>
      <c r="D16" s="56" t="s">
        <v>517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 t="s">
        <v>1696</v>
      </c>
      <c r="P16" s="248">
        <f>'1. EXP_IMP'!L43</f>
        <v>20.996445954041999</v>
      </c>
      <c r="Q16" s="20" t="s">
        <v>1697</v>
      </c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3">
      <c r="A17" s="20"/>
      <c r="B17" s="37" t="s">
        <v>518</v>
      </c>
      <c r="C17" s="60" t="s">
        <v>519</v>
      </c>
      <c r="D17" s="61" t="s">
        <v>520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 t="s">
        <v>477</v>
      </c>
      <c r="P17" s="900">
        <f>F10/1000000</f>
        <v>5.3308987344700312E-6</v>
      </c>
      <c r="Q17" s="20" t="s">
        <v>1693</v>
      </c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3">
      <c r="A18" s="20"/>
      <c r="B18" s="47" t="s">
        <v>521</v>
      </c>
      <c r="C18" s="65" t="s">
        <v>519</v>
      </c>
      <c r="D18" s="65" t="s">
        <v>520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>
        <f>P17*P16</f>
        <v>1.1192992716477089E-4</v>
      </c>
      <c r="Q18" s="20" t="s">
        <v>1698</v>
      </c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522</v>
      </c>
      <c r="AL18" s="21">
        <v>5119</v>
      </c>
      <c r="AM18" s="21" t="s">
        <v>523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3">
      <c r="A19" s="20"/>
      <c r="B19" s="70" t="s">
        <v>524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>
        <f>P18*1000000</f>
        <v>111.92992716477089</v>
      </c>
      <c r="Q19" s="20" t="s">
        <v>1692</v>
      </c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523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5" customHeight="1" x14ac:dyDescent="0.3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>
        <f>P19/42</f>
        <v>2.6649982658278781</v>
      </c>
      <c r="Q20" s="20" t="s">
        <v>1692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523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3">
      <c r="A21" s="20"/>
      <c r="B21" s="71" t="s">
        <v>525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3">
      <c r="A22" s="20"/>
      <c r="B22" s="73" t="s">
        <v>526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906" t="s">
        <v>796</v>
      </c>
      <c r="P22" s="906"/>
      <c r="Q22" s="906">
        <v>3299</v>
      </c>
      <c r="R22" s="906" t="s">
        <v>797</v>
      </c>
      <c r="S22" s="20"/>
      <c r="T22" s="20">
        <f>7679/Q22</f>
        <v>2.3276750530463777</v>
      </c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527</v>
      </c>
      <c r="AL22" s="21">
        <v>3031</v>
      </c>
      <c r="AM22" s="21" t="s">
        <v>523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3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523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3">
      <c r="A24" s="20"/>
      <c r="B24" s="75" t="s">
        <v>528</v>
      </c>
      <c r="C24" s="76" t="s">
        <v>529</v>
      </c>
      <c r="D24" s="76" t="s">
        <v>529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900">
        <f>P20*3299</f>
        <v>8791.82927896617</v>
      </c>
      <c r="Q24" s="20" t="s">
        <v>1711</v>
      </c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3">
      <c r="A25" s="20"/>
      <c r="B25" s="79" t="s">
        <v>108</v>
      </c>
      <c r="C25" s="80" t="s">
        <v>530</v>
      </c>
      <c r="D25" s="80" t="s">
        <v>531</v>
      </c>
      <c r="E25" s="79" t="s">
        <v>107</v>
      </c>
      <c r="F25" s="851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3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3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532</v>
      </c>
      <c r="AL27" s="82">
        <f>+AN24/AL15</f>
        <v>1.6840258914647084E-2</v>
      </c>
      <c r="AM27" s="21" t="s">
        <v>533</v>
      </c>
      <c r="AN27" s="21"/>
      <c r="AO27" s="22"/>
      <c r="AP27" s="20"/>
      <c r="AQ27" s="20"/>
      <c r="AR27" s="20"/>
      <c r="AS27" s="20"/>
    </row>
    <row r="28" spans="1:45" ht="12.75" customHeight="1" x14ac:dyDescent="0.3">
      <c r="A28" s="20"/>
      <c r="B28" s="20" t="s">
        <v>534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3">
      <c r="A29" s="20"/>
      <c r="B29" s="20" t="s">
        <v>535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536</v>
      </c>
      <c r="AQ29" s="20"/>
      <c r="AR29" s="20"/>
      <c r="AS29" s="20"/>
    </row>
    <row r="30" spans="1:45" ht="12.75" customHeight="1" x14ac:dyDescent="0.3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537</v>
      </c>
      <c r="AL30" s="84">
        <f>3400/31</f>
        <v>109.6774193548387</v>
      </c>
      <c r="AM30" s="21" t="s">
        <v>538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3">
      <c r="A31" s="20"/>
      <c r="B31" s="71" t="s">
        <v>525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539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523</v>
      </c>
    </row>
    <row r="32" spans="1:45" ht="12.75" customHeight="1" x14ac:dyDescent="0.3">
      <c r="A32" s="20"/>
      <c r="B32" s="73" t="s">
        <v>526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3">
      <c r="A34" s="20"/>
      <c r="B34" s="20">
        <v>8.9880000000000002E-2</v>
      </c>
      <c r="C34" s="20" t="s">
        <v>540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541</v>
      </c>
      <c r="AL34" s="88">
        <f>825/31</f>
        <v>26.612903225806452</v>
      </c>
      <c r="AM34" s="21" t="s">
        <v>538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539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3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3">
      <c r="A41" s="20"/>
      <c r="B41" s="20"/>
      <c r="E41" s="989" t="s">
        <v>476</v>
      </c>
      <c r="F41" s="988"/>
      <c r="G41" s="989" t="s">
        <v>542</v>
      </c>
      <c r="H41" s="990"/>
      <c r="I41" s="990"/>
      <c r="J41" s="990"/>
      <c r="K41" s="990"/>
      <c r="L41" s="990"/>
      <c r="M41" s="990"/>
      <c r="N41" s="988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3">
      <c r="A42" s="20"/>
      <c r="E42" s="94" t="s">
        <v>477</v>
      </c>
      <c r="F42" s="95" t="s">
        <v>478</v>
      </c>
      <c r="G42" s="96"/>
      <c r="H42" s="20"/>
      <c r="I42" s="20"/>
      <c r="J42" s="21"/>
      <c r="K42" s="991" t="s">
        <v>543</v>
      </c>
      <c r="L42" s="983"/>
      <c r="M42" s="983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3">
      <c r="A43" s="20"/>
      <c r="B43" s="20"/>
      <c r="C43" s="20"/>
      <c r="D43" s="13"/>
      <c r="E43" s="94" t="s">
        <v>479</v>
      </c>
      <c r="F43" s="27" t="s">
        <v>480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3">
      <c r="A44" s="20"/>
      <c r="B44" s="99" t="s">
        <v>481</v>
      </c>
      <c r="C44" s="99" t="s">
        <v>544</v>
      </c>
      <c r="D44" s="13"/>
      <c r="E44" s="94" t="s">
        <v>485</v>
      </c>
      <c r="F44" s="27" t="s">
        <v>486</v>
      </c>
      <c r="G44" s="94" t="s">
        <v>485</v>
      </c>
      <c r="H44" s="20"/>
      <c r="I44" s="20" t="s">
        <v>545</v>
      </c>
      <c r="J44" s="100" t="s">
        <v>546</v>
      </c>
      <c r="K44" s="97" t="s">
        <v>547</v>
      </c>
      <c r="L44" s="97" t="s">
        <v>548</v>
      </c>
      <c r="M44" s="97" t="s">
        <v>549</v>
      </c>
      <c r="N44" s="101" t="s">
        <v>550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3">
      <c r="A45" s="20"/>
      <c r="B45" s="102" t="s">
        <v>487</v>
      </c>
      <c r="C45" s="103" t="s">
        <v>551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552</v>
      </c>
      <c r="I45" s="108">
        <f>47.6420911660953*1000</f>
        <v>47642.091166095299</v>
      </c>
      <c r="J45" s="109" t="s">
        <v>553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3">
      <c r="A46" s="20"/>
      <c r="B46" s="111" t="s">
        <v>490</v>
      </c>
      <c r="C46" s="112" t="s">
        <v>554</v>
      </c>
      <c r="D46" s="40" t="s">
        <v>13</v>
      </c>
      <c r="E46" s="1003">
        <f>+G114</f>
        <v>6.0871741676095334</v>
      </c>
      <c r="F46" s="1006">
        <f>+L114*1000</f>
        <v>77.841777688967127</v>
      </c>
      <c r="G46" s="1007">
        <v>6.0871741676095334</v>
      </c>
      <c r="H46" s="1008" t="s">
        <v>552</v>
      </c>
      <c r="I46" s="1008">
        <v>40670.462586675276</v>
      </c>
      <c r="J46" s="1009" t="s">
        <v>555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3">
      <c r="A47" s="20"/>
      <c r="B47" s="116" t="s">
        <v>493</v>
      </c>
      <c r="C47" s="12" t="s">
        <v>554</v>
      </c>
      <c r="D47" s="14" t="s">
        <v>17</v>
      </c>
      <c r="E47" s="1004"/>
      <c r="F47" s="987"/>
      <c r="G47" s="1004"/>
      <c r="H47" s="983"/>
      <c r="I47" s="983"/>
      <c r="J47" s="987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3">
      <c r="A48" s="20"/>
      <c r="B48" s="117" t="s">
        <v>495</v>
      </c>
      <c r="C48" s="118" t="s">
        <v>554</v>
      </c>
      <c r="D48" s="49" t="s">
        <v>21</v>
      </c>
      <c r="E48" s="1005"/>
      <c r="F48" s="988"/>
      <c r="G48" s="1005"/>
      <c r="H48" s="990"/>
      <c r="I48" s="990"/>
      <c r="J48" s="988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3">
      <c r="A49" s="20"/>
      <c r="B49" s="111" t="s">
        <v>497</v>
      </c>
      <c r="C49" s="112" t="s">
        <v>556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552</v>
      </c>
      <c r="I49" s="76">
        <v>45329.53267685703</v>
      </c>
      <c r="J49" s="115" t="s">
        <v>557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3">
      <c r="A50" s="20"/>
      <c r="B50" s="116" t="s">
        <v>500</v>
      </c>
      <c r="C50" s="12" t="s">
        <v>558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559</v>
      </c>
      <c r="I50" s="20">
        <v>42418.466233751533</v>
      </c>
      <c r="J50" s="124" t="s">
        <v>560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3">
      <c r="A51" s="20"/>
      <c r="B51" s="116" t="s">
        <v>65</v>
      </c>
      <c r="C51" s="12" t="s">
        <v>561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559</v>
      </c>
      <c r="I51" s="20">
        <v>35576.910585045494</v>
      </c>
      <c r="J51" s="124" t="s">
        <v>562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3">
      <c r="A52" s="20"/>
      <c r="B52" s="116" t="s">
        <v>505</v>
      </c>
      <c r="C52" s="12" t="s">
        <v>563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552</v>
      </c>
      <c r="I52" s="20">
        <v>45989.410956446904</v>
      </c>
      <c r="J52" s="124" t="s">
        <v>564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3">
      <c r="A53" s="20"/>
      <c r="B53" s="116" t="s">
        <v>510</v>
      </c>
      <c r="C53" s="12" t="s">
        <v>565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552</v>
      </c>
      <c r="I53" s="20">
        <v>40442.162000000004</v>
      </c>
      <c r="J53" s="124" t="s">
        <v>566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3">
      <c r="A54" s="20"/>
      <c r="B54" s="111" t="s">
        <v>72</v>
      </c>
      <c r="C54" s="112" t="s">
        <v>567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552</v>
      </c>
      <c r="I54" s="76">
        <v>22480.19962297516</v>
      </c>
      <c r="J54" s="115" t="s">
        <v>568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3">
      <c r="A55" s="20"/>
      <c r="B55" s="117" t="s">
        <v>74</v>
      </c>
      <c r="C55" s="118" t="s">
        <v>569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552</v>
      </c>
      <c r="I55" s="80">
        <v>37907.854789510107</v>
      </c>
      <c r="J55" s="129" t="s">
        <v>570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3">
      <c r="A56" s="20"/>
      <c r="B56" s="12" t="s">
        <v>518</v>
      </c>
      <c r="C56" s="12" t="s">
        <v>571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559</v>
      </c>
      <c r="I56" s="114">
        <v>40659.333347540545</v>
      </c>
      <c r="J56" s="115" t="s">
        <v>572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3">
      <c r="A57" s="20"/>
      <c r="B57" s="12" t="s">
        <v>521</v>
      </c>
      <c r="C57" s="12" t="s">
        <v>571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3">
      <c r="A58" s="20"/>
      <c r="B58" s="70" t="s">
        <v>524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3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3">
      <c r="A60" s="20"/>
      <c r="B60" s="73" t="s">
        <v>525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3">
      <c r="A61" s="20"/>
      <c r="B61" s="73" t="s">
        <v>526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3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573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574</v>
      </c>
      <c r="L99" s="21"/>
      <c r="M99" s="21"/>
      <c r="N99" s="22">
        <f>+N98*12000</f>
        <v>298116000</v>
      </c>
      <c r="O99" s="20" t="s">
        <v>575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3">
      <c r="A100" s="20"/>
      <c r="B100" s="20"/>
      <c r="C100" s="20"/>
      <c r="D100" s="20"/>
      <c r="E100" s="20"/>
      <c r="F100" s="20"/>
      <c r="G100" s="20"/>
      <c r="H100" s="20" t="s">
        <v>576</v>
      </c>
      <c r="I100" s="20">
        <f>27934768*1000</f>
        <v>27934768000</v>
      </c>
      <c r="J100" s="21" t="s">
        <v>577</v>
      </c>
      <c r="K100" s="21"/>
      <c r="L100" s="21"/>
      <c r="M100" s="21"/>
      <c r="N100" s="22">
        <f>+N99/(1000000000)</f>
        <v>0.29811599999999999</v>
      </c>
      <c r="O100" s="20" t="s">
        <v>578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3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575</v>
      </c>
      <c r="K101" s="21"/>
      <c r="L101" s="21"/>
      <c r="M101" s="21"/>
      <c r="N101" s="22">
        <f>+N100*G109/J109</f>
        <v>0.31452907449600004</v>
      </c>
      <c r="O101" s="20" t="s">
        <v>579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3">
      <c r="A102" s="20"/>
      <c r="B102" s="141" t="s">
        <v>580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578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579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3">
      <c r="A104" s="20"/>
      <c r="B104" s="142" t="s">
        <v>581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3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3">
      <c r="A106" s="20"/>
      <c r="B106" s="996" t="s">
        <v>582</v>
      </c>
      <c r="C106" s="994"/>
      <c r="D106" s="994"/>
      <c r="E106" s="994"/>
      <c r="F106" s="994"/>
      <c r="G106" s="994"/>
      <c r="H106" s="994"/>
      <c r="I106" s="994"/>
      <c r="J106" s="994"/>
      <c r="K106" s="994"/>
      <c r="L106" s="995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3">
      <c r="A107" s="20"/>
      <c r="B107" s="150" t="s">
        <v>583</v>
      </c>
      <c r="C107" s="151" t="s">
        <v>481</v>
      </c>
      <c r="D107" s="993" t="s">
        <v>584</v>
      </c>
      <c r="E107" s="994"/>
      <c r="F107" s="994"/>
      <c r="G107" s="994"/>
      <c r="H107" s="994"/>
      <c r="I107" s="994"/>
      <c r="J107" s="995"/>
      <c r="K107" s="152" t="s">
        <v>585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3">
      <c r="A108" s="20"/>
      <c r="B108" s="150"/>
      <c r="C108" s="150"/>
      <c r="D108" s="155" t="s">
        <v>586</v>
      </c>
      <c r="E108" s="155" t="s">
        <v>586</v>
      </c>
      <c r="F108" s="155" t="s">
        <v>587</v>
      </c>
      <c r="G108" s="155" t="s">
        <v>579</v>
      </c>
      <c r="H108" s="155" t="s">
        <v>588</v>
      </c>
      <c r="I108" s="155" t="s">
        <v>589</v>
      </c>
      <c r="J108" s="155" t="s">
        <v>578</v>
      </c>
      <c r="K108" s="155" t="s">
        <v>590</v>
      </c>
      <c r="L108" s="155" t="s">
        <v>591</v>
      </c>
      <c r="M108" s="154"/>
      <c r="N108" s="154"/>
      <c r="O108" s="20"/>
      <c r="P108" s="20"/>
      <c r="Q108" s="20"/>
      <c r="R108" s="20"/>
      <c r="S108" s="20" t="s">
        <v>592</v>
      </c>
      <c r="T108" s="20" t="s">
        <v>593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3">
      <c r="A109" s="20"/>
      <c r="B109" s="156" t="s">
        <v>594</v>
      </c>
      <c r="C109" s="157" t="s">
        <v>595</v>
      </c>
      <c r="D109" s="158" t="s">
        <v>596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597</v>
      </c>
      <c r="N109" s="159" t="s">
        <v>598</v>
      </c>
      <c r="O109" s="140">
        <f>+G109/J109</f>
        <v>1.0550560000000002</v>
      </c>
      <c r="P109" s="20"/>
      <c r="Q109" s="20"/>
      <c r="R109" s="156" t="s">
        <v>594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3">
      <c r="A110" s="20"/>
      <c r="B110" s="161" t="s">
        <v>599</v>
      </c>
      <c r="C110" s="162" t="s">
        <v>600</v>
      </c>
      <c r="D110" s="163" t="s">
        <v>596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597</v>
      </c>
      <c r="N110" s="164" t="s">
        <v>601</v>
      </c>
      <c r="O110" s="20"/>
      <c r="P110" s="20"/>
      <c r="Q110" s="20"/>
      <c r="R110" s="161" t="s">
        <v>599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3">
      <c r="A111" s="20"/>
      <c r="B111" s="156" t="s">
        <v>602</v>
      </c>
      <c r="C111" s="157" t="s">
        <v>603</v>
      </c>
      <c r="D111" s="158" t="s">
        <v>539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597</v>
      </c>
      <c r="N111" s="159" t="s">
        <v>601</v>
      </c>
      <c r="O111" s="20" t="s">
        <v>604</v>
      </c>
      <c r="P111" s="145">
        <f>H111*1000000/H143</f>
        <v>9.9033845712759661</v>
      </c>
      <c r="Q111" s="145"/>
      <c r="R111" s="156" t="s">
        <v>602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3">
      <c r="A112" s="20"/>
      <c r="B112" s="161" t="s">
        <v>605</v>
      </c>
      <c r="C112" s="162" t="s">
        <v>606</v>
      </c>
      <c r="D112" s="163" t="s">
        <v>588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597</v>
      </c>
      <c r="N112" s="164" t="s">
        <v>598</v>
      </c>
      <c r="O112" s="20"/>
      <c r="P112" s="20"/>
      <c r="Q112" s="20"/>
      <c r="R112" s="161" t="s">
        <v>605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3">
      <c r="A113" s="20"/>
      <c r="B113" s="156" t="s">
        <v>607</v>
      </c>
      <c r="C113" s="157" t="s">
        <v>608</v>
      </c>
      <c r="D113" s="158" t="s">
        <v>596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597</v>
      </c>
      <c r="N113" s="159" t="s">
        <v>598</v>
      </c>
      <c r="O113" s="20"/>
      <c r="P113" s="20"/>
      <c r="Q113" s="20"/>
      <c r="R113" s="156" t="s">
        <v>607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3">
      <c r="A114" s="20"/>
      <c r="B114" s="161" t="s">
        <v>609</v>
      </c>
      <c r="C114" s="162" t="s">
        <v>610</v>
      </c>
      <c r="D114" s="163" t="s">
        <v>611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597</v>
      </c>
      <c r="N114" s="164" t="s">
        <v>601</v>
      </c>
      <c r="O114" s="20"/>
      <c r="P114" s="20"/>
      <c r="Q114" s="20"/>
      <c r="R114" s="161" t="s">
        <v>609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3">
      <c r="A115" s="20"/>
      <c r="B115" s="156" t="s">
        <v>612</v>
      </c>
      <c r="C115" s="157" t="s">
        <v>613</v>
      </c>
      <c r="D115" s="158" t="s">
        <v>579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597</v>
      </c>
      <c r="N115" s="159" t="s">
        <v>598</v>
      </c>
      <c r="O115" s="20"/>
      <c r="P115" s="20"/>
      <c r="Q115" s="20"/>
      <c r="R115" s="156" t="s">
        <v>612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3">
      <c r="A116" s="20"/>
      <c r="B116" s="166" t="s">
        <v>614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614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3">
      <c r="A117" s="20"/>
      <c r="B117" s="172"/>
      <c r="C117" s="173" t="s">
        <v>615</v>
      </c>
      <c r="D117" s="163" t="s">
        <v>596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597</v>
      </c>
      <c r="N117" s="164" t="s">
        <v>598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3">
      <c r="A118" s="20"/>
      <c r="B118" s="174"/>
      <c r="C118" s="175" t="s">
        <v>616</v>
      </c>
      <c r="D118" s="158" t="s">
        <v>596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597</v>
      </c>
      <c r="N118" s="159" t="s">
        <v>598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3">
      <c r="A119" s="20"/>
      <c r="B119" s="172"/>
      <c r="C119" s="173" t="s">
        <v>617</v>
      </c>
      <c r="D119" s="163" t="s">
        <v>596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597</v>
      </c>
      <c r="N119" s="164" t="s">
        <v>598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3">
      <c r="A120" s="20"/>
      <c r="B120" s="156" t="s">
        <v>618</v>
      </c>
      <c r="C120" s="157" t="s">
        <v>619</v>
      </c>
      <c r="D120" s="158" t="s">
        <v>588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597</v>
      </c>
      <c r="N120" s="159" t="s">
        <v>598</v>
      </c>
      <c r="O120" s="20"/>
      <c r="P120" s="20"/>
      <c r="Q120" s="20"/>
      <c r="R120" s="156" t="s">
        <v>618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3">
      <c r="A121" s="20"/>
      <c r="B121" s="161" t="s">
        <v>620</v>
      </c>
      <c r="C121" s="162" t="s">
        <v>621</v>
      </c>
      <c r="D121" s="163" t="s">
        <v>622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597</v>
      </c>
      <c r="N121" s="164" t="s">
        <v>598</v>
      </c>
      <c r="O121" s="20"/>
      <c r="P121" s="20"/>
      <c r="Q121" s="20"/>
      <c r="R121" s="161" t="s">
        <v>620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3">
      <c r="A122" s="20"/>
      <c r="B122" s="156" t="s">
        <v>623</v>
      </c>
      <c r="C122" s="157" t="s">
        <v>624</v>
      </c>
      <c r="D122" s="158" t="s">
        <v>622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597</v>
      </c>
      <c r="N122" s="159" t="s">
        <v>598</v>
      </c>
      <c r="O122" s="20"/>
      <c r="P122" s="20"/>
      <c r="Q122" s="20"/>
      <c r="R122" s="156" t="s">
        <v>623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3">
      <c r="A123" s="20"/>
      <c r="B123" s="996" t="s">
        <v>625</v>
      </c>
      <c r="C123" s="994"/>
      <c r="D123" s="994"/>
      <c r="E123" s="994"/>
      <c r="F123" s="994"/>
      <c r="G123" s="994"/>
      <c r="H123" s="994"/>
      <c r="I123" s="994"/>
      <c r="J123" s="994"/>
      <c r="K123" s="994"/>
      <c r="L123" s="995"/>
      <c r="M123" s="176"/>
      <c r="N123" s="176"/>
      <c r="O123" s="20"/>
      <c r="P123" s="20" t="s">
        <v>626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3">
      <c r="A124" s="20"/>
      <c r="B124" s="156" t="s">
        <v>627</v>
      </c>
      <c r="C124" s="157" t="s">
        <v>628</v>
      </c>
      <c r="D124" s="158" t="s">
        <v>611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629</v>
      </c>
      <c r="N124" s="159" t="s">
        <v>598</v>
      </c>
      <c r="O124" s="20"/>
      <c r="P124" s="20"/>
      <c r="Q124" s="20"/>
      <c r="R124" s="156" t="s">
        <v>627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3">
      <c r="A125" s="20"/>
      <c r="B125" s="161" t="s">
        <v>630</v>
      </c>
      <c r="C125" s="162" t="s">
        <v>631</v>
      </c>
      <c r="D125" s="163" t="s">
        <v>611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629</v>
      </c>
      <c r="N125" s="164" t="s">
        <v>598</v>
      </c>
      <c r="O125" s="20"/>
      <c r="P125" s="20"/>
      <c r="Q125" s="20"/>
      <c r="R125" s="161" t="s">
        <v>630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3">
      <c r="A126" s="20"/>
      <c r="B126" s="156" t="s">
        <v>632</v>
      </c>
      <c r="C126" s="157" t="s">
        <v>633</v>
      </c>
      <c r="D126" s="158" t="s">
        <v>596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629</v>
      </c>
      <c r="N126" s="159" t="s">
        <v>598</v>
      </c>
      <c r="O126" s="20"/>
      <c r="P126" s="20"/>
      <c r="Q126" s="20"/>
      <c r="R126" s="156" t="s">
        <v>632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3">
      <c r="A127" s="20"/>
      <c r="B127" s="161" t="s">
        <v>634</v>
      </c>
      <c r="C127" s="162" t="s">
        <v>635</v>
      </c>
      <c r="D127" s="163" t="s">
        <v>596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629</v>
      </c>
      <c r="N127" s="164" t="s">
        <v>601</v>
      </c>
      <c r="O127" s="20"/>
      <c r="P127" s="20"/>
      <c r="Q127" s="20"/>
      <c r="R127" s="161" t="s">
        <v>634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3">
      <c r="A128" s="20"/>
      <c r="B128" s="156" t="s">
        <v>636</v>
      </c>
      <c r="C128" s="157" t="s">
        <v>637</v>
      </c>
      <c r="D128" s="158" t="s">
        <v>611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629</v>
      </c>
      <c r="N128" s="159" t="s">
        <v>601</v>
      </c>
      <c r="O128" s="20" t="s">
        <v>638</v>
      </c>
      <c r="P128" s="145">
        <f>H128/42000*1000000</f>
        <v>37.50562063532594</v>
      </c>
      <c r="Q128" s="145">
        <f>P128*0.3</f>
        <v>11.251686190597782</v>
      </c>
      <c r="R128" s="156" t="s">
        <v>636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3">
      <c r="A129" s="20"/>
      <c r="B129" s="161" t="s">
        <v>639</v>
      </c>
      <c r="C129" s="162" t="s">
        <v>640</v>
      </c>
      <c r="D129" s="163" t="s">
        <v>588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629</v>
      </c>
      <c r="N129" s="164"/>
      <c r="O129" s="20"/>
      <c r="P129" s="20"/>
      <c r="Q129" s="20"/>
      <c r="R129" s="161" t="s">
        <v>639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3">
      <c r="A130" s="20"/>
      <c r="B130" s="156" t="s">
        <v>641</v>
      </c>
      <c r="C130" s="157" t="s">
        <v>642</v>
      </c>
      <c r="D130" s="158" t="s">
        <v>588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629</v>
      </c>
      <c r="N130" s="159"/>
      <c r="O130" s="20"/>
      <c r="P130" s="20"/>
      <c r="Q130" s="20"/>
      <c r="R130" s="156" t="s">
        <v>641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3">
      <c r="A131" s="20"/>
      <c r="B131" s="161" t="s">
        <v>643</v>
      </c>
      <c r="C131" s="162" t="s">
        <v>644</v>
      </c>
      <c r="D131" s="163" t="s">
        <v>611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629</v>
      </c>
      <c r="N131" s="164" t="s">
        <v>601</v>
      </c>
      <c r="O131" s="20"/>
      <c r="P131" s="20"/>
      <c r="Q131" s="20"/>
      <c r="R131" s="161" t="s">
        <v>643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3">
      <c r="A132" s="20"/>
      <c r="B132" s="156" t="s">
        <v>645</v>
      </c>
      <c r="C132" s="157" t="s">
        <v>646</v>
      </c>
      <c r="D132" s="158" t="s">
        <v>622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629</v>
      </c>
      <c r="N132" s="159" t="s">
        <v>601</v>
      </c>
      <c r="O132" s="20"/>
      <c r="P132" s="20"/>
      <c r="Q132" s="20"/>
      <c r="R132" s="156" t="s">
        <v>645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3">
      <c r="A133" s="20"/>
      <c r="B133" s="161" t="s">
        <v>647</v>
      </c>
      <c r="C133" s="162" t="s">
        <v>648</v>
      </c>
      <c r="D133" s="163" t="s">
        <v>611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629</v>
      </c>
      <c r="N133" s="164" t="s">
        <v>601</v>
      </c>
      <c r="O133" s="20"/>
      <c r="P133" s="20"/>
      <c r="Q133" s="20"/>
      <c r="R133" s="161" t="s">
        <v>647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3">
      <c r="A134" s="20"/>
      <c r="B134" s="156" t="s">
        <v>649</v>
      </c>
      <c r="C134" s="157" t="s">
        <v>650</v>
      </c>
      <c r="D134" s="158" t="s">
        <v>611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629</v>
      </c>
      <c r="N134" s="159" t="s">
        <v>601</v>
      </c>
      <c r="O134" s="20" t="s">
        <v>638</v>
      </c>
      <c r="P134" s="145">
        <f>H134/42000*1000000</f>
        <v>35.257266762367934</v>
      </c>
      <c r="Q134" s="20"/>
      <c r="R134" s="156" t="s">
        <v>649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3">
      <c r="A135" s="20"/>
      <c r="B135" s="161" t="s">
        <v>651</v>
      </c>
      <c r="C135" s="162" t="s">
        <v>652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629</v>
      </c>
      <c r="N135" s="164" t="s">
        <v>601</v>
      </c>
      <c r="O135" s="20"/>
      <c r="P135" s="20"/>
      <c r="Q135" s="20"/>
      <c r="R135" s="161" t="s">
        <v>651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3">
      <c r="A136" s="20"/>
      <c r="B136" s="156" t="s">
        <v>653</v>
      </c>
      <c r="C136" s="157" t="s">
        <v>654</v>
      </c>
      <c r="D136" s="158" t="s">
        <v>611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629</v>
      </c>
      <c r="N136" s="159" t="s">
        <v>601</v>
      </c>
      <c r="O136" s="20"/>
      <c r="P136" s="20"/>
      <c r="Q136" s="20"/>
      <c r="R136" s="156" t="s">
        <v>653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3">
      <c r="A137" s="20"/>
      <c r="B137" s="161" t="s">
        <v>655</v>
      </c>
      <c r="C137" s="162" t="s">
        <v>656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655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3">
      <c r="A138" s="20"/>
      <c r="B138" s="156" t="s">
        <v>657</v>
      </c>
      <c r="C138" s="157" t="s">
        <v>658</v>
      </c>
      <c r="D138" s="158" t="s">
        <v>659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629</v>
      </c>
      <c r="N138" s="159"/>
      <c r="O138" s="20"/>
      <c r="P138" s="20"/>
      <c r="Q138" s="20"/>
      <c r="R138" s="156" t="s">
        <v>657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3">
      <c r="A140" s="20"/>
      <c r="B140" s="997"/>
      <c r="C140" s="998"/>
      <c r="D140" s="998"/>
      <c r="E140" s="999"/>
      <c r="F140" s="20"/>
      <c r="G140" s="1000" t="s">
        <v>660</v>
      </c>
      <c r="H140" s="1001"/>
      <c r="I140" s="1002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3">
      <c r="A141" s="20"/>
      <c r="B141" s="156" t="str">
        <f t="array" ref="B141:B146">TRANSPOSE(E108:J108)</f>
        <v>UO</v>
      </c>
      <c r="C141" s="157" t="s">
        <v>661</v>
      </c>
      <c r="D141" s="158"/>
      <c r="E141" s="156">
        <v>2006</v>
      </c>
      <c r="F141" s="20"/>
      <c r="G141" s="155" t="s">
        <v>662</v>
      </c>
      <c r="H141" s="155" t="s">
        <v>663</v>
      </c>
      <c r="I141" s="155" t="s">
        <v>664</v>
      </c>
      <c r="J141" s="21"/>
      <c r="K141" s="21"/>
      <c r="L141" s="155" t="s">
        <v>662</v>
      </c>
      <c r="M141" s="155" t="s">
        <v>664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3">
      <c r="A142" s="20"/>
      <c r="B142" s="161" t="str">
        <v>TCal</v>
      </c>
      <c r="C142" s="162" t="s">
        <v>665</v>
      </c>
      <c r="D142" s="163"/>
      <c r="E142" s="161">
        <v>2007</v>
      </c>
      <c r="F142" s="20"/>
      <c r="G142" s="177" t="s">
        <v>666</v>
      </c>
      <c r="H142" s="178">
        <v>35.31467</v>
      </c>
      <c r="I142" s="177" t="s">
        <v>667</v>
      </c>
      <c r="J142" s="21"/>
      <c r="K142" s="21"/>
      <c r="L142" s="177" t="s">
        <v>604</v>
      </c>
      <c r="M142" s="177" t="s">
        <v>667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3">
      <c r="A143" s="20"/>
      <c r="B143" s="156" t="str">
        <v>TJ</v>
      </c>
      <c r="C143" s="157" t="s">
        <v>668</v>
      </c>
      <c r="D143" s="158"/>
      <c r="E143" s="156">
        <v>2008</v>
      </c>
      <c r="F143" s="20"/>
      <c r="G143" s="179" t="s">
        <v>669</v>
      </c>
      <c r="H143" s="180">
        <f>1000000/H142</f>
        <v>28316.843963146195</v>
      </c>
      <c r="I143" s="179" t="s">
        <v>604</v>
      </c>
      <c r="J143" s="21"/>
      <c r="K143" s="21"/>
      <c r="L143" s="179" t="s">
        <v>670</v>
      </c>
      <c r="M143" s="179" t="s">
        <v>604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3">
      <c r="A144" s="20"/>
      <c r="B144" s="161" t="str">
        <v>GWh</v>
      </c>
      <c r="C144" s="162" t="s">
        <v>671</v>
      </c>
      <c r="D144" s="163"/>
      <c r="E144" s="161">
        <v>2009</v>
      </c>
      <c r="F144" s="20"/>
      <c r="G144" s="177" t="s">
        <v>672</v>
      </c>
      <c r="H144" s="178">
        <v>3.7854117999999999</v>
      </c>
      <c r="I144" s="177" t="s">
        <v>673</v>
      </c>
      <c r="J144" s="21"/>
      <c r="K144" s="21"/>
      <c r="L144" s="177" t="s">
        <v>638</v>
      </c>
      <c r="M144" s="177" t="s">
        <v>673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3">
      <c r="A145" s="20"/>
      <c r="B145" s="156" t="str">
        <v>KTEP</v>
      </c>
      <c r="C145" s="157" t="s">
        <v>674</v>
      </c>
      <c r="D145" s="158"/>
      <c r="E145" s="156">
        <v>2010</v>
      </c>
      <c r="F145" s="20"/>
      <c r="G145" s="179" t="s">
        <v>675</v>
      </c>
      <c r="H145" s="180">
        <v>42</v>
      </c>
      <c r="I145" s="179" t="s">
        <v>638</v>
      </c>
      <c r="J145" s="21"/>
      <c r="K145" s="21"/>
      <c r="L145" s="179" t="s">
        <v>676</v>
      </c>
      <c r="M145" s="179" t="s">
        <v>638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3">
      <c r="A146" s="20"/>
      <c r="B146" s="161" t="str">
        <v>GBTU</v>
      </c>
      <c r="C146" s="162" t="s">
        <v>677</v>
      </c>
      <c r="D146" s="163"/>
      <c r="E146" s="161">
        <v>2011</v>
      </c>
      <c r="F146" s="20"/>
      <c r="G146" s="177" t="s">
        <v>666</v>
      </c>
      <c r="H146" s="178">
        <f>1000/H144/H145</f>
        <v>6.2898107438466297</v>
      </c>
      <c r="I146" s="177" t="s">
        <v>676</v>
      </c>
      <c r="J146" s="21"/>
      <c r="K146" s="21"/>
      <c r="L146" s="177" t="s">
        <v>604</v>
      </c>
      <c r="M146" s="177" t="s">
        <v>676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3">
      <c r="A147" s="20"/>
      <c r="B147" s="156" t="s">
        <v>678</v>
      </c>
      <c r="C147" s="157" t="s">
        <v>679</v>
      </c>
      <c r="D147" s="158"/>
      <c r="E147" s="156">
        <v>2012</v>
      </c>
      <c r="F147" s="20"/>
      <c r="G147" s="179" t="s">
        <v>666</v>
      </c>
      <c r="H147" s="180">
        <v>1000</v>
      </c>
      <c r="I147" s="179" t="s">
        <v>673</v>
      </c>
      <c r="J147" s="21"/>
      <c r="K147" s="21"/>
      <c r="L147" s="179" t="s">
        <v>604</v>
      </c>
      <c r="M147" s="179" t="s">
        <v>673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3">
      <c r="A148" s="20"/>
      <c r="B148" s="161" t="s">
        <v>596</v>
      </c>
      <c r="C148" s="162" t="s">
        <v>680</v>
      </c>
      <c r="D148" s="163"/>
      <c r="E148" s="161">
        <v>2013</v>
      </c>
      <c r="F148" s="20"/>
      <c r="G148" s="177" t="s">
        <v>681</v>
      </c>
      <c r="H148" s="178">
        <v>1000</v>
      </c>
      <c r="I148" s="177" t="s">
        <v>676</v>
      </c>
      <c r="J148" s="21"/>
      <c r="K148" s="21"/>
      <c r="L148" s="177" t="s">
        <v>659</v>
      </c>
      <c r="M148" s="177" t="s">
        <v>676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3">
      <c r="A149" s="20"/>
      <c r="B149" s="156" t="s">
        <v>539</v>
      </c>
      <c r="C149" s="157" t="s">
        <v>682</v>
      </c>
      <c r="D149" s="158"/>
      <c r="E149" s="156">
        <v>2014</v>
      </c>
      <c r="F149" s="20"/>
      <c r="G149" s="179" t="s">
        <v>683</v>
      </c>
      <c r="H149" s="181">
        <f>1/H144/H145/H148</f>
        <v>6.2898107438466298E-6</v>
      </c>
      <c r="I149" s="179" t="s">
        <v>659</v>
      </c>
      <c r="J149" s="21"/>
      <c r="K149" s="21"/>
      <c r="L149" s="179" t="s">
        <v>673</v>
      </c>
      <c r="M149" s="179" t="s">
        <v>659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3">
      <c r="A150" s="20"/>
      <c r="B150" s="161" t="s">
        <v>659</v>
      </c>
      <c r="C150" s="162" t="s">
        <v>684</v>
      </c>
      <c r="D150" s="163"/>
      <c r="E150" s="161">
        <v>2015</v>
      </c>
      <c r="F150" s="20"/>
      <c r="G150" s="177" t="s">
        <v>685</v>
      </c>
      <c r="H150" s="178">
        <v>1055.056</v>
      </c>
      <c r="I150" s="177" t="s">
        <v>686</v>
      </c>
      <c r="J150" s="21"/>
      <c r="K150" s="21"/>
      <c r="L150" s="177" t="s">
        <v>575</v>
      </c>
      <c r="M150" s="177" t="s">
        <v>686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3">
      <c r="A151" s="20"/>
      <c r="B151" s="20"/>
      <c r="C151" s="20"/>
      <c r="D151" s="20"/>
      <c r="E151" s="156">
        <v>2016</v>
      </c>
      <c r="F151" s="20"/>
      <c r="G151" s="179" t="s">
        <v>687</v>
      </c>
      <c r="H151" s="180">
        <v>3600</v>
      </c>
      <c r="I151" s="179" t="s">
        <v>686</v>
      </c>
      <c r="J151" s="21"/>
      <c r="K151" s="21"/>
      <c r="L151" s="179" t="s">
        <v>688</v>
      </c>
      <c r="M151" s="179" t="s">
        <v>686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3">
      <c r="A152" s="20"/>
      <c r="B152" s="20"/>
      <c r="C152" s="20"/>
      <c r="D152" s="20"/>
      <c r="E152" s="161">
        <v>2017</v>
      </c>
      <c r="F152" s="20"/>
      <c r="G152" s="177" t="s">
        <v>666</v>
      </c>
      <c r="H152" s="178">
        <f>H147/H144</f>
        <v>264.17205124155845</v>
      </c>
      <c r="I152" s="177" t="s">
        <v>638</v>
      </c>
      <c r="J152" s="21"/>
      <c r="K152" s="21"/>
      <c r="L152" s="177" t="s">
        <v>604</v>
      </c>
      <c r="M152" s="177" t="s">
        <v>638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3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3">
      <c r="A155" s="20"/>
      <c r="B155" s="20"/>
      <c r="C155" s="184"/>
      <c r="D155" s="184"/>
      <c r="E155" s="184" t="s">
        <v>689</v>
      </c>
      <c r="F155" s="184" t="s">
        <v>690</v>
      </c>
      <c r="G155" s="184"/>
      <c r="H155" s="184" t="s">
        <v>691</v>
      </c>
      <c r="I155" s="184"/>
      <c r="J155" s="184"/>
      <c r="K155" s="184"/>
      <c r="L155" s="184" t="s">
        <v>692</v>
      </c>
      <c r="M155" s="21" t="s">
        <v>693</v>
      </c>
      <c r="N155" s="22" t="s">
        <v>694</v>
      </c>
      <c r="O155" s="20" t="s">
        <v>695</v>
      </c>
      <c r="P155" s="20" t="s">
        <v>696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3">
      <c r="A156" s="20"/>
      <c r="B156" s="20"/>
      <c r="C156" s="185" t="s">
        <v>697</v>
      </c>
      <c r="D156" s="186"/>
      <c r="E156" s="155"/>
      <c r="F156" s="155" t="s">
        <v>698</v>
      </c>
      <c r="G156" s="155" t="s">
        <v>699</v>
      </c>
      <c r="H156" s="155" t="s">
        <v>700</v>
      </c>
      <c r="I156" s="155" t="s">
        <v>701</v>
      </c>
      <c r="J156" s="155" t="s">
        <v>702</v>
      </c>
      <c r="K156" s="155" t="s">
        <v>703</v>
      </c>
      <c r="L156" s="155" t="s">
        <v>543</v>
      </c>
      <c r="M156" s="21" t="s">
        <v>543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3">
      <c r="A157" s="20"/>
      <c r="B157" s="20"/>
      <c r="C157" s="187" t="s">
        <v>704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3">
      <c r="A158" s="20"/>
      <c r="B158" s="20"/>
      <c r="C158" s="191" t="s">
        <v>705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3">
      <c r="A159" s="20"/>
      <c r="B159" s="20"/>
      <c r="C159" s="187" t="s">
        <v>706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3">
      <c r="A160" s="20"/>
      <c r="B160" s="20"/>
      <c r="C160" s="191" t="s">
        <v>707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3">
      <c r="A161" s="20"/>
      <c r="B161" s="20"/>
      <c r="C161" s="187" t="s">
        <v>708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3">
      <c r="A162" s="20"/>
      <c r="B162" s="20"/>
      <c r="C162" s="191" t="s">
        <v>709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3">
      <c r="A163" s="20"/>
      <c r="B163" s="20"/>
      <c r="C163" s="187" t="s">
        <v>710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3">
      <c r="A164" s="20"/>
      <c r="B164" s="20"/>
      <c r="C164" s="191" t="s">
        <v>711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3">
      <c r="A165" s="20"/>
      <c r="B165" s="20"/>
      <c r="C165" s="187" t="s">
        <v>712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3">
      <c r="A166" s="20"/>
      <c r="B166" s="20" t="s">
        <v>287</v>
      </c>
      <c r="C166" s="191" t="s">
        <v>713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3">
      <c r="A167" s="20"/>
      <c r="B167" s="20"/>
      <c r="C167" s="193" t="s">
        <v>714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3">
      <c r="A168" s="20"/>
      <c r="B168" s="20"/>
      <c r="C168" s="191" t="s">
        <v>715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3">
      <c r="A169" s="20"/>
      <c r="B169" s="20"/>
      <c r="C169" s="187" t="s">
        <v>716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3">
      <c r="A170" s="20"/>
      <c r="B170" s="20"/>
      <c r="C170" s="191" t="s">
        <v>717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3">
      <c r="A171" s="20"/>
      <c r="B171" s="20"/>
      <c r="C171" s="187" t="s">
        <v>718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3">
      <c r="A172" s="20"/>
      <c r="B172" s="20"/>
      <c r="C172" s="191" t="s">
        <v>719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3">
      <c r="A173" s="20"/>
      <c r="B173" s="20"/>
      <c r="C173" s="187" t="s">
        <v>720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3">
      <c r="A174" s="20"/>
      <c r="B174" s="20"/>
      <c r="C174" s="185" t="s">
        <v>721</v>
      </c>
      <c r="D174" s="186"/>
      <c r="E174" s="155" t="s">
        <v>722</v>
      </c>
      <c r="F174" s="155" t="s">
        <v>545</v>
      </c>
      <c r="G174" s="155" t="s">
        <v>723</v>
      </c>
      <c r="H174" s="155" t="s">
        <v>724</v>
      </c>
      <c r="I174" s="155" t="s">
        <v>701</v>
      </c>
      <c r="J174" s="155" t="s">
        <v>725</v>
      </c>
      <c r="K174" s="155" t="s">
        <v>726</v>
      </c>
      <c r="L174" s="197" t="s">
        <v>543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3">
      <c r="A175" s="20"/>
      <c r="B175" s="20"/>
      <c r="C175" s="187" t="s">
        <v>727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3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3">
      <c r="A177" s="20"/>
      <c r="B177" s="20"/>
      <c r="C177" s="187" t="s">
        <v>728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3">
      <c r="A178" s="20"/>
      <c r="B178" s="20"/>
      <c r="C178" s="191" t="s">
        <v>729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3">
      <c r="A179" s="20"/>
      <c r="B179" s="20"/>
      <c r="C179" s="187" t="s">
        <v>562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3">
      <c r="A180" s="20"/>
      <c r="B180" s="20"/>
      <c r="C180" s="191" t="s">
        <v>730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3">
      <c r="A181" s="20"/>
      <c r="B181" s="20"/>
      <c r="C181" s="187" t="s">
        <v>731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3">
      <c r="A182" s="20"/>
      <c r="B182" s="20"/>
      <c r="C182" s="191" t="s">
        <v>732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3">
      <c r="A183" s="20"/>
      <c r="B183" s="20"/>
      <c r="C183" s="187" t="s">
        <v>733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3">
      <c r="A184" s="20"/>
      <c r="B184" s="20"/>
      <c r="C184" s="191" t="s">
        <v>734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3">
      <c r="A185" s="20"/>
      <c r="B185" s="20"/>
      <c r="C185" s="187" t="s">
        <v>735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3">
      <c r="A186" s="20"/>
      <c r="B186" s="20"/>
      <c r="C186" s="191" t="s">
        <v>736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3">
      <c r="A187" s="20"/>
      <c r="B187" s="20"/>
      <c r="C187" s="187" t="s">
        <v>572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3">
      <c r="A188" s="20"/>
      <c r="B188" s="20"/>
      <c r="C188" s="191" t="s">
        <v>737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3">
      <c r="A189" s="20"/>
      <c r="B189" s="20"/>
      <c r="C189" s="187" t="s">
        <v>738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3">
      <c r="A190" s="20"/>
      <c r="B190" s="20"/>
      <c r="C190" s="198" t="s">
        <v>739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3">
      <c r="A191" s="20"/>
      <c r="B191" s="20"/>
      <c r="C191" s="185" t="s">
        <v>740</v>
      </c>
      <c r="D191" s="186"/>
      <c r="E191" s="155"/>
      <c r="F191" s="155" t="s">
        <v>545</v>
      </c>
      <c r="G191" s="155" t="s">
        <v>741</v>
      </c>
      <c r="H191" s="155"/>
      <c r="I191" s="155"/>
      <c r="J191" s="155" t="s">
        <v>725</v>
      </c>
      <c r="K191" s="155" t="s">
        <v>742</v>
      </c>
      <c r="L191" s="197" t="s">
        <v>543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3">
      <c r="A192" s="20"/>
      <c r="B192" s="20"/>
      <c r="C192" s="187" t="s">
        <v>743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3">
      <c r="A193" s="20"/>
      <c r="B193" s="20"/>
      <c r="C193" s="191" t="s">
        <v>744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3">
      <c r="A194" s="20"/>
      <c r="B194" s="20"/>
      <c r="C194" s="187" t="s">
        <v>745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3">
      <c r="A195" s="20"/>
      <c r="B195" s="20"/>
      <c r="C195" s="191" t="s">
        <v>746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3">
      <c r="A196" s="20"/>
      <c r="B196" s="20"/>
      <c r="C196" s="187" t="s">
        <v>747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3">
      <c r="A197" s="20"/>
      <c r="B197" s="20"/>
      <c r="C197" s="191" t="s">
        <v>748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3">
      <c r="A198" s="20"/>
      <c r="B198" s="20"/>
      <c r="C198" s="187" t="s">
        <v>749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3">
      <c r="A199" s="20"/>
      <c r="B199" s="20"/>
      <c r="C199" s="191" t="s">
        <v>750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3">
      <c r="A200" s="20"/>
      <c r="B200" s="20"/>
      <c r="C200" s="187" t="s">
        <v>751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3">
      <c r="A201" s="20"/>
      <c r="B201" s="20"/>
      <c r="C201" s="191" t="s">
        <v>752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3">
      <c r="A202" s="20"/>
      <c r="B202" s="20"/>
      <c r="C202" s="187" t="s">
        <v>753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3">
      <c r="A203" s="20"/>
      <c r="B203" s="20"/>
      <c r="C203" s="191" t="s">
        <v>754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3">
      <c r="A204" s="20"/>
      <c r="B204" s="20"/>
      <c r="C204" s="187" t="s">
        <v>755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3">
      <c r="A205" s="20"/>
      <c r="B205" s="20"/>
      <c r="C205" s="191" t="s">
        <v>756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3">
      <c r="A206" s="20"/>
      <c r="B206" s="20"/>
      <c r="C206" s="187" t="s">
        <v>757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3">
      <c r="A207" s="20"/>
      <c r="B207" s="20"/>
      <c r="C207" s="191" t="s">
        <v>758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3">
      <c r="A208" s="20"/>
      <c r="B208" s="20"/>
      <c r="C208" s="187" t="s">
        <v>759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3">
      <c r="A209" s="20"/>
      <c r="B209" s="20"/>
      <c r="C209" s="191" t="s">
        <v>760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3">
      <c r="A210" s="20"/>
      <c r="B210" s="20"/>
      <c r="C210" s="187" t="s">
        <v>761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3">
      <c r="A211" s="20"/>
      <c r="B211" s="20"/>
      <c r="C211" s="191" t="s">
        <v>762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3">
      <c r="A212" s="20"/>
      <c r="B212" s="20"/>
      <c r="C212" s="187" t="s">
        <v>763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3">
      <c r="A213" s="20"/>
      <c r="B213" s="20"/>
      <c r="C213" s="191" t="s">
        <v>764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3">
      <c r="A214" s="20"/>
      <c r="B214" s="20"/>
      <c r="C214" s="187" t="s">
        <v>765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3">
      <c r="A215" s="20"/>
      <c r="B215" s="20"/>
      <c r="C215" s="191" t="s">
        <v>766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3">
      <c r="A216" s="20"/>
      <c r="B216" s="20"/>
      <c r="C216" s="187" t="s">
        <v>767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3">
      <c r="A219" s="20"/>
      <c r="B219" s="156" t="s">
        <v>594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3">
      <c r="A220" s="20"/>
      <c r="B220" s="161" t="s">
        <v>599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3">
      <c r="A221" s="20"/>
      <c r="B221" s="156" t="s">
        <v>602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3">
      <c r="A222" s="20"/>
      <c r="B222" s="161" t="s">
        <v>605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3">
      <c r="A223" s="20"/>
      <c r="B223" s="156" t="s">
        <v>607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3">
      <c r="A224" s="20"/>
      <c r="B224" s="161" t="s">
        <v>609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3">
      <c r="A225" s="20"/>
      <c r="B225" s="156" t="s">
        <v>612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3">
      <c r="A226" s="20"/>
      <c r="B226" s="161" t="s">
        <v>618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3">
      <c r="A227" s="20"/>
      <c r="B227" s="156" t="s">
        <v>627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3">
      <c r="A228" s="20"/>
      <c r="B228" s="161" t="s">
        <v>630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3">
      <c r="A229" s="20"/>
      <c r="B229" s="156" t="s">
        <v>632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3">
      <c r="A230" s="20"/>
      <c r="B230" s="161" t="s">
        <v>634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3">
      <c r="A231" s="20"/>
      <c r="B231" s="156" t="s">
        <v>636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3">
      <c r="A232" s="20"/>
      <c r="B232" s="161" t="s">
        <v>639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3">
      <c r="A233" s="20"/>
      <c r="B233" s="156" t="s">
        <v>641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3">
      <c r="A234" s="20"/>
      <c r="B234" s="161" t="s">
        <v>643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3">
      <c r="A235" s="20"/>
      <c r="B235" s="156" t="s">
        <v>645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3">
      <c r="A236" s="20"/>
      <c r="B236" s="161" t="s">
        <v>647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3">
      <c r="A237" s="20"/>
      <c r="B237" s="156" t="s">
        <v>649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3">
      <c r="A238" s="20"/>
      <c r="B238" s="161" t="s">
        <v>653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3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3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3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3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3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3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3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3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3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3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3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3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3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3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3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3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3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3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3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3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3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3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3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3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3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3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3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3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8">
    <mergeCell ref="O5:Q5"/>
    <mergeCell ref="S5:U5"/>
    <mergeCell ref="D107:J107"/>
    <mergeCell ref="B123:L123"/>
    <mergeCell ref="B140:E140"/>
    <mergeCell ref="G140:I140"/>
    <mergeCell ref="E46:E48"/>
    <mergeCell ref="F46:F48"/>
    <mergeCell ref="G46:G48"/>
    <mergeCell ref="H46:H48"/>
    <mergeCell ref="I46:I48"/>
    <mergeCell ref="J46:J48"/>
    <mergeCell ref="B106:L106"/>
    <mergeCell ref="F2:G2"/>
    <mergeCell ref="D7:D9"/>
    <mergeCell ref="E41:F41"/>
    <mergeCell ref="G41:N41"/>
    <mergeCell ref="K42:M42"/>
  </mergeCells>
  <pageMargins left="0.7" right="0.7" top="1.1865942028985508" bottom="0.75" header="0" footer="0"/>
  <pageSetup orientation="portrait" r:id="rId1"/>
  <headerFooter>
    <oddHeader>&amp;C002060Balance Energético Colombia &amp;A</oddHeader>
    <oddFooter>&amp;C&amp;F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12"/>
  <sheetViews>
    <sheetView showGridLines="0" topLeftCell="D40" zoomScale="85" zoomScaleNormal="85" workbookViewId="0">
      <selection activeCell="J53" sqref="J53:L53"/>
    </sheetView>
  </sheetViews>
  <sheetFormatPr baseColWidth="10" defaultColWidth="14.44140625" defaultRowHeight="15" customHeight="1" x14ac:dyDescent="0.3"/>
  <cols>
    <col min="1" max="2" width="10.6640625" customWidth="1"/>
    <col min="3" max="3" width="11.88671875" customWidth="1"/>
    <col min="4" max="4" width="14.44140625" customWidth="1"/>
    <col min="5" max="8" width="10.6640625" customWidth="1"/>
    <col min="9" max="9" width="13.88671875" customWidth="1"/>
    <col min="10" max="10" width="15.33203125" customWidth="1"/>
    <col min="11" max="11" width="34.5546875" customWidth="1"/>
    <col min="12" max="12" width="11.6640625" customWidth="1"/>
    <col min="13" max="13" width="15.5546875" customWidth="1"/>
    <col min="14" max="14" width="13" customWidth="1"/>
    <col min="15" max="15" width="14.109375" customWidth="1"/>
    <col min="16" max="16" width="13.109375" customWidth="1"/>
    <col min="17" max="17" width="15.109375" customWidth="1"/>
    <col min="18" max="18" width="12.33203125" customWidth="1"/>
    <col min="19" max="19" width="13.88671875" customWidth="1"/>
    <col min="20" max="20" width="14.88671875" customWidth="1"/>
    <col min="21" max="41" width="10.6640625" customWidth="1"/>
  </cols>
  <sheetData>
    <row r="1" spans="1:41" ht="14.4" x14ac:dyDescent="0.3">
      <c r="Q1" s="202"/>
      <c r="R1" s="202">
        <v>9.47817E-4</v>
      </c>
      <c r="S1" s="202" t="s">
        <v>768</v>
      </c>
      <c r="T1" s="202"/>
      <c r="U1" s="202"/>
      <c r="V1" s="202"/>
      <c r="W1" s="202"/>
    </row>
    <row r="2" spans="1:41" ht="14.4" x14ac:dyDescent="0.3">
      <c r="Q2" s="202"/>
      <c r="R2" s="202">
        <f>+R1/(1000000)</f>
        <v>9.4781700000000002E-10</v>
      </c>
      <c r="S2" s="202" t="s">
        <v>769</v>
      </c>
      <c r="T2" s="202"/>
      <c r="U2" s="202"/>
      <c r="V2" s="202"/>
      <c r="W2" s="202"/>
    </row>
    <row r="3" spans="1:41" ht="14.4" x14ac:dyDescent="0.3">
      <c r="Q3" s="202"/>
      <c r="R3" s="202">
        <f>+R2*1000000000000000</f>
        <v>947817</v>
      </c>
      <c r="S3" s="202" t="s">
        <v>770</v>
      </c>
      <c r="T3" s="202">
        <f>1/R3</f>
        <v>1.0550559865459262E-6</v>
      </c>
      <c r="U3" s="202" t="s">
        <v>771</v>
      </c>
      <c r="V3" s="202"/>
      <c r="W3" s="202"/>
    </row>
    <row r="4" spans="1:41" ht="14.4" x14ac:dyDescent="0.3">
      <c r="I4" s="15" t="s">
        <v>270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ht="14.4" x14ac:dyDescent="0.3">
      <c r="I5" s="8" t="s">
        <v>271</v>
      </c>
      <c r="J5" s="8" t="s">
        <v>272</v>
      </c>
      <c r="K5" s="8" t="s">
        <v>273</v>
      </c>
      <c r="L5" s="8" t="s">
        <v>274</v>
      </c>
      <c r="M5" s="8" t="s">
        <v>275</v>
      </c>
      <c r="Q5" s="202"/>
      <c r="R5" s="202">
        <v>1.0550559999999999E-6</v>
      </c>
      <c r="S5" s="202" t="s">
        <v>772</v>
      </c>
      <c r="T5" s="202"/>
      <c r="U5" s="202"/>
      <c r="V5" s="202"/>
      <c r="W5" s="202"/>
    </row>
    <row r="6" spans="1:41" ht="21.6" x14ac:dyDescent="0.3">
      <c r="A6" s="5"/>
      <c r="B6" s="5"/>
      <c r="C6" s="5"/>
      <c r="D6" s="5"/>
      <c r="E6" s="5"/>
      <c r="F6" s="5"/>
      <c r="G6" s="5"/>
      <c r="H6" s="5"/>
      <c r="I6" s="10" t="s">
        <v>279</v>
      </c>
      <c r="J6" s="10" t="s">
        <v>280</v>
      </c>
      <c r="K6" s="10" t="s">
        <v>281</v>
      </c>
      <c r="L6" s="10" t="s">
        <v>282</v>
      </c>
      <c r="M6" s="10" t="s">
        <v>283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ht="14.4" x14ac:dyDescent="0.3">
      <c r="I7" s="10" t="s">
        <v>287</v>
      </c>
      <c r="J7" s="10"/>
      <c r="K7" s="10"/>
      <c r="L7" s="10"/>
      <c r="M7" s="10"/>
      <c r="Q7" s="202"/>
      <c r="R7" s="202" t="s">
        <v>773</v>
      </c>
      <c r="S7" s="202" t="s">
        <v>774</v>
      </c>
      <c r="T7" s="202" t="s">
        <v>775</v>
      </c>
      <c r="U7" s="202"/>
      <c r="V7" s="202" t="s">
        <v>775</v>
      </c>
      <c r="W7" s="202" t="s">
        <v>773</v>
      </c>
    </row>
    <row r="8" spans="1:41" ht="14.4" x14ac:dyDescent="0.3">
      <c r="I8" s="12" t="s">
        <v>261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288</v>
      </c>
      <c r="Q8" s="202" t="s">
        <v>776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ht="14.4" x14ac:dyDescent="0.3">
      <c r="J9" s="12" t="str">
        <v>EXP-DSL</v>
      </c>
      <c r="K9" s="12" t="str">
        <v>Exportacion de Diesel</v>
      </c>
      <c r="L9" s="12" t="s">
        <v>59</v>
      </c>
      <c r="M9" s="12" t="s">
        <v>288</v>
      </c>
      <c r="Q9" s="202" t="s">
        <v>777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ht="14.4" x14ac:dyDescent="0.3">
      <c r="J10" s="12" t="str">
        <v>EXP-KER</v>
      </c>
      <c r="K10" s="12" t="str">
        <v>Exportacion de Keroseno-Jet</v>
      </c>
      <c r="L10" s="12" t="s">
        <v>59</v>
      </c>
      <c r="M10" s="12" t="s">
        <v>288</v>
      </c>
      <c r="Q10" s="202" t="s">
        <v>778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779</v>
      </c>
      <c r="V10" s="202">
        <v>14.64</v>
      </c>
      <c r="W10" s="202"/>
    </row>
    <row r="11" spans="1:41" ht="14.4" x14ac:dyDescent="0.3">
      <c r="J11" s="12" t="str">
        <v>EXP-LPG</v>
      </c>
      <c r="K11" s="12" t="str">
        <v>Exportacion de LPG</v>
      </c>
      <c r="L11" s="12" t="s">
        <v>59</v>
      </c>
      <c r="M11" s="12" t="s">
        <v>288</v>
      </c>
      <c r="Q11" s="202" t="s">
        <v>780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ht="14.4" x14ac:dyDescent="0.3">
      <c r="J12" s="12" t="str">
        <v>EXP-HFO</v>
      </c>
      <c r="K12" s="12" t="str">
        <v>Exportacion de Combustoleo</v>
      </c>
      <c r="L12" s="12" t="s">
        <v>59</v>
      </c>
      <c r="M12" s="12" t="s">
        <v>288</v>
      </c>
      <c r="Q12" s="202" t="s">
        <v>781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782</v>
      </c>
      <c r="V12" s="202">
        <v>9.75</v>
      </c>
      <c r="W12" s="202"/>
    </row>
    <row r="13" spans="1:41" ht="14.4" x14ac:dyDescent="0.3">
      <c r="J13" s="12" t="str">
        <v>EXP-ETH</v>
      </c>
      <c r="K13" s="12" t="str">
        <v>Exportacion de Etanol</v>
      </c>
      <c r="L13" s="12" t="s">
        <v>59</v>
      </c>
      <c r="M13" s="12" t="s">
        <v>288</v>
      </c>
      <c r="Q13" s="202" t="s">
        <v>783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784</v>
      </c>
      <c r="V13" s="202"/>
      <c r="W13" s="202"/>
    </row>
    <row r="14" spans="1:41" ht="14.4" x14ac:dyDescent="0.3">
      <c r="J14" s="12" t="str">
        <v>EXP-BDSL</v>
      </c>
      <c r="K14" s="12" t="str">
        <v>Exportacion de Biodiesel</v>
      </c>
      <c r="L14" s="12" t="s">
        <v>59</v>
      </c>
      <c r="M14" s="12" t="s">
        <v>288</v>
      </c>
      <c r="Q14" s="202" t="s">
        <v>785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ht="14.4" x14ac:dyDescent="0.3">
      <c r="J15" s="12" t="str">
        <v>EXP-GAS</v>
      </c>
      <c r="K15" s="12" t="str">
        <v>Exportacion de Gasolina natural</v>
      </c>
      <c r="L15" s="12" t="s">
        <v>59</v>
      </c>
      <c r="M15" s="12" t="s">
        <v>288</v>
      </c>
      <c r="Q15" s="202" t="s">
        <v>786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787</v>
      </c>
      <c r="V15" s="202">
        <v>5.03</v>
      </c>
      <c r="W15" s="202"/>
    </row>
    <row r="16" spans="1:41" ht="14.4" x14ac:dyDescent="0.3">
      <c r="J16" s="12" t="str">
        <v>EXP-LOIL</v>
      </c>
      <c r="K16" s="12" t="str">
        <v>Exportacion de Petroleo liviano</v>
      </c>
      <c r="L16" s="12" t="s">
        <v>59</v>
      </c>
      <c r="M16" s="12" t="s">
        <v>288</v>
      </c>
      <c r="Q16" s="202" t="s">
        <v>788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789</v>
      </c>
      <c r="V16" s="202"/>
      <c r="W16" s="202"/>
    </row>
    <row r="17" spans="2:23" ht="14.4" x14ac:dyDescent="0.3">
      <c r="J17" s="12" t="str">
        <v>EXP-MOIL</v>
      </c>
      <c r="K17" s="12" t="str">
        <v>Exportacion de Petroleo mediano</v>
      </c>
      <c r="L17" s="12" t="s">
        <v>59</v>
      </c>
      <c r="M17" s="12" t="s">
        <v>288</v>
      </c>
      <c r="Q17" s="202" t="s">
        <v>790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ht="14.4" x14ac:dyDescent="0.3">
      <c r="J18" s="12" t="str">
        <v>EXP-HOIL</v>
      </c>
      <c r="K18" s="12" t="str">
        <v>Exportacion de Petroleo pesado</v>
      </c>
      <c r="L18" s="12" t="s">
        <v>59</v>
      </c>
      <c r="M18" s="12" t="s">
        <v>288</v>
      </c>
      <c r="Q18" s="202" t="s">
        <v>791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ht="14.4" x14ac:dyDescent="0.3">
      <c r="J19" s="12" t="s">
        <v>792</v>
      </c>
      <c r="K19" s="12" t="s">
        <v>793</v>
      </c>
      <c r="L19" s="12" t="s">
        <v>59</v>
      </c>
      <c r="M19" s="12" t="s">
        <v>288</v>
      </c>
      <c r="Q19" s="202"/>
      <c r="R19" s="202"/>
      <c r="S19" s="202"/>
      <c r="T19" s="202"/>
      <c r="U19" s="202"/>
      <c r="V19" s="202"/>
      <c r="W19" s="202"/>
    </row>
    <row r="20" spans="2:23" ht="14.4" x14ac:dyDescent="0.3">
      <c r="J20" s="12" t="s">
        <v>794</v>
      </c>
      <c r="K20" s="12" t="s">
        <v>795</v>
      </c>
      <c r="L20" s="12" t="s">
        <v>59</v>
      </c>
      <c r="M20" s="12" t="s">
        <v>288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3">
      <c r="I21" s="12" t="s">
        <v>259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288</v>
      </c>
    </row>
    <row r="22" spans="2:23" ht="15.75" customHeight="1" x14ac:dyDescent="0.3">
      <c r="J22" s="12" t="str">
        <v>IMP-DSL</v>
      </c>
      <c r="K22" s="12" t="str">
        <v>Importacion de Diesel</v>
      </c>
      <c r="L22" s="12" t="s">
        <v>59</v>
      </c>
      <c r="M22" s="12" t="s">
        <v>288</v>
      </c>
    </row>
    <row r="23" spans="2:23" ht="15.75" customHeight="1" x14ac:dyDescent="0.3">
      <c r="J23" s="12" t="str">
        <v>IMP-KER</v>
      </c>
      <c r="K23" s="12" t="str">
        <v>Importacion de Keroseno-Jet</v>
      </c>
      <c r="L23" s="12" t="s">
        <v>59</v>
      </c>
      <c r="M23" s="12" t="s">
        <v>288</v>
      </c>
    </row>
    <row r="24" spans="2:23" ht="15.75" customHeight="1" x14ac:dyDescent="0.3">
      <c r="J24" s="12" t="str">
        <v>IMP-LPG</v>
      </c>
      <c r="K24" s="12" t="str">
        <v>Importacion de LPG</v>
      </c>
      <c r="L24" s="12" t="s">
        <v>59</v>
      </c>
      <c r="M24" s="12" t="s">
        <v>288</v>
      </c>
    </row>
    <row r="25" spans="2:23" ht="15.75" customHeight="1" x14ac:dyDescent="0.3">
      <c r="J25" s="12" t="str">
        <v>IMP-HFO</v>
      </c>
      <c r="K25" s="12" t="str">
        <v>Importacion de Combustoleo</v>
      </c>
      <c r="L25" s="12" t="s">
        <v>59</v>
      </c>
      <c r="M25" s="12" t="s">
        <v>288</v>
      </c>
    </row>
    <row r="26" spans="2:23" ht="15.75" customHeight="1" x14ac:dyDescent="0.3">
      <c r="J26" s="12" t="str">
        <v>IMP-ETH</v>
      </c>
      <c r="K26" s="12" t="str">
        <v>Importacion de Etanol</v>
      </c>
      <c r="L26" s="12" t="s">
        <v>59</v>
      </c>
      <c r="M26" s="12" t="s">
        <v>288</v>
      </c>
    </row>
    <row r="27" spans="2:23" ht="15.75" customHeight="1" x14ac:dyDescent="0.3">
      <c r="J27" s="12" t="str">
        <v>IMP-BDSL</v>
      </c>
      <c r="K27" s="12" t="str">
        <v>Importacion de Biodiesel</v>
      </c>
      <c r="L27" s="12" t="s">
        <v>59</v>
      </c>
      <c r="M27" s="12" t="s">
        <v>288</v>
      </c>
    </row>
    <row r="28" spans="2:23" ht="15.75" customHeight="1" x14ac:dyDescent="0.3">
      <c r="J28" s="12" t="str">
        <v>IMP-GAS</v>
      </c>
      <c r="K28" s="12" t="str">
        <v>Importacion de Gasolina natural</v>
      </c>
      <c r="L28" s="12" t="s">
        <v>59</v>
      </c>
      <c r="M28" s="12" t="s">
        <v>288</v>
      </c>
    </row>
    <row r="29" spans="2:23" ht="15.75" customHeight="1" x14ac:dyDescent="0.3">
      <c r="J29" s="12" t="str">
        <v>IMP-LOIL</v>
      </c>
      <c r="K29" s="12" t="str">
        <v>Importacion de Petroleo liviano</v>
      </c>
      <c r="L29" s="12" t="s">
        <v>59</v>
      </c>
      <c r="M29" s="12" t="s">
        <v>288</v>
      </c>
    </row>
    <row r="30" spans="2:23" ht="15.75" customHeight="1" x14ac:dyDescent="0.3">
      <c r="J30" s="12" t="str">
        <v>IMP-MOIL</v>
      </c>
      <c r="K30" s="12" t="str">
        <v>Importacion de Petroleo mediano</v>
      </c>
      <c r="L30" s="12" t="s">
        <v>59</v>
      </c>
      <c r="M30" s="12" t="s">
        <v>288</v>
      </c>
    </row>
    <row r="31" spans="2:23" ht="15.75" customHeight="1" x14ac:dyDescent="0.3">
      <c r="E31">
        <f>3299*1.38</f>
        <v>4552.62</v>
      </c>
      <c r="J31" s="12" t="str">
        <v>IMP-HOIL</v>
      </c>
      <c r="K31" s="12" t="str">
        <v>Importacion de Petroleo pesado</v>
      </c>
      <c r="L31" s="12" t="s">
        <v>59</v>
      </c>
      <c r="M31" s="12" t="s">
        <v>288</v>
      </c>
    </row>
    <row r="32" spans="2:23" ht="15.75" customHeight="1" x14ac:dyDescent="0.3">
      <c r="B32" s="961" t="s">
        <v>796</v>
      </c>
      <c r="D32" s="12">
        <v>3299</v>
      </c>
      <c r="E32" s="12" t="s">
        <v>797</v>
      </c>
      <c r="J32" s="12" t="s">
        <v>798</v>
      </c>
      <c r="K32" s="12" t="s">
        <v>799</v>
      </c>
      <c r="L32" s="12" t="s">
        <v>59</v>
      </c>
      <c r="M32" s="12" t="s">
        <v>288</v>
      </c>
    </row>
    <row r="33" spans="2:23" ht="15.75" customHeight="1" x14ac:dyDescent="0.3">
      <c r="J33" s="12" t="s">
        <v>800</v>
      </c>
      <c r="K33" s="12" t="s">
        <v>801</v>
      </c>
      <c r="L33" s="12" t="s">
        <v>59</v>
      </c>
      <c r="M33" s="12" t="s">
        <v>288</v>
      </c>
    </row>
    <row r="34" spans="2:23" ht="15.75" customHeight="1" x14ac:dyDescent="0.3">
      <c r="J34" s="901" t="s">
        <v>1700</v>
      </c>
      <c r="K34" s="901" t="s">
        <v>1702</v>
      </c>
      <c r="L34" s="12" t="s">
        <v>59</v>
      </c>
      <c r="M34" s="12" t="s">
        <v>288</v>
      </c>
    </row>
    <row r="35" spans="2:23" ht="15.75" customHeight="1" x14ac:dyDescent="0.3">
      <c r="J35" s="901" t="s">
        <v>1701</v>
      </c>
      <c r="K35" s="901" t="s">
        <v>1703</v>
      </c>
      <c r="L35" s="12" t="s">
        <v>59</v>
      </c>
      <c r="M35" s="12" t="s">
        <v>288</v>
      </c>
    </row>
    <row r="36" spans="2:23" ht="15.75" customHeight="1" x14ac:dyDescent="0.3">
      <c r="J36" s="958" t="s">
        <v>1775</v>
      </c>
      <c r="K36" s="958" t="s">
        <v>1776</v>
      </c>
      <c r="L36" s="958" t="s">
        <v>59</v>
      </c>
      <c r="M36" s="958" t="s">
        <v>288</v>
      </c>
    </row>
    <row r="37" spans="2:23" ht="15.75" customHeight="1" x14ac:dyDescent="0.3"/>
    <row r="38" spans="2:23" ht="15.75" customHeight="1" x14ac:dyDescent="0.3">
      <c r="D38" s="12">
        <v>287</v>
      </c>
      <c r="E38" s="12" t="s">
        <v>802</v>
      </c>
    </row>
    <row r="39" spans="2:23" ht="15.75" customHeight="1" x14ac:dyDescent="0.3">
      <c r="D39" s="205">
        <f>+D38/D32</f>
        <v>8.6996059411943008E-2</v>
      </c>
      <c r="E39" s="12" t="s">
        <v>803</v>
      </c>
      <c r="I39" s="206" t="s">
        <v>804</v>
      </c>
      <c r="J39" s="207"/>
      <c r="K39" s="207"/>
      <c r="L39" s="207"/>
      <c r="M39" s="206"/>
    </row>
    <row r="40" spans="2:23" ht="15.75" customHeight="1" x14ac:dyDescent="0.3">
      <c r="I40" s="208" t="s">
        <v>272</v>
      </c>
      <c r="J40" s="209" t="s">
        <v>805</v>
      </c>
      <c r="K40" s="208" t="s">
        <v>806</v>
      </c>
      <c r="L40" s="210" t="s">
        <v>807</v>
      </c>
      <c r="M40" s="210" t="s">
        <v>808</v>
      </c>
      <c r="N40" s="210" t="s">
        <v>809</v>
      </c>
      <c r="O40" s="210" t="s">
        <v>810</v>
      </c>
      <c r="P40" s="210" t="s">
        <v>811</v>
      </c>
      <c r="Q40" s="210" t="s">
        <v>812</v>
      </c>
      <c r="R40" s="210" t="s">
        <v>813</v>
      </c>
      <c r="S40" s="210" t="s">
        <v>814</v>
      </c>
    </row>
    <row r="41" spans="2:23" ht="15.75" customHeight="1" x14ac:dyDescent="0.3">
      <c r="I41" s="211" t="s">
        <v>815</v>
      </c>
      <c r="J41" s="211" t="s">
        <v>816</v>
      </c>
      <c r="K41" s="211" t="s">
        <v>817</v>
      </c>
      <c r="L41" s="212" t="s">
        <v>818</v>
      </c>
      <c r="M41" s="212" t="s">
        <v>818</v>
      </c>
      <c r="N41" s="212" t="s">
        <v>818</v>
      </c>
      <c r="O41" s="212" t="s">
        <v>818</v>
      </c>
      <c r="P41" s="212" t="s">
        <v>818</v>
      </c>
      <c r="Q41" s="212" t="s">
        <v>818</v>
      </c>
      <c r="R41" s="212" t="s">
        <v>818</v>
      </c>
      <c r="S41" s="212" t="s">
        <v>818</v>
      </c>
    </row>
    <row r="42" spans="2:23" ht="15.75" customHeight="1" x14ac:dyDescent="0.3">
      <c r="I42" s="211"/>
      <c r="J42" s="213"/>
      <c r="K42" s="213"/>
      <c r="L42" s="213" t="s">
        <v>819</v>
      </c>
      <c r="M42" s="213" t="s">
        <v>819</v>
      </c>
      <c r="N42" s="213" t="s">
        <v>819</v>
      </c>
      <c r="O42" s="213" t="s">
        <v>819</v>
      </c>
      <c r="P42" s="213" t="s">
        <v>819</v>
      </c>
      <c r="Q42" s="213" t="s">
        <v>819</v>
      </c>
      <c r="R42" s="213" t="s">
        <v>819</v>
      </c>
      <c r="S42" s="213" t="s">
        <v>819</v>
      </c>
    </row>
    <row r="43" spans="2:23" ht="15.75" customHeight="1" x14ac:dyDescent="0.3">
      <c r="I43" s="12" t="str">
        <f t="shared" ref="I43:I54" si="2">+J8</f>
        <v>EXP-GSL</v>
      </c>
      <c r="J43" s="214" t="str">
        <f t="shared" ref="J43:J48" si="3">+RIGHT(I43,3)</f>
        <v>GSL</v>
      </c>
      <c r="K43" s="214"/>
      <c r="L43" s="215">
        <f t="shared" ref="L43:S43" si="4">+J127</f>
        <v>20.996445954041999</v>
      </c>
      <c r="M43" s="215">
        <f t="shared" si="4"/>
        <v>20.795929580790002</v>
      </c>
      <c r="N43" s="215">
        <f t="shared" si="4"/>
        <v>20.716882590807003</v>
      </c>
      <c r="O43" s="215">
        <f t="shared" si="4"/>
        <v>22.202066334591002</v>
      </c>
      <c r="P43" s="215">
        <f t="shared" si="4"/>
        <v>23.568165402677998</v>
      </c>
      <c r="Q43" s="215">
        <f t="shared" si="4"/>
        <v>24.597135442035</v>
      </c>
      <c r="R43" s="215">
        <f t="shared" si="4"/>
        <v>25.886116327734001</v>
      </c>
      <c r="S43" s="215">
        <f t="shared" si="4"/>
        <v>27.153960894333</v>
      </c>
      <c r="T43" s="215"/>
      <c r="U43" s="215">
        <v>14.26</v>
      </c>
      <c r="V43" s="215"/>
      <c r="W43" s="215"/>
    </row>
    <row r="44" spans="2:23" ht="15.75" customHeight="1" x14ac:dyDescent="0.3">
      <c r="B44" s="216" t="s">
        <v>820</v>
      </c>
      <c r="C44" s="216"/>
      <c r="D44" s="216"/>
      <c r="E44" s="216">
        <v>0.125</v>
      </c>
      <c r="F44" s="216" t="s">
        <v>821</v>
      </c>
      <c r="I44" s="12" t="str">
        <f t="shared" si="2"/>
        <v>EXP-DSL</v>
      </c>
      <c r="J44" s="214" t="str">
        <f t="shared" si="3"/>
        <v>DSL</v>
      </c>
      <c r="K44" s="214"/>
      <c r="L44" s="215">
        <f t="shared" ref="L44:S44" si="5">+J128</f>
        <v>20.905026160941002</v>
      </c>
      <c r="M44" s="215">
        <f t="shared" si="5"/>
        <v>20.219447377232999</v>
      </c>
      <c r="N44" s="215">
        <f t="shared" si="5"/>
        <v>20.630671999937999</v>
      </c>
      <c r="O44" s="215">
        <f t="shared" si="5"/>
        <v>21.930071290101001</v>
      </c>
      <c r="P44" s="215">
        <f t="shared" si="5"/>
        <v>23.082531458571001</v>
      </c>
      <c r="Q44" s="215">
        <f t="shared" si="5"/>
        <v>23.875429665555</v>
      </c>
      <c r="R44" s="215">
        <f t="shared" si="5"/>
        <v>25.090517790116998</v>
      </c>
      <c r="S44" s="215">
        <f t="shared" si="5"/>
        <v>25.880965890156002</v>
      </c>
      <c r="T44" s="215"/>
      <c r="U44" s="215">
        <v>16.96</v>
      </c>
      <c r="V44" s="215"/>
      <c r="W44" s="215"/>
    </row>
    <row r="45" spans="2:23" ht="15.75" customHeight="1" x14ac:dyDescent="0.3">
      <c r="E45" s="12">
        <f>+E44*1000000</f>
        <v>125000</v>
      </c>
      <c r="F45" s="12" t="s">
        <v>822</v>
      </c>
      <c r="I45" s="12" t="str">
        <f t="shared" si="2"/>
        <v>EXP-KER</v>
      </c>
      <c r="J45" s="214" t="str">
        <f t="shared" si="3"/>
        <v>KER</v>
      </c>
      <c r="K45" s="214"/>
      <c r="L45" s="215">
        <f t="shared" ref="L45:S45" si="6">+J129</f>
        <v>13.877034192216</v>
      </c>
      <c r="M45" s="215">
        <f t="shared" si="6"/>
        <v>13.695434350650002</v>
      </c>
      <c r="N45" s="215">
        <f t="shared" si="6"/>
        <v>14.458260219857999</v>
      </c>
      <c r="O45" s="215">
        <f t="shared" si="6"/>
        <v>15.795199697939999</v>
      </c>
      <c r="P45" s="215">
        <f t="shared" si="6"/>
        <v>17.191836481949998</v>
      </c>
      <c r="Q45" s="215">
        <f t="shared" si="6"/>
        <v>18.196136740431001</v>
      </c>
      <c r="R45" s="215">
        <f t="shared" si="6"/>
        <v>19.62033319935</v>
      </c>
      <c r="S45" s="215">
        <f t="shared" si="6"/>
        <v>20.718097692200999</v>
      </c>
      <c r="T45" s="215"/>
      <c r="U45" s="215">
        <v>11.91</v>
      </c>
      <c r="V45" s="215"/>
      <c r="W45" s="215"/>
    </row>
    <row r="46" spans="2:23" ht="15.75" customHeight="1" x14ac:dyDescent="0.3">
      <c r="E46" s="12">
        <f>+E45/(1000000)</f>
        <v>0.125</v>
      </c>
      <c r="F46" s="12" t="s">
        <v>823</v>
      </c>
      <c r="I46" s="12" t="str">
        <f t="shared" si="2"/>
        <v>EXP-LPG</v>
      </c>
      <c r="J46" s="214" t="str">
        <f t="shared" si="3"/>
        <v>LPG</v>
      </c>
      <c r="K46" s="214"/>
      <c r="L46" s="215">
        <f t="shared" ref="L46:S46" si="7">+J130</f>
        <v>17.551047751146001</v>
      </c>
      <c r="M46" s="215">
        <f t="shared" si="7"/>
        <v>16.867144707893999</v>
      </c>
      <c r="N46" s="215">
        <f t="shared" si="7"/>
        <v>19.872932116751997</v>
      </c>
      <c r="O46" s="215">
        <f t="shared" si="7"/>
        <v>22.022557377326997</v>
      </c>
      <c r="P46" s="215">
        <f t="shared" si="7"/>
        <v>22.891725470484001</v>
      </c>
      <c r="Q46" s="215">
        <f t="shared" si="7"/>
        <v>24.412499742618003</v>
      </c>
      <c r="R46" s="215">
        <f t="shared" si="7"/>
        <v>25.877700660591003</v>
      </c>
      <c r="S46" s="215">
        <f t="shared" si="7"/>
        <v>27.425805235919999</v>
      </c>
      <c r="T46" s="215"/>
      <c r="U46" s="215">
        <v>6.34</v>
      </c>
      <c r="V46" s="215"/>
      <c r="W46" s="215"/>
    </row>
    <row r="47" spans="2:23" ht="15.75" customHeight="1" x14ac:dyDescent="0.3">
      <c r="E47" s="12">
        <f>+E46/0.0036</f>
        <v>34.722222222222221</v>
      </c>
      <c r="F47" s="12" t="s">
        <v>773</v>
      </c>
      <c r="I47" s="12" t="str">
        <f t="shared" si="2"/>
        <v>EXP-HFO</v>
      </c>
      <c r="J47" s="214" t="str">
        <f t="shared" si="3"/>
        <v>HFO</v>
      </c>
      <c r="K47" s="214"/>
      <c r="L47" s="215">
        <f t="shared" ref="L47:S47" si="8">+J131</f>
        <v>9.2415067298189992</v>
      </c>
      <c r="M47" s="215">
        <f t="shared" si="8"/>
        <v>9.6605963379900004</v>
      </c>
      <c r="N47" s="215">
        <f t="shared" si="8"/>
        <v>9.3615136314569991</v>
      </c>
      <c r="O47" s="215">
        <f t="shared" si="8"/>
        <v>10.777456499940001</v>
      </c>
      <c r="P47" s="215">
        <f t="shared" si="8"/>
        <v>12.03505800822</v>
      </c>
      <c r="Q47" s="215">
        <f t="shared" si="8"/>
        <v>13.376972577735</v>
      </c>
      <c r="R47" s="215">
        <f t="shared" si="8"/>
        <v>14.299692331392</v>
      </c>
      <c r="S47" s="215">
        <f t="shared" si="8"/>
        <v>15.089726235401999</v>
      </c>
      <c r="T47" s="215"/>
      <c r="U47" s="215">
        <v>8.2100000000000009</v>
      </c>
      <c r="V47" s="215"/>
      <c r="W47" s="215"/>
    </row>
    <row r="48" spans="2:23" ht="15.75" customHeight="1" x14ac:dyDescent="0.3">
      <c r="I48" s="12" t="str">
        <f t="shared" si="2"/>
        <v>EXP-ETH</v>
      </c>
      <c r="J48" s="214" t="str">
        <f t="shared" si="3"/>
        <v>ETH</v>
      </c>
      <c r="K48" s="214"/>
      <c r="L48" s="215">
        <f t="shared" ref="L48:S48" si="9">+J132</f>
        <v>15.484369752577541</v>
      </c>
      <c r="M48" s="215">
        <f t="shared" si="9"/>
        <v>15.076841521470868</v>
      </c>
      <c r="N48" s="215">
        <f t="shared" si="9"/>
        <v>16.842423718223472</v>
      </c>
      <c r="O48" s="215">
        <f t="shared" si="9"/>
        <v>19.600166238545455</v>
      </c>
      <c r="P48" s="215">
        <f t="shared" si="9"/>
        <v>19.747825616593868</v>
      </c>
      <c r="Q48" s="215">
        <f t="shared" si="9"/>
        <v>20.304548193105546</v>
      </c>
      <c r="R48" s="215">
        <f t="shared" si="9"/>
        <v>21.409220503499576</v>
      </c>
      <c r="S48" s="215">
        <f t="shared" si="9"/>
        <v>24.151142776321418</v>
      </c>
      <c r="T48" s="215"/>
      <c r="U48" s="215">
        <v>26</v>
      </c>
      <c r="V48" s="215"/>
      <c r="W48" s="215"/>
    </row>
    <row r="49" spans="2:23" ht="15.75" customHeight="1" x14ac:dyDescent="0.3">
      <c r="I49" s="12" t="str">
        <f t="shared" si="2"/>
        <v>EXP-BDSL</v>
      </c>
      <c r="J49" s="214" t="str">
        <f>+RIGHT(I49,4)</f>
        <v>BDSL</v>
      </c>
      <c r="K49" s="214"/>
      <c r="L49" s="215">
        <f t="shared" ref="L49:S49" si="10">+J133</f>
        <v>27.015813128159731</v>
      </c>
      <c r="M49" s="215">
        <f t="shared" si="10"/>
        <v>26.129831538723028</v>
      </c>
      <c r="N49" s="215">
        <f t="shared" si="10"/>
        <v>26.661261993541277</v>
      </c>
      <c r="O49" s="215">
        <f t="shared" si="10"/>
        <v>28.340491100056148</v>
      </c>
      <c r="P49" s="215">
        <f t="shared" si="10"/>
        <v>29.829829037705093</v>
      </c>
      <c r="Q49" s="215">
        <f t="shared" si="10"/>
        <v>30.854500790068418</v>
      </c>
      <c r="R49" s="215">
        <f t="shared" si="10"/>
        <v>32.424773577803386</v>
      </c>
      <c r="S49" s="215">
        <f t="shared" si="10"/>
        <v>33.446279027916688</v>
      </c>
      <c r="T49" s="215"/>
      <c r="U49" s="215">
        <v>29</v>
      </c>
      <c r="V49" s="215"/>
      <c r="W49" s="215"/>
    </row>
    <row r="50" spans="2:23" ht="15.75" customHeight="1" x14ac:dyDescent="0.3">
      <c r="B50" s="217" t="s">
        <v>824</v>
      </c>
      <c r="C50" s="217"/>
      <c r="D50" s="217"/>
      <c r="E50" s="218">
        <v>0.25</v>
      </c>
      <c r="I50" s="12" t="str">
        <f t="shared" si="2"/>
        <v>EXP-GAS</v>
      </c>
      <c r="J50" s="214" t="str">
        <f>+RIGHT(I50,3)</f>
        <v>GAS</v>
      </c>
      <c r="K50" s="214"/>
      <c r="L50" s="215">
        <f t="shared" ref="L50:S50" si="11">+J134</f>
        <v>4.769127007632</v>
      </c>
      <c r="M50" s="215">
        <f t="shared" si="11"/>
        <v>4.5122894526059998</v>
      </c>
      <c r="N50" s="215">
        <f t="shared" si="11"/>
        <v>4.9274484636779992</v>
      </c>
      <c r="O50" s="215">
        <f t="shared" si="11"/>
        <v>5.3827086642029993</v>
      </c>
      <c r="P50" s="215">
        <f t="shared" si="11"/>
        <v>5.4401245746119997</v>
      </c>
      <c r="Q50" s="215">
        <f t="shared" si="11"/>
        <v>5.4800854871490001</v>
      </c>
      <c r="R50" s="215">
        <f t="shared" si="11"/>
        <v>5.5431115263809998</v>
      </c>
      <c r="S50" s="215">
        <f t="shared" si="11"/>
        <v>5.7037579775280003</v>
      </c>
      <c r="T50" s="215"/>
      <c r="U50" s="215">
        <v>5.6</v>
      </c>
      <c r="V50" s="215"/>
      <c r="W50" s="215"/>
    </row>
    <row r="51" spans="2:23" ht="15.75" customHeight="1" x14ac:dyDescent="0.3">
      <c r="I51" s="12" t="str">
        <f t="shared" si="2"/>
        <v>EXP-LOIL</v>
      </c>
      <c r="J51" s="214" t="str">
        <f t="shared" ref="J51:J53" si="12">+RIGHT(I51,4)</f>
        <v>LOIL</v>
      </c>
      <c r="K51" s="214"/>
      <c r="L51" s="215">
        <f t="shared" ref="L51:S51" si="13">+J138</f>
        <v>9.4202649837693002</v>
      </c>
      <c r="M51" s="215">
        <f t="shared" si="13"/>
        <v>8.8971488688237894</v>
      </c>
      <c r="N51" s="215">
        <f t="shared" si="13"/>
        <v>10.809495075642701</v>
      </c>
      <c r="O51" s="215">
        <f t="shared" si="13"/>
        <v>11.944874310089356</v>
      </c>
      <c r="P51" s="215">
        <f t="shared" si="13"/>
        <v>13.287214218828185</v>
      </c>
      <c r="Q51" s="215">
        <f t="shared" si="13"/>
        <v>14.355702223711937</v>
      </c>
      <c r="R51" s="215">
        <f t="shared" si="13"/>
        <v>15.630732976072419</v>
      </c>
      <c r="S51" s="215">
        <f t="shared" si="13"/>
        <v>16.864994934098721</v>
      </c>
      <c r="T51" s="215"/>
      <c r="U51" s="215">
        <v>7.26</v>
      </c>
      <c r="V51" s="215"/>
      <c r="W51" s="215"/>
    </row>
    <row r="52" spans="2:23" ht="15.75" customHeight="1" x14ac:dyDescent="0.3">
      <c r="I52" s="12" t="str">
        <f t="shared" si="2"/>
        <v>EXP-MOIL</v>
      </c>
      <c r="J52" s="214" t="str">
        <f t="shared" si="12"/>
        <v>MOIL</v>
      </c>
      <c r="K52" s="214"/>
      <c r="L52" s="215">
        <f t="shared" ref="L52:S52" si="14">+J136</f>
        <v>8.6667911578505592</v>
      </c>
      <c r="M52" s="215">
        <f t="shared" si="14"/>
        <v>8.1855161483523844</v>
      </c>
      <c r="N52" s="215">
        <f t="shared" si="14"/>
        <v>9.9449045758078007</v>
      </c>
      <c r="O52" s="215">
        <f t="shared" si="14"/>
        <v>10.989471233631489</v>
      </c>
      <c r="P52" s="215">
        <f t="shared" si="14"/>
        <v>12.224444949544161</v>
      </c>
      <c r="Q52" s="215">
        <f t="shared" si="14"/>
        <v>13.207470629708267</v>
      </c>
      <c r="R52" s="215">
        <f t="shared" si="14"/>
        <v>14.380518868753001</v>
      </c>
      <c r="S52" s="215">
        <f t="shared" si="14"/>
        <v>15.516059179213938</v>
      </c>
      <c r="T52" s="215"/>
      <c r="U52" s="215">
        <v>7.01</v>
      </c>
      <c r="V52" s="215"/>
      <c r="W52" s="215"/>
    </row>
    <row r="53" spans="2:23" ht="15.75" customHeight="1" x14ac:dyDescent="0.3">
      <c r="I53" s="12" t="str">
        <f t="shared" si="2"/>
        <v>EXP-HOIL</v>
      </c>
      <c r="J53" s="966" t="str">
        <f t="shared" si="12"/>
        <v>HOIL</v>
      </c>
      <c r="K53" s="966"/>
      <c r="L53" s="967">
        <f t="shared" ref="L53:S53" si="15">+J137</f>
        <v>7.1598435060130816</v>
      </c>
      <c r="M53" s="215">
        <f t="shared" si="15"/>
        <v>6.7622507074095797</v>
      </c>
      <c r="N53" s="215">
        <f t="shared" si="15"/>
        <v>8.215723576138009</v>
      </c>
      <c r="O53" s="215">
        <f t="shared" si="15"/>
        <v>9.0786650807157603</v>
      </c>
      <c r="P53" s="215">
        <f t="shared" si="15"/>
        <v>10.098906410976124</v>
      </c>
      <c r="Q53" s="215">
        <f t="shared" si="15"/>
        <v>10.911007441700926</v>
      </c>
      <c r="R53" s="215">
        <f t="shared" si="15"/>
        <v>11.88009065411417</v>
      </c>
      <c r="S53" s="215">
        <f t="shared" si="15"/>
        <v>12.818187669444375</v>
      </c>
      <c r="T53" s="215"/>
      <c r="U53" s="215">
        <v>6.76</v>
      </c>
      <c r="V53" s="215"/>
      <c r="W53" s="215"/>
    </row>
    <row r="54" spans="2:23" ht="15.75" customHeight="1" x14ac:dyDescent="0.3">
      <c r="I54" s="12" t="str">
        <f t="shared" si="2"/>
        <v>EXP-SIN</v>
      </c>
      <c r="J54" s="219" t="s">
        <v>825</v>
      </c>
      <c r="K54" s="214"/>
      <c r="L54" s="220">
        <f>+E47</f>
        <v>34.722222222222221</v>
      </c>
      <c r="M54" s="220">
        <f t="shared" ref="M54:S54" si="16">+L54</f>
        <v>34.722222222222221</v>
      </c>
      <c r="N54" s="220">
        <f t="shared" si="16"/>
        <v>34.722222222222221</v>
      </c>
      <c r="O54" s="220">
        <f t="shared" si="16"/>
        <v>34.722222222222221</v>
      </c>
      <c r="P54" s="220">
        <f t="shared" si="16"/>
        <v>34.722222222222221</v>
      </c>
      <c r="Q54" s="220">
        <f t="shared" si="16"/>
        <v>34.722222222222221</v>
      </c>
      <c r="R54" s="220">
        <f t="shared" si="16"/>
        <v>34.722222222222221</v>
      </c>
      <c r="S54" s="220">
        <f t="shared" si="16"/>
        <v>34.722222222222221</v>
      </c>
    </row>
    <row r="55" spans="2:23" ht="15.75" customHeight="1" x14ac:dyDescent="0.3">
      <c r="I55" s="12" t="s">
        <v>794</v>
      </c>
      <c r="J55" s="221" t="str">
        <f>+RIGHT(I55,3)</f>
        <v>AVG</v>
      </c>
      <c r="L55" s="222">
        <v>21.450884058013838</v>
      </c>
      <c r="M55" s="222">
        <v>21.173796174722664</v>
      </c>
      <c r="N55" s="222">
        <v>22.060639953463127</v>
      </c>
      <c r="O55" s="222">
        <v>24.100563154252466</v>
      </c>
      <c r="P55" s="222">
        <v>26.231573439673227</v>
      </c>
      <c r="Q55" s="222">
        <v>27.763950507910614</v>
      </c>
      <c r="R55" s="222">
        <v>29.937011777070548</v>
      </c>
      <c r="S55" s="222">
        <v>31.611998038364984</v>
      </c>
    </row>
    <row r="56" spans="2:23" ht="15.75" customHeight="1" x14ac:dyDescent="0.3">
      <c r="I56" s="12" t="str">
        <f t="shared" ref="I56:I67" si="17">+J21</f>
        <v>IMP-GSL</v>
      </c>
      <c r="J56" s="214"/>
      <c r="K56" s="214" t="str">
        <f t="shared" ref="K56:K61" si="18">+RIGHT(I56,3)</f>
        <v>GSL</v>
      </c>
      <c r="L56" s="223">
        <f t="shared" ref="L56:S56" si="19">+L43+($E$50*L43)</f>
        <v>26.245557442552499</v>
      </c>
      <c r="M56" s="224">
        <f t="shared" si="19"/>
        <v>25.994911975987502</v>
      </c>
      <c r="N56" s="224">
        <f t="shared" si="19"/>
        <v>25.896103238508754</v>
      </c>
      <c r="O56" s="224">
        <f t="shared" si="19"/>
        <v>27.752582918238751</v>
      </c>
      <c r="P56" s="224">
        <f t="shared" si="19"/>
        <v>29.460206753347499</v>
      </c>
      <c r="Q56" s="224">
        <f t="shared" si="19"/>
        <v>30.74641930254375</v>
      </c>
      <c r="R56" s="224">
        <f t="shared" si="19"/>
        <v>32.357645409667498</v>
      </c>
      <c r="S56" s="224">
        <f t="shared" si="19"/>
        <v>33.942451117916249</v>
      </c>
    </row>
    <row r="57" spans="2:23" ht="15.75" customHeight="1" x14ac:dyDescent="0.3">
      <c r="I57" s="12" t="str">
        <f t="shared" si="17"/>
        <v>IMP-DSL</v>
      </c>
      <c r="J57" s="214"/>
      <c r="K57" s="214" t="str">
        <f t="shared" si="18"/>
        <v>DSL</v>
      </c>
      <c r="L57" s="225">
        <f t="shared" ref="L57:S57" si="20">+L44+($E$50*L44)</f>
        <v>26.131282701176254</v>
      </c>
      <c r="M57" s="224">
        <f t="shared" si="20"/>
        <v>25.274309221541248</v>
      </c>
      <c r="N57" s="224">
        <f t="shared" si="20"/>
        <v>25.788339999922499</v>
      </c>
      <c r="O57" s="224">
        <f t="shared" si="20"/>
        <v>27.41258911262625</v>
      </c>
      <c r="P57" s="224">
        <f t="shared" si="20"/>
        <v>28.85316432321375</v>
      </c>
      <c r="Q57" s="224">
        <f t="shared" si="20"/>
        <v>29.844287081943751</v>
      </c>
      <c r="R57" s="224">
        <f t="shared" si="20"/>
        <v>31.363147237646245</v>
      </c>
      <c r="S57" s="224">
        <f t="shared" si="20"/>
        <v>32.351207362695</v>
      </c>
    </row>
    <row r="58" spans="2:23" ht="15.75" customHeight="1" x14ac:dyDescent="0.3">
      <c r="E58">
        <f>64.7*L50</f>
        <v>308.56251739379042</v>
      </c>
      <c r="F58" s="803" t="s">
        <v>59</v>
      </c>
      <c r="I58" s="12" t="str">
        <f t="shared" si="17"/>
        <v>IMP-KER</v>
      </c>
      <c r="J58" s="214"/>
      <c r="K58" s="214" t="str">
        <f t="shared" si="18"/>
        <v>KER</v>
      </c>
      <c r="L58" s="224">
        <f t="shared" ref="L58:S58" si="21">+L45+($E$50*L45)</f>
        <v>17.346292740269998</v>
      </c>
      <c r="M58" s="224">
        <f t="shared" si="21"/>
        <v>17.119292938312501</v>
      </c>
      <c r="N58" s="224">
        <f t="shared" si="21"/>
        <v>18.072825274822499</v>
      </c>
      <c r="O58" s="224">
        <f t="shared" si="21"/>
        <v>19.743999622425001</v>
      </c>
      <c r="P58" s="224">
        <f t="shared" si="21"/>
        <v>21.489795602437496</v>
      </c>
      <c r="Q58" s="224">
        <f t="shared" si="21"/>
        <v>22.745170925538751</v>
      </c>
      <c r="R58" s="224">
        <f t="shared" si="21"/>
        <v>24.5254164991875</v>
      </c>
      <c r="S58" s="224">
        <f t="shared" si="21"/>
        <v>25.897622115251249</v>
      </c>
    </row>
    <row r="59" spans="2:23" ht="15.75" customHeight="1" x14ac:dyDescent="0.3">
      <c r="E59">
        <f>+E58*2.7</f>
        <v>833.11879696323422</v>
      </c>
      <c r="F59" s="803" t="s">
        <v>670</v>
      </c>
      <c r="I59" s="12" t="str">
        <f t="shared" si="17"/>
        <v>IMP-LPG</v>
      </c>
      <c r="J59" s="214"/>
      <c r="K59" s="214" t="str">
        <f t="shared" si="18"/>
        <v>LPG</v>
      </c>
      <c r="L59" s="224">
        <f t="shared" ref="L59:S59" si="22">+L46+($E$50*L46)</f>
        <v>21.938809688932501</v>
      </c>
      <c r="M59" s="224">
        <f t="shared" si="22"/>
        <v>21.083930884867499</v>
      </c>
      <c r="N59" s="224">
        <f t="shared" si="22"/>
        <v>24.841165145939996</v>
      </c>
      <c r="O59" s="224">
        <f t="shared" si="22"/>
        <v>27.528196721658745</v>
      </c>
      <c r="P59" s="224">
        <f t="shared" si="22"/>
        <v>28.614656838105002</v>
      </c>
      <c r="Q59" s="224">
        <f t="shared" si="22"/>
        <v>30.515624678272502</v>
      </c>
      <c r="R59" s="224">
        <f t="shared" si="22"/>
        <v>32.347125825738757</v>
      </c>
      <c r="S59" s="224">
        <f t="shared" si="22"/>
        <v>34.282256544900001</v>
      </c>
    </row>
    <row r="60" spans="2:23" ht="15.75" customHeight="1" x14ac:dyDescent="0.3">
      <c r="E60">
        <f>+E59/365</f>
        <v>2.2825172519540664</v>
      </c>
      <c r="F60" s="803" t="s">
        <v>1564</v>
      </c>
      <c r="I60" s="12" t="str">
        <f t="shared" si="17"/>
        <v>IMP-HFO</v>
      </c>
      <c r="J60" s="214"/>
      <c r="K60" s="214" t="str">
        <f t="shared" si="18"/>
        <v>HFO</v>
      </c>
      <c r="L60" s="224">
        <f t="shared" ref="L60:S60" si="23">+L47+($E$50*L47)</f>
        <v>11.551883412273749</v>
      </c>
      <c r="M60" s="224">
        <f t="shared" si="23"/>
        <v>12.0757454224875</v>
      </c>
      <c r="N60" s="224">
        <f t="shared" si="23"/>
        <v>11.701892039321249</v>
      </c>
      <c r="O60" s="224">
        <f t="shared" si="23"/>
        <v>13.471820624925002</v>
      </c>
      <c r="P60" s="224">
        <f t="shared" si="23"/>
        <v>15.043822510275</v>
      </c>
      <c r="Q60" s="224">
        <f t="shared" si="23"/>
        <v>16.721215722168751</v>
      </c>
      <c r="R60" s="224">
        <f t="shared" si="23"/>
        <v>17.874615414240001</v>
      </c>
      <c r="S60" s="224">
        <f t="shared" si="23"/>
        <v>18.8621577942525</v>
      </c>
    </row>
    <row r="61" spans="2:23" ht="15.75" customHeight="1" x14ac:dyDescent="0.3">
      <c r="I61" s="12" t="str">
        <f t="shared" si="17"/>
        <v>IMP-ETH</v>
      </c>
      <c r="J61" s="214"/>
      <c r="K61" s="214" t="str">
        <f t="shared" si="18"/>
        <v>ETH</v>
      </c>
      <c r="L61" s="224">
        <f>+L48+($E$50*L48)</f>
        <v>19.355462190721926</v>
      </c>
      <c r="M61" s="224">
        <f t="shared" ref="M61:S61" si="24">+M48+($E$50*M48)</f>
        <v>18.846051901838585</v>
      </c>
      <c r="N61" s="224">
        <f t="shared" si="24"/>
        <v>21.05302964777934</v>
      </c>
      <c r="O61" s="224">
        <f t="shared" si="24"/>
        <v>24.500207798181819</v>
      </c>
      <c r="P61" s="224">
        <f t="shared" si="24"/>
        <v>24.684782020742336</v>
      </c>
      <c r="Q61" s="224">
        <f t="shared" si="24"/>
        <v>25.380685241381933</v>
      </c>
      <c r="R61" s="224">
        <f t="shared" si="24"/>
        <v>26.761525629374468</v>
      </c>
      <c r="S61" s="224">
        <f t="shared" si="24"/>
        <v>30.188928470401773</v>
      </c>
    </row>
    <row r="62" spans="2:23" ht="15.75" customHeight="1" x14ac:dyDescent="0.3">
      <c r="I62" s="12" t="str">
        <f t="shared" si="17"/>
        <v>IMP-BDSL</v>
      </c>
      <c r="J62" s="214"/>
      <c r="K62" s="214" t="str">
        <f>+RIGHT(I62,4)</f>
        <v>BDSL</v>
      </c>
      <c r="L62" s="224">
        <f t="shared" ref="L62:S62" si="25">+L49+($E$50*L49)</f>
        <v>33.769766410199665</v>
      </c>
      <c r="M62" s="224">
        <f t="shared" si="25"/>
        <v>32.662289423403784</v>
      </c>
      <c r="N62" s="224">
        <f t="shared" si="25"/>
        <v>33.326577491926599</v>
      </c>
      <c r="O62" s="224">
        <f t="shared" si="25"/>
        <v>35.425613875070184</v>
      </c>
      <c r="P62" s="224">
        <f t="shared" si="25"/>
        <v>37.287286297131367</v>
      </c>
      <c r="Q62" s="224">
        <f t="shared" si="25"/>
        <v>38.568125987585525</v>
      </c>
      <c r="R62" s="224">
        <f t="shared" si="25"/>
        <v>40.530966972254234</v>
      </c>
      <c r="S62" s="224">
        <f t="shared" si="25"/>
        <v>41.80784878489586</v>
      </c>
    </row>
    <row r="63" spans="2:23" ht="15.75" customHeight="1" x14ac:dyDescent="0.3">
      <c r="I63" s="12" t="str">
        <f t="shared" si="17"/>
        <v>IMP-GAS</v>
      </c>
      <c r="J63" s="214"/>
      <c r="K63" s="214" t="str">
        <f>+RIGHT(I63,3)</f>
        <v>GAS</v>
      </c>
      <c r="L63" s="224">
        <f t="shared" ref="L63:S63" si="26">+L50+($E$50*L50)</f>
        <v>5.9614087595400003</v>
      </c>
      <c r="M63" s="224">
        <f t="shared" si="26"/>
        <v>5.6403618157574993</v>
      </c>
      <c r="N63" s="224">
        <f t="shared" si="26"/>
        <v>6.1593105795974985</v>
      </c>
      <c r="O63" s="224">
        <f t="shared" si="26"/>
        <v>6.7283858302537496</v>
      </c>
      <c r="P63" s="224">
        <f t="shared" si="26"/>
        <v>6.8001557182649996</v>
      </c>
      <c r="Q63" s="224">
        <f t="shared" si="26"/>
        <v>6.8501068589362504</v>
      </c>
      <c r="R63" s="224">
        <f t="shared" si="26"/>
        <v>6.92888940797625</v>
      </c>
      <c r="S63" s="224">
        <f t="shared" si="26"/>
        <v>7.1296974719100001</v>
      </c>
    </row>
    <row r="64" spans="2:23" ht="15.75" customHeight="1" x14ac:dyDescent="0.3">
      <c r="I64" s="12" t="str">
        <f t="shared" si="17"/>
        <v>IMP-LOIL</v>
      </c>
      <c r="J64" s="214"/>
      <c r="K64" s="214" t="str">
        <f t="shared" ref="K64:K66" si="27">+RIGHT(I64,4)</f>
        <v>LOIL</v>
      </c>
      <c r="L64" s="224">
        <f t="shared" ref="L64:S64" si="28">+L51+($E$50*L51)</f>
        <v>11.775331229711625</v>
      </c>
      <c r="M64" s="224">
        <f t="shared" si="28"/>
        <v>11.121436086029737</v>
      </c>
      <c r="N64" s="224">
        <f t="shared" si="28"/>
        <v>13.511868844553376</v>
      </c>
      <c r="O64" s="224">
        <f t="shared" si="28"/>
        <v>14.931092887611694</v>
      </c>
      <c r="P64" s="224">
        <f t="shared" si="28"/>
        <v>16.609017773535232</v>
      </c>
      <c r="Q64" s="224">
        <f t="shared" si="28"/>
        <v>17.944627779639923</v>
      </c>
      <c r="R64" s="224">
        <f t="shared" si="28"/>
        <v>19.538416220090525</v>
      </c>
      <c r="S64" s="224">
        <f t="shared" si="28"/>
        <v>21.081243667623401</v>
      </c>
    </row>
    <row r="65" spans="2:21" ht="15.75" customHeight="1" x14ac:dyDescent="0.3">
      <c r="I65" s="12" t="str">
        <f t="shared" si="17"/>
        <v>IMP-MOIL</v>
      </c>
      <c r="J65" s="966"/>
      <c r="K65" s="966" t="str">
        <f t="shared" si="27"/>
        <v>MOIL</v>
      </c>
      <c r="L65" s="968">
        <f t="shared" ref="L65:S65" si="29">+L52+($E$50*L52)</f>
        <v>10.833488947313199</v>
      </c>
      <c r="M65" s="224">
        <f t="shared" si="29"/>
        <v>10.23189518544048</v>
      </c>
      <c r="N65" s="224">
        <f t="shared" si="29"/>
        <v>12.43113071975975</v>
      </c>
      <c r="O65" s="224">
        <f t="shared" si="29"/>
        <v>13.736839042039362</v>
      </c>
      <c r="P65" s="224">
        <f t="shared" si="29"/>
        <v>15.280556186930202</v>
      </c>
      <c r="Q65" s="224">
        <f t="shared" si="29"/>
        <v>16.509338287135332</v>
      </c>
      <c r="R65" s="224">
        <f t="shared" si="29"/>
        <v>17.975648585941251</v>
      </c>
      <c r="S65" s="224">
        <f t="shared" si="29"/>
        <v>19.395073974017421</v>
      </c>
    </row>
    <row r="66" spans="2:21" ht="15.75" customHeight="1" x14ac:dyDescent="0.3">
      <c r="I66" s="12" t="str">
        <f t="shared" si="17"/>
        <v>IMP-HOIL</v>
      </c>
      <c r="J66" s="214"/>
      <c r="K66" s="214" t="str">
        <f t="shared" si="27"/>
        <v>HOIL</v>
      </c>
      <c r="L66" s="224">
        <f t="shared" ref="L66:S66" si="30">+L53+($E$50*L53)</f>
        <v>8.9498043825163514</v>
      </c>
      <c r="M66" s="224">
        <f t="shared" si="30"/>
        <v>8.4528133842619742</v>
      </c>
      <c r="N66" s="224">
        <f t="shared" si="30"/>
        <v>10.269654470172512</v>
      </c>
      <c r="O66" s="224">
        <f t="shared" si="30"/>
        <v>11.3483313508947</v>
      </c>
      <c r="P66" s="224">
        <f t="shared" si="30"/>
        <v>12.623633013720156</v>
      </c>
      <c r="Q66" s="224">
        <f t="shared" si="30"/>
        <v>13.638759302126157</v>
      </c>
      <c r="R66" s="224">
        <f t="shared" si="30"/>
        <v>14.850113317642712</v>
      </c>
      <c r="S66" s="224">
        <f t="shared" si="30"/>
        <v>16.02273458680547</v>
      </c>
    </row>
    <row r="67" spans="2:21" ht="15.75" customHeight="1" x14ac:dyDescent="0.3">
      <c r="I67" s="12" t="str">
        <f t="shared" si="17"/>
        <v>IMP-SIN</v>
      </c>
      <c r="J67" s="214"/>
      <c r="K67" s="219" t="s">
        <v>825</v>
      </c>
      <c r="L67" s="226">
        <f>+L54+($E$50*L54)</f>
        <v>43.402777777777779</v>
      </c>
      <c r="M67" s="226">
        <f t="shared" ref="M67:S67" si="31">+L67</f>
        <v>43.402777777777779</v>
      </c>
      <c r="N67" s="226">
        <f t="shared" si="31"/>
        <v>43.402777777777779</v>
      </c>
      <c r="O67" s="226">
        <f t="shared" si="31"/>
        <v>43.402777777777779</v>
      </c>
      <c r="P67" s="226">
        <f t="shared" si="31"/>
        <v>43.402777777777779</v>
      </c>
      <c r="Q67" s="226">
        <f t="shared" si="31"/>
        <v>43.402777777777779</v>
      </c>
      <c r="R67" s="226">
        <f t="shared" si="31"/>
        <v>43.402777777777779</v>
      </c>
      <c r="S67" s="226">
        <f t="shared" si="31"/>
        <v>43.402777777777779</v>
      </c>
    </row>
    <row r="68" spans="2:21" ht="15.75" customHeight="1" x14ac:dyDescent="0.3">
      <c r="I68" s="12" t="s">
        <v>800</v>
      </c>
      <c r="K68" s="227" t="str">
        <f>+J55</f>
        <v>AVG</v>
      </c>
      <c r="L68" s="224">
        <f t="shared" ref="L68:S68" si="32">+L55*(100%+$E$50)</f>
        <v>26.813605072517298</v>
      </c>
      <c r="M68" s="224">
        <f t="shared" si="32"/>
        <v>26.467245218403331</v>
      </c>
      <c r="N68" s="224">
        <f t="shared" si="32"/>
        <v>27.575799941828908</v>
      </c>
      <c r="O68" s="224">
        <f t="shared" si="32"/>
        <v>30.125703942815584</v>
      </c>
      <c r="P68" s="224">
        <f t="shared" si="32"/>
        <v>32.789466799591537</v>
      </c>
      <c r="Q68" s="224">
        <f t="shared" si="32"/>
        <v>34.704938134888266</v>
      </c>
      <c r="R68" s="224">
        <f t="shared" si="32"/>
        <v>37.421264721338183</v>
      </c>
      <c r="S68" s="224">
        <f t="shared" si="32"/>
        <v>39.514997547956227</v>
      </c>
    </row>
    <row r="69" spans="2:21" ht="15.75" customHeight="1" x14ac:dyDescent="0.3">
      <c r="I69" s="958" t="str">
        <f>J36</f>
        <v>IMP-SIN-TRA</v>
      </c>
      <c r="K69" s="959" t="str">
        <f>COMM!D96</f>
        <v>ELC-SIN-TRA</v>
      </c>
      <c r="L69" s="836">
        <f>L67</f>
        <v>43.402777777777779</v>
      </c>
      <c r="M69" s="836">
        <f t="shared" ref="M69:S69" si="33">M67</f>
        <v>43.402777777777779</v>
      </c>
      <c r="N69" s="836">
        <f t="shared" si="33"/>
        <v>43.402777777777779</v>
      </c>
      <c r="O69" s="836">
        <f t="shared" si="33"/>
        <v>43.402777777777779</v>
      </c>
      <c r="P69" s="836">
        <f t="shared" si="33"/>
        <v>43.402777777777779</v>
      </c>
      <c r="Q69" s="836">
        <f t="shared" si="33"/>
        <v>43.402777777777779</v>
      </c>
      <c r="R69" s="836">
        <f t="shared" si="33"/>
        <v>43.402777777777779</v>
      </c>
      <c r="S69" s="836">
        <f t="shared" si="33"/>
        <v>43.402777777777779</v>
      </c>
    </row>
    <row r="70" spans="2:21" ht="15.75" customHeight="1" x14ac:dyDescent="0.3">
      <c r="C70" s="20" t="s">
        <v>1688</v>
      </c>
      <c r="D70" s="20">
        <v>3685</v>
      </c>
      <c r="E70" s="20" t="s">
        <v>1691</v>
      </c>
    </row>
    <row r="71" spans="2:21" ht="15.75" customHeight="1" x14ac:dyDescent="0.3">
      <c r="I71" s="901" t="s">
        <v>1699</v>
      </c>
    </row>
    <row r="72" spans="2:21" ht="15.75" customHeight="1" x14ac:dyDescent="0.3">
      <c r="C72" s="910" t="s">
        <v>1708</v>
      </c>
    </row>
    <row r="73" spans="2:21" ht="15.75" customHeight="1" x14ac:dyDescent="0.3">
      <c r="B73" s="901" t="s">
        <v>477</v>
      </c>
      <c r="C73" s="901" t="s">
        <v>1707</v>
      </c>
      <c r="D73">
        <v>7679</v>
      </c>
      <c r="E73" s="901" t="s">
        <v>1686</v>
      </c>
      <c r="I73" s="206"/>
      <c r="J73" s="207"/>
      <c r="K73" s="207"/>
      <c r="L73" s="207"/>
      <c r="M73" s="206"/>
    </row>
    <row r="74" spans="2:21" ht="15.75" customHeight="1" x14ac:dyDescent="0.3">
      <c r="B74">
        <f>'Bases de Cálculo'!F15/1000000</f>
        <v>2.933593489850151E-6</v>
      </c>
      <c r="C74" s="901" t="s">
        <v>1710</v>
      </c>
      <c r="D74" s="836">
        <f>D73*42/$D$70</f>
        <v>87.521845318860244</v>
      </c>
      <c r="E74" s="901" t="s">
        <v>1452</v>
      </c>
      <c r="I74" s="208" t="s">
        <v>272</v>
      </c>
      <c r="J74" s="209" t="s">
        <v>805</v>
      </c>
      <c r="K74" s="208" t="s">
        <v>806</v>
      </c>
      <c r="L74" s="210" t="s">
        <v>807</v>
      </c>
      <c r="M74" s="210" t="s">
        <v>808</v>
      </c>
      <c r="N74" s="210" t="s">
        <v>809</v>
      </c>
      <c r="O74" s="210" t="s">
        <v>810</v>
      </c>
      <c r="P74" s="210" t="s">
        <v>811</v>
      </c>
      <c r="Q74" s="210" t="s">
        <v>812</v>
      </c>
      <c r="R74" s="210" t="s">
        <v>813</v>
      </c>
      <c r="S74" s="210" t="s">
        <v>814</v>
      </c>
      <c r="T74" s="907" t="s">
        <v>1705</v>
      </c>
      <c r="U74" s="907" t="s">
        <v>1706</v>
      </c>
    </row>
    <row r="75" spans="2:21" ht="15.75" customHeight="1" thickBot="1" x14ac:dyDescent="0.35">
      <c r="D75" s="809">
        <f>(D74/1000000)/B74</f>
        <v>29.834346722432525</v>
      </c>
      <c r="E75" s="901" t="s">
        <v>773</v>
      </c>
      <c r="I75" s="211" t="s">
        <v>815</v>
      </c>
      <c r="J75" s="211" t="s">
        <v>816</v>
      </c>
      <c r="K75" s="211" t="s">
        <v>817</v>
      </c>
      <c r="L75" s="212" t="s">
        <v>818</v>
      </c>
      <c r="M75" s="212" t="s">
        <v>818</v>
      </c>
      <c r="N75" s="212" t="s">
        <v>818</v>
      </c>
      <c r="O75" s="212" t="s">
        <v>818</v>
      </c>
      <c r="P75" s="212" t="s">
        <v>818</v>
      </c>
      <c r="Q75" s="212" t="s">
        <v>818</v>
      </c>
      <c r="R75" s="212" t="s">
        <v>818</v>
      </c>
      <c r="S75" s="212" t="s">
        <v>818</v>
      </c>
      <c r="T75" s="909" t="s">
        <v>1704</v>
      </c>
      <c r="U75" s="909" t="s">
        <v>1704</v>
      </c>
    </row>
    <row r="76" spans="2:21" ht="15.75" customHeight="1" thickBot="1" x14ac:dyDescent="0.35">
      <c r="I76" s="211"/>
      <c r="J76" s="213"/>
      <c r="K76" s="213"/>
      <c r="L76" s="213" t="s">
        <v>819</v>
      </c>
      <c r="M76" s="213" t="s">
        <v>819</v>
      </c>
      <c r="N76" s="213" t="s">
        <v>819</v>
      </c>
      <c r="O76" s="213" t="s">
        <v>819</v>
      </c>
      <c r="P76" s="213" t="s">
        <v>819</v>
      </c>
      <c r="Q76" s="213" t="s">
        <v>819</v>
      </c>
      <c r="R76" s="213" t="s">
        <v>819</v>
      </c>
      <c r="S76" s="213" t="s">
        <v>819</v>
      </c>
      <c r="T76" s="908"/>
      <c r="U76" s="908"/>
    </row>
    <row r="77" spans="2:21" ht="15.75" customHeight="1" x14ac:dyDescent="0.3">
      <c r="I77" t="str">
        <f>J34</f>
        <v>BUY-ETH</v>
      </c>
      <c r="K77" t="str">
        <f>K61</f>
        <v>ETH</v>
      </c>
    </row>
    <row r="78" spans="2:21" ht="15.75" customHeight="1" x14ac:dyDescent="0.3">
      <c r="B78" s="901" t="s">
        <v>477</v>
      </c>
      <c r="C78" s="901" t="s">
        <v>1709</v>
      </c>
      <c r="D78">
        <v>10627</v>
      </c>
      <c r="E78" s="901" t="s">
        <v>1686</v>
      </c>
      <c r="I78" t="str">
        <f>J35</f>
        <v>BUY-BDSL</v>
      </c>
      <c r="K78" t="str">
        <f>K62</f>
        <v>BDSL</v>
      </c>
    </row>
    <row r="79" spans="2:21" ht="15.75" customHeight="1" x14ac:dyDescent="0.3">
      <c r="B79">
        <f>'Bases de Cálculo'!F16/1000000</f>
        <v>5.274111587340502E-6</v>
      </c>
      <c r="C79" s="901" t="s">
        <v>1710</v>
      </c>
      <c r="D79" s="836">
        <f>D78*42/$D$70</f>
        <v>121.12184531886024</v>
      </c>
      <c r="E79" s="901" t="s">
        <v>1452</v>
      </c>
    </row>
    <row r="80" spans="2:21" ht="15.75" customHeight="1" x14ac:dyDescent="0.3">
      <c r="D80" s="809">
        <f>(D79/1000000)/B79</f>
        <v>22.9653550769745</v>
      </c>
      <c r="E80" s="901" t="s">
        <v>773</v>
      </c>
    </row>
    <row r="81" spans="9:13" ht="15.75" customHeight="1" x14ac:dyDescent="0.3"/>
    <row r="82" spans="9:13" ht="15.75" customHeight="1" x14ac:dyDescent="0.3"/>
    <row r="83" spans="9:13" ht="15.75" customHeight="1" x14ac:dyDescent="0.3"/>
    <row r="84" spans="9:13" ht="15.75" customHeight="1" x14ac:dyDescent="0.3">
      <c r="I84" s="12" t="s">
        <v>826</v>
      </c>
    </row>
    <row r="85" spans="9:13" ht="15.75" customHeight="1" x14ac:dyDescent="0.3">
      <c r="J85" s="12" t="s">
        <v>827</v>
      </c>
      <c r="K85" s="18" t="s">
        <v>828</v>
      </c>
      <c r="L85" s="18" t="s">
        <v>829</v>
      </c>
      <c r="M85" s="12" t="s">
        <v>830</v>
      </c>
    </row>
    <row r="86" spans="9:13" ht="15.75" customHeight="1" x14ac:dyDescent="0.3">
      <c r="I86" s="12" t="s">
        <v>831</v>
      </c>
      <c r="J86" s="12" t="s">
        <v>832</v>
      </c>
      <c r="K86" s="18">
        <v>56.261001999999998</v>
      </c>
      <c r="L86" s="18">
        <f t="shared" ref="L86:L88" si="34">+K86/$J$92</f>
        <v>9.9388771706679382</v>
      </c>
    </row>
    <row r="87" spans="9:13" ht="15.75" customHeight="1" x14ac:dyDescent="0.3">
      <c r="I87" s="12" t="s">
        <v>833</v>
      </c>
      <c r="J87" s="12" t="s">
        <v>834</v>
      </c>
      <c r="K87" s="18">
        <f>+K86-4.5</f>
        <v>51.761001999999998</v>
      </c>
      <c r="L87" s="18">
        <f t="shared" si="34"/>
        <v>9.1439224830851291</v>
      </c>
      <c r="M87" s="228">
        <f>+(L87-L86)/L86</f>
        <v>-7.9984355770983381E-2</v>
      </c>
    </row>
    <row r="88" spans="9:13" ht="15.75" customHeight="1" x14ac:dyDescent="0.3">
      <c r="I88" s="12" t="s">
        <v>835</v>
      </c>
      <c r="J88" s="12" t="s">
        <v>836</v>
      </c>
      <c r="K88" s="18">
        <f>+K87-9</f>
        <v>42.761001999999998</v>
      </c>
      <c r="L88" s="18">
        <f t="shared" si="34"/>
        <v>7.5540131079195145</v>
      </c>
      <c r="M88" s="228">
        <f>+(L88-L86)/L86</f>
        <v>-0.2399530673129498</v>
      </c>
    </row>
    <row r="89" spans="9:13" ht="15.75" customHeight="1" x14ac:dyDescent="0.3"/>
    <row r="90" spans="9:13" ht="15.75" customHeight="1" x14ac:dyDescent="0.3"/>
    <row r="91" spans="9:13" ht="15.75" customHeight="1" x14ac:dyDescent="0.3"/>
    <row r="92" spans="9:13" ht="15.75" customHeight="1" x14ac:dyDescent="0.3">
      <c r="I92" s="12" t="s">
        <v>837</v>
      </c>
      <c r="J92" s="12">
        <v>5.6607000000000003</v>
      </c>
      <c r="K92" s="12" t="s">
        <v>829</v>
      </c>
    </row>
    <row r="93" spans="9:13" ht="15.75" customHeight="1" x14ac:dyDescent="0.3">
      <c r="J93" s="12" t="s">
        <v>832</v>
      </c>
      <c r="K93" s="12" t="s">
        <v>832</v>
      </c>
    </row>
    <row r="94" spans="9:13" ht="15.75" customHeight="1" x14ac:dyDescent="0.3">
      <c r="J94" s="12">
        <f>4.5/J92</f>
        <v>0.79495468758280774</v>
      </c>
      <c r="K94" s="12" t="s">
        <v>838</v>
      </c>
    </row>
    <row r="95" spans="9:13" ht="15.75" customHeight="1" x14ac:dyDescent="0.3">
      <c r="J95" s="12">
        <f>9/J92</f>
        <v>1.5899093751656155</v>
      </c>
      <c r="K95" s="12" t="s">
        <v>839</v>
      </c>
    </row>
    <row r="96" spans="9:13" ht="15.75" customHeight="1" x14ac:dyDescent="0.3"/>
    <row r="97" spans="9:41" ht="15.75" customHeight="1" x14ac:dyDescent="0.3"/>
    <row r="98" spans="9:41" ht="15.75" customHeight="1" x14ac:dyDescent="0.3"/>
    <row r="99" spans="9:41" ht="15.75" customHeight="1" x14ac:dyDescent="0.3"/>
    <row r="100" spans="9:41" ht="15.75" customHeight="1" x14ac:dyDescent="0.3"/>
    <row r="101" spans="9:41" ht="15.75" customHeight="1" x14ac:dyDescent="0.3"/>
    <row r="102" spans="9:41" ht="15.75" customHeight="1" x14ac:dyDescent="0.3"/>
    <row r="103" spans="9:41" ht="15.75" customHeight="1" x14ac:dyDescent="0.3"/>
    <row r="104" spans="9:41" ht="15.75" customHeight="1" x14ac:dyDescent="0.3"/>
    <row r="105" spans="9:41" ht="15.75" customHeight="1" x14ac:dyDescent="0.3"/>
    <row r="106" spans="9:41" ht="15.75" customHeight="1" x14ac:dyDescent="0.3"/>
    <row r="107" spans="9:41" ht="15.75" customHeight="1" x14ac:dyDescent="0.3">
      <c r="I107" s="12" t="s">
        <v>840</v>
      </c>
    </row>
    <row r="108" spans="9:41" ht="15.75" customHeight="1" x14ac:dyDescent="0.3">
      <c r="J108" s="12">
        <v>2019</v>
      </c>
      <c r="K108" s="12">
        <v>2020</v>
      </c>
      <c r="L108" s="12">
        <v>2021</v>
      </c>
      <c r="M108" s="12">
        <v>2022</v>
      </c>
      <c r="N108" s="12">
        <v>2023</v>
      </c>
      <c r="O108" s="12">
        <v>2024</v>
      </c>
      <c r="P108" s="12">
        <v>2025</v>
      </c>
      <c r="Q108" s="12">
        <v>2026</v>
      </c>
      <c r="R108" s="12">
        <v>2027</v>
      </c>
      <c r="S108" s="12">
        <v>2028</v>
      </c>
      <c r="T108" s="12">
        <v>2029</v>
      </c>
      <c r="U108" s="12">
        <v>2030</v>
      </c>
      <c r="V108" s="12">
        <v>2031</v>
      </c>
      <c r="W108" s="12">
        <v>2032</v>
      </c>
      <c r="X108" s="12">
        <v>2033</v>
      </c>
      <c r="Y108" s="12">
        <v>2034</v>
      </c>
      <c r="Z108" s="12">
        <v>2035</v>
      </c>
      <c r="AA108" s="12">
        <v>2036</v>
      </c>
      <c r="AB108" s="12">
        <v>2037</v>
      </c>
      <c r="AC108" s="12">
        <v>2038</v>
      </c>
      <c r="AD108" s="12">
        <v>2039</v>
      </c>
      <c r="AE108" s="12">
        <v>2040</v>
      </c>
      <c r="AF108" s="12">
        <v>2041</v>
      </c>
      <c r="AG108" s="12">
        <v>2042</v>
      </c>
      <c r="AH108" s="12">
        <v>2043</v>
      </c>
      <c r="AI108" s="12">
        <v>2044</v>
      </c>
      <c r="AJ108" s="12">
        <v>2045</v>
      </c>
      <c r="AK108" s="12">
        <v>2046</v>
      </c>
      <c r="AL108" s="12">
        <v>2047</v>
      </c>
      <c r="AM108" s="12">
        <v>2048</v>
      </c>
      <c r="AN108" s="12">
        <v>2049</v>
      </c>
      <c r="AO108" s="12">
        <v>2050</v>
      </c>
    </row>
    <row r="109" spans="9:41" ht="15.75" customHeight="1" x14ac:dyDescent="0.3">
      <c r="I109" s="12" t="s">
        <v>8</v>
      </c>
      <c r="J109" s="229">
        <v>22.152425999999998</v>
      </c>
      <c r="K109" s="230">
        <v>21.94087</v>
      </c>
      <c r="L109" s="229">
        <v>21.968945999999999</v>
      </c>
      <c r="M109" s="230">
        <v>21.978165000000001</v>
      </c>
      <c r="N109" s="229">
        <v>21.894269999999999</v>
      </c>
      <c r="O109" s="230">
        <v>21.607965</v>
      </c>
      <c r="P109" s="229">
        <v>21.857471</v>
      </c>
      <c r="Q109" s="230">
        <v>22.043116000000001</v>
      </c>
      <c r="R109" s="229">
        <v>22.312280999999999</v>
      </c>
      <c r="S109" s="230">
        <v>22.424955000000001</v>
      </c>
      <c r="T109" s="229">
        <v>22.720831</v>
      </c>
      <c r="U109" s="230">
        <v>23.424423000000001</v>
      </c>
      <c r="V109" s="229">
        <v>23.588041</v>
      </c>
      <c r="W109" s="230">
        <v>23.796983999999998</v>
      </c>
      <c r="X109" s="229">
        <v>24.220589</v>
      </c>
      <c r="Y109" s="230">
        <v>24.608730000000001</v>
      </c>
      <c r="Z109" s="229">
        <v>24.865734</v>
      </c>
      <c r="AA109" s="230">
        <v>25.162941</v>
      </c>
      <c r="AB109" s="229">
        <v>25.240604000000001</v>
      </c>
      <c r="AC109" s="230">
        <v>25.517137999999999</v>
      </c>
      <c r="AD109" s="229">
        <v>25.858951999999999</v>
      </c>
      <c r="AE109" s="230">
        <v>25.951355</v>
      </c>
      <c r="AF109" s="229">
        <v>26.136623</v>
      </c>
      <c r="AG109" s="230">
        <v>26.539719000000002</v>
      </c>
      <c r="AH109" s="229">
        <v>26.75515</v>
      </c>
      <c r="AI109" s="230">
        <v>26.964805999999999</v>
      </c>
      <c r="AJ109" s="229">
        <v>27.311302000000001</v>
      </c>
      <c r="AK109" s="230">
        <v>27.396849</v>
      </c>
      <c r="AL109" s="229">
        <v>27.872745999999999</v>
      </c>
      <c r="AM109" s="230">
        <v>28.194441000000001</v>
      </c>
      <c r="AN109" s="229">
        <v>28.439672000000002</v>
      </c>
      <c r="AO109" s="230">
        <v>28.648949000000002</v>
      </c>
    </row>
    <row r="110" spans="9:41" ht="15.75" customHeight="1" x14ac:dyDescent="0.3">
      <c r="I110" s="12" t="s">
        <v>14</v>
      </c>
      <c r="J110" s="229">
        <v>22.055973000000002</v>
      </c>
      <c r="K110" s="230">
        <v>21.332649</v>
      </c>
      <c r="L110" s="229">
        <v>21.307634</v>
      </c>
      <c r="M110" s="230">
        <v>21.509706000000001</v>
      </c>
      <c r="N110" s="229">
        <v>21.507311000000001</v>
      </c>
      <c r="O110" s="230">
        <v>21.769124999999999</v>
      </c>
      <c r="P110" s="229">
        <v>21.766514000000001</v>
      </c>
      <c r="Q110" s="230">
        <v>22.167186999999998</v>
      </c>
      <c r="R110" s="229">
        <v>22.215661999999998</v>
      </c>
      <c r="S110" s="230">
        <v>22.559709999999999</v>
      </c>
      <c r="T110" s="229">
        <v>22.7668</v>
      </c>
      <c r="U110" s="230">
        <v>23.137453000000001</v>
      </c>
      <c r="V110" s="229">
        <v>23.400127000000001</v>
      </c>
      <c r="W110" s="230">
        <v>23.565245000000001</v>
      </c>
      <c r="X110" s="229">
        <v>23.939878</v>
      </c>
      <c r="Y110" s="230">
        <v>24.132757000000002</v>
      </c>
      <c r="Z110" s="229">
        <v>24.353363000000002</v>
      </c>
      <c r="AA110" s="230">
        <v>24.599989000000001</v>
      </c>
      <c r="AB110" s="229">
        <v>24.760366000000001</v>
      </c>
      <c r="AC110" s="230">
        <v>24.966681000000001</v>
      </c>
      <c r="AD110" s="229">
        <v>25.188585</v>
      </c>
      <c r="AE110" s="230">
        <v>25.189914999999999</v>
      </c>
      <c r="AF110" s="229">
        <v>25.361546000000001</v>
      </c>
      <c r="AG110" s="230">
        <v>25.739941000000002</v>
      </c>
      <c r="AH110" s="229">
        <v>25.903061000000001</v>
      </c>
      <c r="AI110" s="230">
        <v>26.101400000000002</v>
      </c>
      <c r="AJ110" s="229">
        <v>26.471900999999999</v>
      </c>
      <c r="AK110" s="230">
        <v>26.487107999999999</v>
      </c>
      <c r="AL110" s="229">
        <v>26.746400999999999</v>
      </c>
      <c r="AM110" s="230">
        <v>26.985009999999999</v>
      </c>
      <c r="AN110" s="229">
        <v>27.152633999999999</v>
      </c>
      <c r="AO110" s="230">
        <v>27.305868</v>
      </c>
    </row>
    <row r="111" spans="9:41" ht="15.75" customHeight="1" x14ac:dyDescent="0.3">
      <c r="I111" s="12" t="s">
        <v>18</v>
      </c>
      <c r="J111" s="229">
        <v>14.641048</v>
      </c>
      <c r="K111" s="230">
        <v>14.449450000000001</v>
      </c>
      <c r="L111" s="229">
        <v>14.469915</v>
      </c>
      <c r="M111" s="230">
        <v>14.677915</v>
      </c>
      <c r="N111" s="229">
        <v>14.784328</v>
      </c>
      <c r="O111" s="230">
        <v>15.181978000000001</v>
      </c>
      <c r="P111" s="229">
        <v>15.254274000000001</v>
      </c>
      <c r="Q111" s="230">
        <v>15.71048</v>
      </c>
      <c r="R111" s="229">
        <v>15.739540999999999</v>
      </c>
      <c r="S111" s="230">
        <v>16.214652999999998</v>
      </c>
      <c r="T111" s="229">
        <v>16.425370999999998</v>
      </c>
      <c r="U111" s="230">
        <v>16.664819999999999</v>
      </c>
      <c r="V111" s="229">
        <v>17.012841999999999</v>
      </c>
      <c r="W111" s="230">
        <v>17.187419999999999</v>
      </c>
      <c r="X111" s="229">
        <v>17.583839000000001</v>
      </c>
      <c r="Y111" s="230">
        <v>17.868292</v>
      </c>
      <c r="Z111" s="229">
        <v>18.138349999999999</v>
      </c>
      <c r="AA111" s="230">
        <v>18.383088999999998</v>
      </c>
      <c r="AB111" s="229">
        <v>18.624289999999998</v>
      </c>
      <c r="AC111" s="230">
        <v>18.83005</v>
      </c>
      <c r="AD111" s="229">
        <v>19.106794000000001</v>
      </c>
      <c r="AE111" s="230">
        <v>19.197942999999999</v>
      </c>
      <c r="AF111" s="229">
        <v>19.450199000000001</v>
      </c>
      <c r="AG111" s="230">
        <v>19.834574</v>
      </c>
      <c r="AH111" s="229">
        <v>20.040814999999998</v>
      </c>
      <c r="AI111" s="230">
        <v>20.276285000000001</v>
      </c>
      <c r="AJ111" s="229">
        <v>20.70055</v>
      </c>
      <c r="AK111" s="230">
        <v>20.752966000000001</v>
      </c>
      <c r="AL111" s="229">
        <v>21.175343999999999</v>
      </c>
      <c r="AM111" s="230">
        <v>21.518598999999998</v>
      </c>
      <c r="AN111" s="229">
        <v>21.766680000000001</v>
      </c>
      <c r="AO111" s="230">
        <v>21.858753</v>
      </c>
    </row>
    <row r="112" spans="9:41" ht="15.75" customHeight="1" x14ac:dyDescent="0.3">
      <c r="I112" s="12" t="s">
        <v>22</v>
      </c>
      <c r="J112" s="229">
        <v>18.517337999999999</v>
      </c>
      <c r="K112" s="230">
        <v>17.795781999999999</v>
      </c>
      <c r="L112" s="229">
        <v>18.164116</v>
      </c>
      <c r="M112" s="230">
        <v>18.891821</v>
      </c>
      <c r="N112" s="229">
        <v>19.477640000000001</v>
      </c>
      <c r="O112" s="230">
        <v>20.115549000000001</v>
      </c>
      <c r="P112" s="229">
        <v>20.967055999999999</v>
      </c>
      <c r="Q112" s="230">
        <v>21.841379</v>
      </c>
      <c r="R112" s="229">
        <v>22.424021</v>
      </c>
      <c r="S112" s="230">
        <v>22.825673999999999</v>
      </c>
      <c r="T112" s="229">
        <v>23.067326999999999</v>
      </c>
      <c r="U112" s="230">
        <v>23.235030999999999</v>
      </c>
      <c r="V112" s="229">
        <v>23.271035999999999</v>
      </c>
      <c r="W112" s="230">
        <v>23.351419</v>
      </c>
      <c r="X112" s="229">
        <v>23.62575</v>
      </c>
      <c r="Y112" s="230">
        <v>23.87743</v>
      </c>
      <c r="Z112" s="229">
        <v>24.152052000000001</v>
      </c>
      <c r="AA112" s="230">
        <v>24.470886</v>
      </c>
      <c r="AB112" s="229">
        <v>24.818118999999999</v>
      </c>
      <c r="AC112" s="230">
        <v>25.156732999999999</v>
      </c>
      <c r="AD112" s="229">
        <v>25.476082000000002</v>
      </c>
      <c r="AE112" s="230">
        <v>25.756554000000001</v>
      </c>
      <c r="AF112" s="229">
        <v>26.017603000000001</v>
      </c>
      <c r="AG112" s="230">
        <v>26.396612000000001</v>
      </c>
      <c r="AH112" s="229">
        <v>26.704369</v>
      </c>
      <c r="AI112" s="230">
        <v>27.004362</v>
      </c>
      <c r="AJ112" s="229">
        <v>27.302423000000001</v>
      </c>
      <c r="AK112" s="230">
        <v>27.590530000000001</v>
      </c>
      <c r="AL112" s="229">
        <v>27.952341000000001</v>
      </c>
      <c r="AM112" s="230">
        <v>28.331855999999998</v>
      </c>
      <c r="AN112" s="229">
        <v>28.642916</v>
      </c>
      <c r="AO112" s="230">
        <v>28.935759999999998</v>
      </c>
    </row>
    <row r="113" spans="8:41" ht="15.75" customHeight="1" x14ac:dyDescent="0.3">
      <c r="I113" s="12" t="s">
        <v>26</v>
      </c>
      <c r="J113" s="229">
        <v>9.7503069999999994</v>
      </c>
      <c r="K113" s="230">
        <v>10.19247</v>
      </c>
      <c r="L113" s="229">
        <v>10.271381</v>
      </c>
      <c r="M113" s="230">
        <v>10.173702</v>
      </c>
      <c r="N113" s="229">
        <v>9.1834290000000003</v>
      </c>
      <c r="O113" s="230">
        <v>9.5545159999999996</v>
      </c>
      <c r="P113" s="229">
        <v>9.8769209999999994</v>
      </c>
      <c r="Q113" s="230">
        <v>10.457724000000001</v>
      </c>
      <c r="R113" s="229">
        <v>11.210336</v>
      </c>
      <c r="S113" s="230">
        <v>11.536975999999999</v>
      </c>
      <c r="T113" s="229">
        <v>11.842731000000001</v>
      </c>
      <c r="U113" s="230">
        <v>11.37082</v>
      </c>
      <c r="V113" s="229">
        <v>11.605115</v>
      </c>
      <c r="W113" s="230">
        <v>11.676685000000001</v>
      </c>
      <c r="X113" s="229">
        <v>11.933399</v>
      </c>
      <c r="Y113" s="230">
        <v>12.064242</v>
      </c>
      <c r="Z113" s="229">
        <v>12.697660000000001</v>
      </c>
      <c r="AA113" s="230">
        <v>13.116432</v>
      </c>
      <c r="AB113" s="229">
        <v>13.224297</v>
      </c>
      <c r="AC113" s="230">
        <v>13.736769000000001</v>
      </c>
      <c r="AD113" s="229">
        <v>13.914393</v>
      </c>
      <c r="AE113" s="230">
        <v>14.113455</v>
      </c>
      <c r="AF113" s="229">
        <v>14.229108</v>
      </c>
      <c r="AG113" s="230">
        <v>14.283981000000001</v>
      </c>
      <c r="AH113" s="229">
        <v>14.843826</v>
      </c>
      <c r="AI113" s="230">
        <v>15.073577</v>
      </c>
      <c r="AJ113" s="229">
        <v>15.086976</v>
      </c>
      <c r="AK113" s="230">
        <v>15.677839000000001</v>
      </c>
      <c r="AL113" s="229">
        <v>15.942997</v>
      </c>
      <c r="AM113" s="230">
        <v>16.146730000000002</v>
      </c>
      <c r="AN113" s="229">
        <v>16.344221000000001</v>
      </c>
      <c r="AO113" s="230">
        <v>15.920506</v>
      </c>
    </row>
    <row r="114" spans="8:41" ht="15.75" customHeight="1" x14ac:dyDescent="0.3">
      <c r="I114" s="12" t="s">
        <v>30</v>
      </c>
      <c r="J114" s="12">
        <v>16.336877005347596</v>
      </c>
      <c r="K114" s="12">
        <v>15.906911905432029</v>
      </c>
      <c r="L114" s="12">
        <v>16.583545735997749</v>
      </c>
      <c r="M114" s="12">
        <v>17.425744441317196</v>
      </c>
      <c r="N114" s="12">
        <v>17.265841823810863</v>
      </c>
      <c r="O114" s="12">
        <v>17.183804109203489</v>
      </c>
      <c r="P114" s="12">
        <v>17.76969997185477</v>
      </c>
      <c r="Q114" s="12">
        <v>17.949379116239797</v>
      </c>
      <c r="R114" s="12">
        <v>18.489267661131436</v>
      </c>
      <c r="S114" s="12">
        <v>19.181316070925977</v>
      </c>
      <c r="T114" s="12">
        <v>19.59553560371517</v>
      </c>
      <c r="U114" s="12">
        <v>20.679272727272728</v>
      </c>
      <c r="V114" s="12">
        <v>20.745623979735434</v>
      </c>
      <c r="W114" s="12">
        <v>20.815344216155363</v>
      </c>
      <c r="X114" s="12">
        <v>20.860866873065014</v>
      </c>
      <c r="Y114" s="12">
        <v>20.756759358288768</v>
      </c>
      <c r="Z114" s="12">
        <v>20.835061638052352</v>
      </c>
      <c r="AA114" s="12">
        <v>20.885974669293553</v>
      </c>
      <c r="AB114" s="12">
        <v>20.979112299465239</v>
      </c>
      <c r="AC114" s="12">
        <v>21.052343371798479</v>
      </c>
      <c r="AD114" s="12">
        <v>21.330976076555025</v>
      </c>
      <c r="AE114" s="12">
        <v>21.42243512524627</v>
      </c>
      <c r="AF114" s="12">
        <v>21.491599774838164</v>
      </c>
      <c r="AG114" s="12">
        <v>21.928314663664509</v>
      </c>
      <c r="AH114" s="12">
        <v>22.202857303687022</v>
      </c>
      <c r="AI114" s="12">
        <v>22.659845201238387</v>
      </c>
      <c r="AJ114" s="12">
        <v>22.587926259499014</v>
      </c>
      <c r="AK114" s="12">
        <v>22.963514776245425</v>
      </c>
      <c r="AL114" s="12">
        <v>23.469701660568532</v>
      </c>
      <c r="AM114" s="12">
        <v>23.726725584013508</v>
      </c>
      <c r="AN114" s="12">
        <v>24.321664508865748</v>
      </c>
      <c r="AO114" s="12">
        <v>25.480807768083309</v>
      </c>
    </row>
    <row r="115" spans="8:41" ht="15.75" customHeight="1" x14ac:dyDescent="0.3">
      <c r="I115" s="12" t="s">
        <v>32</v>
      </c>
      <c r="J115" s="12">
        <v>28.503195372270948</v>
      </c>
      <c r="K115" s="12">
        <v>27.56843519236628</v>
      </c>
      <c r="L115" s="12">
        <v>27.536108011323876</v>
      </c>
      <c r="M115" s="12">
        <v>27.797248052403248</v>
      </c>
      <c r="N115" s="12">
        <v>27.794152965511518</v>
      </c>
      <c r="O115" s="12">
        <v>28.132498301407413</v>
      </c>
      <c r="P115" s="12">
        <v>28.129124075155097</v>
      </c>
      <c r="Q115" s="12">
        <v>28.646918542866576</v>
      </c>
      <c r="R115" s="12">
        <v>28.709563360017508</v>
      </c>
      <c r="S115" s="12">
        <v>29.154180668963214</v>
      </c>
      <c r="T115" s="12">
        <v>29.421805530928889</v>
      </c>
      <c r="U115" s="12">
        <v>29.90080479676578</v>
      </c>
      <c r="V115" s="12">
        <v>30.240261520856617</v>
      </c>
      <c r="W115" s="12">
        <v>30.453645469661708</v>
      </c>
      <c r="X115" s="12">
        <v>30.937788136679849</v>
      </c>
      <c r="Y115" s="12">
        <v>31.187047954880036</v>
      </c>
      <c r="Z115" s="12">
        <v>31.472139703872259</v>
      </c>
      <c r="AA115" s="12">
        <v>31.79085740732074</v>
      </c>
      <c r="AB115" s="12">
        <v>31.99811450562326</v>
      </c>
      <c r="AC115" s="12">
        <v>32.264737825901626</v>
      </c>
      <c r="AD115" s="12">
        <v>32.551506995681095</v>
      </c>
      <c r="AE115" s="12">
        <v>32.553225770447689</v>
      </c>
      <c r="AF115" s="12">
        <v>32.775026546361701</v>
      </c>
      <c r="AG115" s="12">
        <v>33.264030890576777</v>
      </c>
      <c r="AH115" s="12">
        <v>33.474832800296412</v>
      </c>
      <c r="AI115" s="12">
        <v>33.731148641222632</v>
      </c>
      <c r="AJ115" s="12">
        <v>34.209951475657626</v>
      </c>
      <c r="AK115" s="12">
        <v>34.229603662030271</v>
      </c>
      <c r="AL115" s="12">
        <v>34.564691079740761</v>
      </c>
      <c r="AM115" s="12">
        <v>34.873048319051037</v>
      </c>
      <c r="AN115" s="12">
        <v>35.089670801363731</v>
      </c>
      <c r="AO115" s="12">
        <v>35.287696916088954</v>
      </c>
    </row>
    <row r="116" spans="8:41" ht="15.75" customHeight="1" x14ac:dyDescent="0.3">
      <c r="I116" s="12" t="s">
        <v>7</v>
      </c>
      <c r="J116" s="229">
        <v>5.0316960000000002</v>
      </c>
      <c r="K116" s="230">
        <v>4.7607179999999998</v>
      </c>
      <c r="L116" s="229">
        <v>4.8476780000000002</v>
      </c>
      <c r="M116" s="230">
        <v>4.8332069999999998</v>
      </c>
      <c r="N116" s="229">
        <v>4.8686489999999996</v>
      </c>
      <c r="O116" s="230">
        <v>4.9797479999999998</v>
      </c>
      <c r="P116" s="229">
        <v>5.198734</v>
      </c>
      <c r="Q116" s="230">
        <v>5.4027200000000004</v>
      </c>
      <c r="R116" s="229">
        <v>5.5522840000000002</v>
      </c>
      <c r="S116" s="230">
        <v>5.6320800000000002</v>
      </c>
      <c r="T116" s="229">
        <v>5.6439170000000001</v>
      </c>
      <c r="U116" s="230">
        <v>5.6790589999999996</v>
      </c>
      <c r="V116" s="229">
        <v>5.6373389999999999</v>
      </c>
      <c r="W116" s="230">
        <v>5.6477459999999997</v>
      </c>
      <c r="X116" s="229">
        <v>5.7140750000000002</v>
      </c>
      <c r="Y116" s="230">
        <v>5.7420039999999997</v>
      </c>
      <c r="Z116" s="229">
        <v>5.739636</v>
      </c>
      <c r="AA116" s="230">
        <v>5.7297529999999997</v>
      </c>
      <c r="AB116" s="229">
        <v>5.7619749999999996</v>
      </c>
      <c r="AC116" s="230">
        <v>5.7804820000000001</v>
      </c>
      <c r="AD116" s="229">
        <v>5.7848649999999999</v>
      </c>
      <c r="AE116" s="230">
        <v>5.7817970000000001</v>
      </c>
      <c r="AF116" s="229">
        <v>5.7831630000000001</v>
      </c>
      <c r="AG116" s="230">
        <v>5.7969949999999999</v>
      </c>
      <c r="AH116" s="229">
        <v>5.8079429999999999</v>
      </c>
      <c r="AI116" s="230">
        <v>5.8250010000000003</v>
      </c>
      <c r="AJ116" s="229">
        <v>5.848293</v>
      </c>
      <c r="AK116" s="230">
        <v>5.8874190000000004</v>
      </c>
      <c r="AL116" s="229">
        <v>5.9310219999999996</v>
      </c>
      <c r="AM116" s="230">
        <v>5.9516270000000002</v>
      </c>
      <c r="AN116" s="229">
        <v>5.9727379999999997</v>
      </c>
      <c r="AO116" s="230">
        <v>6.0177839999999998</v>
      </c>
    </row>
    <row r="117" spans="8:41" ht="16.5" customHeight="1" x14ac:dyDescent="0.3">
      <c r="I117" s="12" t="s">
        <v>13</v>
      </c>
      <c r="J117" s="12">
        <f>+J120</f>
        <v>9.9389069659747609</v>
      </c>
      <c r="K117" s="12">
        <f t="shared" ref="K117:AO117" si="35">+K120</f>
        <v>9.3869901772428523</v>
      </c>
      <c r="L117" s="12">
        <f t="shared" si="35"/>
        <v>10.287079260646848</v>
      </c>
      <c r="M117" s="12">
        <f t="shared" si="35"/>
        <v>10.535673289409495</v>
      </c>
      <c r="N117" s="12">
        <f t="shared" si="35"/>
        <v>10.74174170797278</v>
      </c>
      <c r="O117" s="12">
        <f t="shared" si="35"/>
        <v>11.129993971580372</v>
      </c>
      <c r="P117" s="12">
        <f t="shared" si="35"/>
        <v>11.404622491095539</v>
      </c>
      <c r="Q117" s="12">
        <f t="shared" si="35"/>
        <v>11.693615001593368</v>
      </c>
      <c r="R117" s="12">
        <f t="shared" si="35"/>
        <v>11.97288183063062</v>
      </c>
      <c r="S117" s="12">
        <f t="shared" si="35"/>
        <v>12.106750658115047</v>
      </c>
      <c r="T117" s="12">
        <f t="shared" si="35"/>
        <v>12.377995487022886</v>
      </c>
      <c r="U117" s="12">
        <f t="shared" si="35"/>
        <v>12.602511149398413</v>
      </c>
      <c r="V117" s="12">
        <f t="shared" si="35"/>
        <v>12.89947849257279</v>
      </c>
      <c r="W117" s="12">
        <f t="shared" si="35"/>
        <v>13.05019617018589</v>
      </c>
      <c r="X117" s="12">
        <f t="shared" si="35"/>
        <v>13.528408425775462</v>
      </c>
      <c r="Y117" s="12">
        <f t="shared" si="35"/>
        <v>13.746138157938017</v>
      </c>
      <c r="Z117" s="12">
        <f t="shared" si="35"/>
        <v>14.018754906092827</v>
      </c>
      <c r="AA117" s="12">
        <f t="shared" si="35"/>
        <v>14.383410900612422</v>
      </c>
      <c r="AB117" s="12">
        <f t="shared" si="35"/>
        <v>14.451363477705129</v>
      </c>
      <c r="AC117" s="12">
        <f t="shared" si="35"/>
        <v>14.722348267322275</v>
      </c>
      <c r="AD117" s="12">
        <f t="shared" si="35"/>
        <v>14.97849385828558</v>
      </c>
      <c r="AE117" s="12">
        <f t="shared" si="35"/>
        <v>15.146069572197943</v>
      </c>
      <c r="AF117" s="12">
        <f t="shared" si="35"/>
        <v>15.324567642948036</v>
      </c>
      <c r="AG117" s="12">
        <f t="shared" si="35"/>
        <v>15.726956186501802</v>
      </c>
      <c r="AH117" s="12">
        <f t="shared" si="35"/>
        <v>15.920432485064548</v>
      </c>
      <c r="AI117" s="12">
        <f t="shared" si="35"/>
        <v>16.14669086999627</v>
      </c>
      <c r="AJ117" s="12">
        <f t="shared" si="35"/>
        <v>16.491298400506025</v>
      </c>
      <c r="AK117" s="12">
        <f t="shared" si="35"/>
        <v>16.614746224078669</v>
      </c>
      <c r="AL117" s="12">
        <f t="shared" si="35"/>
        <v>17.032564177747016</v>
      </c>
      <c r="AM117" s="12">
        <f t="shared" si="35"/>
        <v>17.354044993811897</v>
      </c>
      <c r="AN117" s="12">
        <f t="shared" si="35"/>
        <v>17.615031873336019</v>
      </c>
      <c r="AO117" s="12">
        <f t="shared" si="35"/>
        <v>17.793513868287572</v>
      </c>
    </row>
    <row r="118" spans="8:41" ht="15.75" customHeight="1" x14ac:dyDescent="0.3">
      <c r="I118" s="12" t="s">
        <v>17</v>
      </c>
      <c r="J118" s="12">
        <f>+J117*(100%+$M$87)</f>
        <v>9.143949895233531</v>
      </c>
      <c r="K118" s="12">
        <f t="shared" ref="K118:AO118" si="36">+K117*(100%+$M$87)</f>
        <v>8.6361778152875335</v>
      </c>
      <c r="L118" s="12">
        <f t="shared" si="36"/>
        <v>9.4642738532189661</v>
      </c>
      <c r="M118" s="12">
        <f t="shared" si="36"/>
        <v>9.6929842487425191</v>
      </c>
      <c r="N118" s="12">
        <f t="shared" si="36"/>
        <v>9.8825704176022739</v>
      </c>
      <c r="O118" s="12">
        <f t="shared" si="36"/>
        <v>10.239768574028588</v>
      </c>
      <c r="P118" s="12">
        <f t="shared" si="36"/>
        <v>10.492431108333994</v>
      </c>
      <c r="Q118" s="12">
        <f t="shared" si="36"/>
        <v>10.758308739057016</v>
      </c>
      <c r="R118" s="12">
        <f t="shared" si="36"/>
        <v>11.015238590685517</v>
      </c>
      <c r="S118" s="12">
        <f t="shared" si="36"/>
        <v>11.138400006245785</v>
      </c>
      <c r="T118" s="12">
        <f t="shared" si="36"/>
        <v>11.387949492257221</v>
      </c>
      <c r="U118" s="12">
        <f t="shared" si="36"/>
        <v>11.594507414017146</v>
      </c>
      <c r="V118" s="12">
        <f t="shared" si="36"/>
        <v>11.8677220155627</v>
      </c>
      <c r="W118" s="12">
        <f t="shared" si="36"/>
        <v>12.006384636828617</v>
      </c>
      <c r="X118" s="12">
        <f t="shared" si="36"/>
        <v>12.446347393233069</v>
      </c>
      <c r="Y118" s="12">
        <f t="shared" si="36"/>
        <v>12.646662153036411</v>
      </c>
      <c r="Z118" s="12">
        <f t="shared" si="36"/>
        <v>12.897473826217679</v>
      </c>
      <c r="AA118" s="12">
        <f t="shared" si="36"/>
        <v>13.232963045937597</v>
      </c>
      <c r="AB118" s="12">
        <f t="shared" si="36"/>
        <v>13.295480479928566</v>
      </c>
      <c r="AC118" s="12">
        <f t="shared" si="36"/>
        <v>13.544790725724448</v>
      </c>
      <c r="AD118" s="12">
        <f t="shared" si="36"/>
        <v>13.780448676610977</v>
      </c>
      <c r="AE118" s="12">
        <f t="shared" si="36"/>
        <v>13.934620955003197</v>
      </c>
      <c r="AF118" s="12">
        <f t="shared" si="36"/>
        <v>14.098841972557979</v>
      </c>
      <c r="AG118" s="12">
        <f t="shared" si="36"/>
        <v>14.469045727685973</v>
      </c>
      <c r="AH118" s="12">
        <f t="shared" si="36"/>
        <v>14.647046949151225</v>
      </c>
      <c r="AI118" s="12">
        <f t="shared" si="36"/>
        <v>14.855208202926399</v>
      </c>
      <c r="AJ118" s="12">
        <f t="shared" si="36"/>
        <v>15.172252522114501</v>
      </c>
      <c r="AK118" s="12">
        <f t="shared" si="36"/>
        <v>15.285826451047358</v>
      </c>
      <c r="AL118" s="12">
        <f t="shared" si="36"/>
        <v>15.670225504861991</v>
      </c>
      <c r="AM118" s="12">
        <f t="shared" si="36"/>
        <v>15.965992884961192</v>
      </c>
      <c r="AN118" s="12">
        <f t="shared" si="36"/>
        <v>16.206104897061898</v>
      </c>
      <c r="AO118" s="12">
        <f t="shared" si="36"/>
        <v>16.370311124630533</v>
      </c>
    </row>
    <row r="119" spans="8:41" ht="15.75" customHeight="1" x14ac:dyDescent="0.3">
      <c r="I119" s="12" t="s">
        <v>841</v>
      </c>
      <c r="J119" s="12">
        <f t="shared" ref="J119:AO119" si="37">+J117*(100%+$M$88)</f>
        <v>7.5540357537510738</v>
      </c>
      <c r="K119" s="12">
        <f t="shared" si="37"/>
        <v>7.1345530913769002</v>
      </c>
      <c r="L119" s="12">
        <f t="shared" si="37"/>
        <v>7.8186630383632059</v>
      </c>
      <c r="M119" s="12">
        <f t="shared" si="37"/>
        <v>8.0076061674085715</v>
      </c>
      <c r="N119" s="12">
        <f t="shared" si="37"/>
        <v>8.1642278368612686</v>
      </c>
      <c r="O119" s="12">
        <f t="shared" si="37"/>
        <v>8.4593177789250227</v>
      </c>
      <c r="P119" s="12">
        <f t="shared" si="37"/>
        <v>8.668048342810911</v>
      </c>
      <c r="Q119" s="12">
        <f t="shared" si="37"/>
        <v>8.8876962139843165</v>
      </c>
      <c r="R119" s="12">
        <f t="shared" si="37"/>
        <v>9.0999521107953179</v>
      </c>
      <c r="S119" s="12">
        <f t="shared" si="37"/>
        <v>9.2016987025072687</v>
      </c>
      <c r="T119" s="12">
        <f t="shared" si="37"/>
        <v>9.4078575027258964</v>
      </c>
      <c r="U119" s="12">
        <f t="shared" si="37"/>
        <v>9.5784999432546165</v>
      </c>
      <c r="V119" s="12">
        <f t="shared" si="37"/>
        <v>9.8042090615425241</v>
      </c>
      <c r="W119" s="12">
        <f t="shared" si="37"/>
        <v>9.9187615701140768</v>
      </c>
      <c r="X119" s="12">
        <f t="shared" si="37"/>
        <v>10.282225328148286</v>
      </c>
      <c r="Y119" s="12">
        <f t="shared" si="37"/>
        <v>10.447710143233209</v>
      </c>
      <c r="Z119" s="12">
        <f t="shared" si="37"/>
        <v>10.65491166646739</v>
      </c>
      <c r="AA119" s="12">
        <f t="shared" si="37"/>
        <v>10.932067336587954</v>
      </c>
      <c r="AB119" s="12">
        <f t="shared" si="37"/>
        <v>10.983714484375447</v>
      </c>
      <c r="AC119" s="12">
        <f t="shared" si="37"/>
        <v>11.189675642528805</v>
      </c>
      <c r="AD119" s="12">
        <f t="shared" si="37"/>
        <v>11.384358313261776</v>
      </c>
      <c r="AE119" s="12">
        <f t="shared" si="37"/>
        <v>11.511723720613711</v>
      </c>
      <c r="AF119" s="12">
        <f t="shared" si="37"/>
        <v>11.647390631777874</v>
      </c>
      <c r="AG119" s="12">
        <f t="shared" si="37"/>
        <v>11.953224810054323</v>
      </c>
      <c r="AH119" s="12">
        <f t="shared" si="37"/>
        <v>12.100275877324583</v>
      </c>
      <c r="AI119" s="12">
        <f t="shared" si="37"/>
        <v>12.272242868786664</v>
      </c>
      <c r="AJ119" s="12">
        <f t="shared" si="37"/>
        <v>12.534160765331462</v>
      </c>
      <c r="AK119" s="12">
        <f t="shared" si="37"/>
        <v>12.627986904984743</v>
      </c>
      <c r="AL119" s="12">
        <f t="shared" si="37"/>
        <v>12.945548159091949</v>
      </c>
      <c r="AM119" s="12">
        <f t="shared" si="37"/>
        <v>13.189888667259792</v>
      </c>
      <c r="AN119" s="12">
        <f t="shared" si="37"/>
        <v>13.388250944513667</v>
      </c>
      <c r="AO119" s="12">
        <f t="shared" si="37"/>
        <v>13.52390563731646</v>
      </c>
    </row>
    <row r="120" spans="8:41" ht="15.75" customHeight="1" x14ac:dyDescent="0.3">
      <c r="I120" s="12" t="s">
        <v>832</v>
      </c>
      <c r="J120" s="12">
        <v>9.9389069659747609</v>
      </c>
      <c r="K120" s="12">
        <v>9.3869901772428523</v>
      </c>
      <c r="L120" s="12">
        <v>10.287079260646848</v>
      </c>
      <c r="M120" s="12">
        <v>10.535673289409495</v>
      </c>
      <c r="N120" s="12">
        <v>10.74174170797278</v>
      </c>
      <c r="O120" s="12">
        <v>11.129993971580372</v>
      </c>
      <c r="P120" s="12">
        <v>11.404622491095539</v>
      </c>
      <c r="Q120" s="12">
        <v>11.693615001593368</v>
      </c>
      <c r="R120" s="12">
        <v>11.97288183063062</v>
      </c>
      <c r="S120" s="12">
        <v>12.106750658115047</v>
      </c>
      <c r="T120" s="12">
        <v>12.377995487022886</v>
      </c>
      <c r="U120" s="12">
        <v>12.602511149398413</v>
      </c>
      <c r="V120" s="12">
        <v>12.89947849257279</v>
      </c>
      <c r="W120" s="12">
        <v>13.05019617018589</v>
      </c>
      <c r="X120" s="12">
        <v>13.528408425775462</v>
      </c>
      <c r="Y120" s="12">
        <v>13.746138157938017</v>
      </c>
      <c r="Z120" s="12">
        <v>14.018754906092827</v>
      </c>
      <c r="AA120" s="12">
        <v>14.383410900612422</v>
      </c>
      <c r="AB120" s="12">
        <v>14.451363477705129</v>
      </c>
      <c r="AC120" s="12">
        <v>14.722348267322275</v>
      </c>
      <c r="AD120" s="12">
        <v>14.97849385828558</v>
      </c>
      <c r="AE120" s="12">
        <v>15.146069572197943</v>
      </c>
      <c r="AF120" s="12">
        <v>15.324567642948036</v>
      </c>
      <c r="AG120" s="12">
        <v>15.726956186501802</v>
      </c>
      <c r="AH120" s="12">
        <v>15.920432485064548</v>
      </c>
      <c r="AI120" s="12">
        <v>16.14669086999627</v>
      </c>
      <c r="AJ120" s="12">
        <v>16.491298400506025</v>
      </c>
      <c r="AK120" s="12">
        <v>16.614746224078669</v>
      </c>
      <c r="AL120" s="12">
        <v>17.032564177747016</v>
      </c>
      <c r="AM120" s="12">
        <v>17.354044993811897</v>
      </c>
      <c r="AN120" s="12">
        <v>17.615031873336019</v>
      </c>
      <c r="AO120" s="12">
        <v>17.793513868287572</v>
      </c>
    </row>
    <row r="121" spans="8:41" ht="15.75" customHeight="1" x14ac:dyDescent="0.3">
      <c r="I121" s="12" t="s">
        <v>102</v>
      </c>
      <c r="J121" s="12">
        <v>22.631883642110068</v>
      </c>
      <c r="K121" s="12">
        <v>22.339540412044375</v>
      </c>
      <c r="L121" s="12">
        <v>22.078422999593137</v>
      </c>
      <c r="M121" s="12">
        <v>22.39579265822039</v>
      </c>
      <c r="N121" s="12">
        <v>22.558159280737229</v>
      </c>
      <c r="O121" s="12">
        <v>23.164899880511875</v>
      </c>
      <c r="P121" s="12">
        <v>23.275210249935512</v>
      </c>
      <c r="Q121" s="12">
        <v>23.971296511876403</v>
      </c>
      <c r="R121" s="12">
        <v>24.015638240959891</v>
      </c>
      <c r="S121" s="12">
        <v>24.740571573891199</v>
      </c>
      <c r="T121" s="12">
        <v>25.062088399499931</v>
      </c>
      <c r="U121" s="12">
        <v>25.42744343502223</v>
      </c>
      <c r="V121" s="12">
        <v>25.958460854900952</v>
      </c>
      <c r="W121" s="12">
        <v>26.224834702323204</v>
      </c>
      <c r="X121" s="12">
        <v>26.829697023012422</v>
      </c>
      <c r="Y121" s="12">
        <v>27.263719866788854</v>
      </c>
      <c r="Z121" s="12">
        <v>27.675778594046346</v>
      </c>
      <c r="AA121" s="12">
        <v>28.049205194444301</v>
      </c>
      <c r="AB121" s="12">
        <v>28.417233459014266</v>
      </c>
      <c r="AC121" s="12">
        <v>28.731185290548609</v>
      </c>
      <c r="AD121" s="12">
        <v>29.153445621352176</v>
      </c>
      <c r="AE121" s="12">
        <v>29.292522193535898</v>
      </c>
      <c r="AF121" s="12">
        <v>29.677418350298769</v>
      </c>
      <c r="AG121" s="12">
        <v>30.263903747100933</v>
      </c>
      <c r="AH121" s="12">
        <v>30.578589495970853</v>
      </c>
      <c r="AI121" s="12">
        <v>30.937873310956238</v>
      </c>
      <c r="AJ121" s="12">
        <v>31.585223494694176</v>
      </c>
      <c r="AK121" s="12">
        <v>31.665200648668247</v>
      </c>
      <c r="AL121" s="12">
        <v>32.309671618243542</v>
      </c>
      <c r="AM121" s="12">
        <v>32.833415474840166</v>
      </c>
      <c r="AN121" s="12">
        <v>33.211941351195492</v>
      </c>
      <c r="AO121" s="12">
        <v>33.352427777055048</v>
      </c>
    </row>
    <row r="122" spans="8:41" ht="15.75" customHeight="1" x14ac:dyDescent="0.3">
      <c r="I122" s="962"/>
    </row>
    <row r="123" spans="8:41" ht="15.75" customHeight="1" x14ac:dyDescent="0.3">
      <c r="J123">
        <f>J118-J117</f>
        <v>-0.7949570707412299</v>
      </c>
      <c r="K123">
        <f t="shared" ref="K123:AO123" si="38">K118-K117</f>
        <v>-0.75081236195531886</v>
      </c>
      <c r="L123">
        <f t="shared" si="38"/>
        <v>-0.82280540742788233</v>
      </c>
      <c r="M123">
        <f t="shared" si="38"/>
        <v>-0.84268904066697559</v>
      </c>
      <c r="N123">
        <f t="shared" si="38"/>
        <v>-0.85917129037050621</v>
      </c>
      <c r="O123">
        <f t="shared" si="38"/>
        <v>-0.89022539755178443</v>
      </c>
      <c r="P123">
        <f t="shared" si="38"/>
        <v>-0.9121913827615451</v>
      </c>
      <c r="Q123">
        <f t="shared" si="38"/>
        <v>-0.93530626253635241</v>
      </c>
      <c r="R123">
        <f t="shared" si="38"/>
        <v>-0.95764323994510292</v>
      </c>
      <c r="S123">
        <f t="shared" si="38"/>
        <v>-0.96835065186926172</v>
      </c>
      <c r="T123">
        <f t="shared" si="38"/>
        <v>-0.99004599476566568</v>
      </c>
      <c r="U123">
        <f t="shared" si="38"/>
        <v>-1.0080037353812674</v>
      </c>
      <c r="V123">
        <f t="shared" si="38"/>
        <v>-1.0317564770100898</v>
      </c>
      <c r="W123">
        <f t="shared" si="38"/>
        <v>-1.0438115333572728</v>
      </c>
      <c r="X123">
        <f t="shared" si="38"/>
        <v>-1.0820610325423932</v>
      </c>
      <c r="Y123">
        <f t="shared" si="38"/>
        <v>-1.0994760049016055</v>
      </c>
      <c r="Z123">
        <f t="shared" si="38"/>
        <v>-1.121281079875148</v>
      </c>
      <c r="AA123">
        <f t="shared" si="38"/>
        <v>-1.1504478546748249</v>
      </c>
      <c r="AB123">
        <f t="shared" si="38"/>
        <v>-1.1558829977765637</v>
      </c>
      <c r="AC123">
        <f t="shared" si="38"/>
        <v>-1.1775575415978263</v>
      </c>
      <c r="AD123">
        <f t="shared" si="38"/>
        <v>-1.1980451816746029</v>
      </c>
      <c r="AE123">
        <f t="shared" si="38"/>
        <v>-1.2114486171947458</v>
      </c>
      <c r="AF123">
        <f t="shared" si="38"/>
        <v>-1.225725670390057</v>
      </c>
      <c r="AG123">
        <f t="shared" si="38"/>
        <v>-1.2579104588158287</v>
      </c>
      <c r="AH123">
        <f t="shared" si="38"/>
        <v>-1.2733855359133237</v>
      </c>
      <c r="AI123">
        <f t="shared" si="38"/>
        <v>-1.2914826670698716</v>
      </c>
      <c r="AJ123">
        <f t="shared" si="38"/>
        <v>-1.319045878391524</v>
      </c>
      <c r="AK123">
        <f t="shared" si="38"/>
        <v>-1.3289197730313109</v>
      </c>
      <c r="AL123">
        <f t="shared" si="38"/>
        <v>-1.3623386728850253</v>
      </c>
      <c r="AM123">
        <f t="shared" si="38"/>
        <v>-1.3880521088507045</v>
      </c>
      <c r="AN123">
        <f t="shared" si="38"/>
        <v>-1.4089269762741203</v>
      </c>
      <c r="AO123">
        <f t="shared" si="38"/>
        <v>-1.4232027436570398</v>
      </c>
    </row>
    <row r="124" spans="8:41" ht="15.75" customHeight="1" x14ac:dyDescent="0.3">
      <c r="J124">
        <f>J119-J117</f>
        <v>-2.384871212223687</v>
      </c>
      <c r="K124">
        <f t="shared" ref="K124:AO124" si="39">K119-K117</f>
        <v>-2.2524370858659521</v>
      </c>
      <c r="L124">
        <f t="shared" si="39"/>
        <v>-2.4684162222836425</v>
      </c>
      <c r="M124">
        <f t="shared" si="39"/>
        <v>-2.5280671220009232</v>
      </c>
      <c r="N124">
        <f t="shared" si="39"/>
        <v>-2.5775138711115115</v>
      </c>
      <c r="O124">
        <f t="shared" si="39"/>
        <v>-2.6706761926553497</v>
      </c>
      <c r="P124">
        <f t="shared" si="39"/>
        <v>-2.7365741482846282</v>
      </c>
      <c r="Q124">
        <f t="shared" si="39"/>
        <v>-2.8059187876090519</v>
      </c>
      <c r="R124">
        <f t="shared" si="39"/>
        <v>-2.8729297198353017</v>
      </c>
      <c r="S124">
        <f t="shared" si="39"/>
        <v>-2.9050519556077781</v>
      </c>
      <c r="T124">
        <f t="shared" si="39"/>
        <v>-2.9701379842969899</v>
      </c>
      <c r="U124">
        <f t="shared" si="39"/>
        <v>-3.0240112061437969</v>
      </c>
      <c r="V124">
        <f t="shared" si="39"/>
        <v>-3.0952694310302657</v>
      </c>
      <c r="W124">
        <f t="shared" si="39"/>
        <v>-3.1314346000718132</v>
      </c>
      <c r="X124">
        <f t="shared" si="39"/>
        <v>-3.2461830976271759</v>
      </c>
      <c r="Y124">
        <f t="shared" si="39"/>
        <v>-3.2984280147048075</v>
      </c>
      <c r="Z124">
        <f t="shared" si="39"/>
        <v>-3.363843239625437</v>
      </c>
      <c r="AA124">
        <f t="shared" si="39"/>
        <v>-3.4513435640244676</v>
      </c>
      <c r="AB124">
        <f t="shared" si="39"/>
        <v>-3.4676489933296821</v>
      </c>
      <c r="AC124">
        <f t="shared" si="39"/>
        <v>-3.5326726247934701</v>
      </c>
      <c r="AD124">
        <f t="shared" si="39"/>
        <v>-3.5941355450238035</v>
      </c>
      <c r="AE124">
        <f t="shared" si="39"/>
        <v>-3.6343458515842322</v>
      </c>
      <c r="AF124">
        <f t="shared" si="39"/>
        <v>-3.677177011170162</v>
      </c>
      <c r="AG124">
        <f t="shared" si="39"/>
        <v>-3.7737313764474791</v>
      </c>
      <c r="AH124">
        <f t="shared" si="39"/>
        <v>-3.8201566077399658</v>
      </c>
      <c r="AI124">
        <f t="shared" si="39"/>
        <v>-3.8744480012096059</v>
      </c>
      <c r="AJ124">
        <f t="shared" si="39"/>
        <v>-3.9571376351745631</v>
      </c>
      <c r="AK124">
        <f t="shared" si="39"/>
        <v>-3.9867593190939257</v>
      </c>
      <c r="AL124">
        <f t="shared" si="39"/>
        <v>-4.087016018655067</v>
      </c>
      <c r="AM124">
        <f t="shared" si="39"/>
        <v>-4.1641563265521047</v>
      </c>
      <c r="AN124">
        <f t="shared" si="39"/>
        <v>-4.2267809288223521</v>
      </c>
      <c r="AO124">
        <f t="shared" si="39"/>
        <v>-4.2696082309711123</v>
      </c>
    </row>
    <row r="125" spans="8:41" ht="15.75" customHeight="1" x14ac:dyDescent="0.3">
      <c r="I125" s="12" t="s">
        <v>842</v>
      </c>
    </row>
    <row r="126" spans="8:41" ht="15.75" customHeight="1" x14ac:dyDescent="0.3">
      <c r="J126" s="12">
        <v>2019</v>
      </c>
      <c r="K126" s="12">
        <v>2020</v>
      </c>
      <c r="L126" s="12">
        <v>2025</v>
      </c>
      <c r="M126" s="12">
        <v>2030</v>
      </c>
      <c r="N126" s="12">
        <v>2035</v>
      </c>
      <c r="O126" s="12">
        <v>2040</v>
      </c>
      <c r="P126" s="12">
        <v>2045</v>
      </c>
      <c r="Q126" s="12">
        <v>2050</v>
      </c>
    </row>
    <row r="127" spans="8:41" ht="15.75" customHeight="1" x14ac:dyDescent="0.3">
      <c r="H127" s="12" t="s">
        <v>8</v>
      </c>
      <c r="I127" s="12" t="s">
        <v>843</v>
      </c>
      <c r="J127" s="229">
        <f t="shared" ref="J127:K127" si="40">+J109*$R$3/1000000</f>
        <v>20.996445954041999</v>
      </c>
      <c r="K127" s="229">
        <f t="shared" si="40"/>
        <v>20.795929580790002</v>
      </c>
      <c r="L127" s="229">
        <f t="shared" ref="L127:L139" si="41">+P109*$R$3/1000000</f>
        <v>20.716882590807003</v>
      </c>
      <c r="M127" s="229">
        <f t="shared" ref="M127:M139" si="42">+U109*$R$3/1000000</f>
        <v>22.202066334591002</v>
      </c>
      <c r="N127" s="229">
        <f t="shared" ref="N127:N139" si="43">+Z109*$R$3/1000000</f>
        <v>23.568165402677998</v>
      </c>
      <c r="O127" s="229">
        <f t="shared" ref="O127:O139" si="44">+AE109*$R$3/1000000</f>
        <v>24.597135442035</v>
      </c>
      <c r="P127" s="229">
        <f t="shared" ref="P127:P139" si="45">+AJ109*$R$3/1000000</f>
        <v>25.886116327734001</v>
      </c>
      <c r="Q127" s="229">
        <f t="shared" ref="Q127:Q139" si="46">+AO109*$R$3/1000000</f>
        <v>27.153960894333</v>
      </c>
    </row>
    <row r="128" spans="8:41" ht="15.75" customHeight="1" x14ac:dyDescent="0.3">
      <c r="H128" s="12" t="s">
        <v>14</v>
      </c>
      <c r="I128" s="12" t="s">
        <v>63</v>
      </c>
      <c r="J128" s="229">
        <f t="shared" ref="J128:K128" si="47">+J110*$R$3/1000000</f>
        <v>20.905026160941002</v>
      </c>
      <c r="K128" s="229">
        <f t="shared" si="47"/>
        <v>20.219447377232999</v>
      </c>
      <c r="L128" s="229">
        <f t="shared" si="41"/>
        <v>20.630671999937999</v>
      </c>
      <c r="M128" s="229">
        <f t="shared" si="42"/>
        <v>21.930071290101001</v>
      </c>
      <c r="N128" s="229">
        <f t="shared" si="43"/>
        <v>23.082531458571001</v>
      </c>
      <c r="O128" s="229">
        <f t="shared" si="44"/>
        <v>23.875429665555</v>
      </c>
      <c r="P128" s="229">
        <f t="shared" si="45"/>
        <v>25.090517790116998</v>
      </c>
      <c r="Q128" s="229">
        <f t="shared" si="46"/>
        <v>25.880965890156002</v>
      </c>
    </row>
    <row r="129" spans="8:17" ht="15.75" customHeight="1" x14ac:dyDescent="0.3">
      <c r="H129" s="12" t="s">
        <v>18</v>
      </c>
      <c r="I129" s="12" t="s">
        <v>844</v>
      </c>
      <c r="J129" s="229">
        <f t="shared" ref="J129:K129" si="48">+J111*$R$3/1000000</f>
        <v>13.877034192216</v>
      </c>
      <c r="K129" s="229">
        <f t="shared" si="48"/>
        <v>13.695434350650002</v>
      </c>
      <c r="L129" s="229">
        <f t="shared" si="41"/>
        <v>14.458260219857999</v>
      </c>
      <c r="M129" s="229">
        <f t="shared" si="42"/>
        <v>15.795199697939999</v>
      </c>
      <c r="N129" s="229">
        <f t="shared" si="43"/>
        <v>17.191836481949998</v>
      </c>
      <c r="O129" s="229">
        <f t="shared" si="44"/>
        <v>18.196136740431001</v>
      </c>
      <c r="P129" s="229">
        <f t="shared" si="45"/>
        <v>19.62033319935</v>
      </c>
      <c r="Q129" s="229">
        <f t="shared" si="46"/>
        <v>20.718097692200999</v>
      </c>
    </row>
    <row r="130" spans="8:17" ht="15.75" customHeight="1" x14ac:dyDescent="0.3">
      <c r="H130" s="12" t="s">
        <v>22</v>
      </c>
      <c r="I130" s="12" t="s">
        <v>22</v>
      </c>
      <c r="J130" s="229">
        <f t="shared" ref="J130:K130" si="49">+J112*$R$3/1000000</f>
        <v>17.551047751146001</v>
      </c>
      <c r="K130" s="229">
        <f t="shared" si="49"/>
        <v>16.867144707893999</v>
      </c>
      <c r="L130" s="229">
        <f t="shared" si="41"/>
        <v>19.872932116751997</v>
      </c>
      <c r="M130" s="229">
        <f t="shared" si="42"/>
        <v>22.022557377326997</v>
      </c>
      <c r="N130" s="229">
        <f t="shared" si="43"/>
        <v>22.891725470484001</v>
      </c>
      <c r="O130" s="229">
        <f t="shared" si="44"/>
        <v>24.412499742618003</v>
      </c>
      <c r="P130" s="229">
        <f t="shared" si="45"/>
        <v>25.877700660591003</v>
      </c>
      <c r="Q130" s="229">
        <f t="shared" si="46"/>
        <v>27.425805235919999</v>
      </c>
    </row>
    <row r="131" spans="8:17" ht="15.75" customHeight="1" x14ac:dyDescent="0.3">
      <c r="H131" s="12" t="s">
        <v>26</v>
      </c>
      <c r="I131" s="12" t="s">
        <v>782</v>
      </c>
      <c r="J131" s="229">
        <f t="shared" ref="J131:K131" si="50">+J113*$R$3/1000000</f>
        <v>9.2415067298189992</v>
      </c>
      <c r="K131" s="229">
        <f t="shared" si="50"/>
        <v>9.6605963379900004</v>
      </c>
      <c r="L131" s="229">
        <f t="shared" si="41"/>
        <v>9.3615136314569991</v>
      </c>
      <c r="M131" s="229">
        <f t="shared" si="42"/>
        <v>10.777456499940001</v>
      </c>
      <c r="N131" s="229">
        <f t="shared" si="43"/>
        <v>12.03505800822</v>
      </c>
      <c r="O131" s="229">
        <f t="shared" si="44"/>
        <v>13.376972577735</v>
      </c>
      <c r="P131" s="229">
        <f t="shared" si="45"/>
        <v>14.299692331392</v>
      </c>
      <c r="Q131" s="229">
        <f t="shared" si="46"/>
        <v>15.089726235401999</v>
      </c>
    </row>
    <row r="132" spans="8:17" ht="15.75" customHeight="1" x14ac:dyDescent="0.3">
      <c r="H132" s="12" t="s">
        <v>30</v>
      </c>
      <c r="I132" s="12" t="s">
        <v>784</v>
      </c>
      <c r="J132" s="229">
        <f t="shared" ref="J132:K132" si="51">+J114*$R$3/1000000</f>
        <v>15.484369752577541</v>
      </c>
      <c r="K132" s="229">
        <f t="shared" si="51"/>
        <v>15.076841521470868</v>
      </c>
      <c r="L132" s="229">
        <f t="shared" si="41"/>
        <v>16.842423718223472</v>
      </c>
      <c r="M132" s="229">
        <f t="shared" si="42"/>
        <v>19.600166238545455</v>
      </c>
      <c r="N132" s="229">
        <f t="shared" si="43"/>
        <v>19.747825616593868</v>
      </c>
      <c r="O132" s="229">
        <f t="shared" si="44"/>
        <v>20.304548193105546</v>
      </c>
      <c r="P132" s="229">
        <f t="shared" si="45"/>
        <v>21.409220503499576</v>
      </c>
      <c r="Q132" s="229">
        <f t="shared" si="46"/>
        <v>24.151142776321418</v>
      </c>
    </row>
    <row r="133" spans="8:17" ht="15.75" customHeight="1" x14ac:dyDescent="0.3">
      <c r="H133" s="12" t="s">
        <v>32</v>
      </c>
      <c r="I133" s="12" t="s">
        <v>74</v>
      </c>
      <c r="J133" s="229">
        <f t="shared" ref="J133:K133" si="52">+J115*$R$3/1000000</f>
        <v>27.015813128159731</v>
      </c>
      <c r="K133" s="229">
        <f t="shared" si="52"/>
        <v>26.129831538723028</v>
      </c>
      <c r="L133" s="229">
        <f t="shared" si="41"/>
        <v>26.661261993541277</v>
      </c>
      <c r="M133" s="229">
        <f t="shared" si="42"/>
        <v>28.340491100056148</v>
      </c>
      <c r="N133" s="229">
        <f t="shared" si="43"/>
        <v>29.829829037705093</v>
      </c>
      <c r="O133" s="229">
        <f t="shared" si="44"/>
        <v>30.854500790068418</v>
      </c>
      <c r="P133" s="229">
        <f t="shared" si="45"/>
        <v>32.424773577803386</v>
      </c>
      <c r="Q133" s="229">
        <f t="shared" si="46"/>
        <v>33.446279027916688</v>
      </c>
    </row>
    <row r="134" spans="8:17" ht="15.75" customHeight="1" x14ac:dyDescent="0.3">
      <c r="H134" s="12" t="s">
        <v>7</v>
      </c>
      <c r="I134" s="12" t="s">
        <v>845</v>
      </c>
      <c r="J134" s="229">
        <f t="shared" ref="J134:K134" si="53">+J116*$R$3/1000000</f>
        <v>4.769127007632</v>
      </c>
      <c r="K134" s="229">
        <f t="shared" si="53"/>
        <v>4.5122894526059998</v>
      </c>
      <c r="L134" s="229">
        <f t="shared" si="41"/>
        <v>4.9274484636779992</v>
      </c>
      <c r="M134" s="229">
        <f t="shared" si="42"/>
        <v>5.3827086642029993</v>
      </c>
      <c r="N134" s="229">
        <f t="shared" si="43"/>
        <v>5.4401245746119997</v>
      </c>
      <c r="O134" s="229">
        <f t="shared" si="44"/>
        <v>5.4800854871490001</v>
      </c>
      <c r="P134" s="229">
        <f t="shared" si="45"/>
        <v>5.5431115263809998</v>
      </c>
      <c r="Q134" s="229">
        <f t="shared" si="46"/>
        <v>5.7037579775280003</v>
      </c>
    </row>
    <row r="135" spans="8:17" ht="15.75" customHeight="1" x14ac:dyDescent="0.3">
      <c r="H135" s="12" t="s">
        <v>13</v>
      </c>
      <c r="I135" s="12" t="s">
        <v>13</v>
      </c>
      <c r="J135" s="229">
        <f t="shared" ref="J135:K135" si="54">+J117*$R$3/1000000</f>
        <v>9.4202649837693002</v>
      </c>
      <c r="K135" s="229">
        <f t="shared" si="54"/>
        <v>8.8971488688237894</v>
      </c>
      <c r="L135" s="229">
        <f t="shared" si="41"/>
        <v>10.809495075642701</v>
      </c>
      <c r="M135" s="229">
        <f t="shared" si="42"/>
        <v>11.944874310089356</v>
      </c>
      <c r="N135" s="229">
        <f t="shared" si="43"/>
        <v>13.287214218828185</v>
      </c>
      <c r="O135" s="229">
        <f t="shared" si="44"/>
        <v>14.355702223711937</v>
      </c>
      <c r="P135" s="229">
        <f t="shared" si="45"/>
        <v>15.630732976072419</v>
      </c>
      <c r="Q135" s="229">
        <f t="shared" si="46"/>
        <v>16.864994934098721</v>
      </c>
    </row>
    <row r="136" spans="8:17" ht="15.75" customHeight="1" x14ac:dyDescent="0.3">
      <c r="H136" s="12" t="s">
        <v>17</v>
      </c>
      <c r="I136" s="12" t="s">
        <v>17</v>
      </c>
      <c r="J136" s="229">
        <f t="shared" ref="J136:K136" si="55">+J118*$R$3/1000000</f>
        <v>8.6667911578505592</v>
      </c>
      <c r="K136" s="229">
        <f t="shared" si="55"/>
        <v>8.1855161483523844</v>
      </c>
      <c r="L136" s="229">
        <f t="shared" si="41"/>
        <v>9.9449045758078007</v>
      </c>
      <c r="M136" s="229">
        <f t="shared" si="42"/>
        <v>10.989471233631489</v>
      </c>
      <c r="N136" s="229">
        <f t="shared" si="43"/>
        <v>12.224444949544161</v>
      </c>
      <c r="O136" s="229">
        <f t="shared" si="44"/>
        <v>13.207470629708267</v>
      </c>
      <c r="P136" s="229">
        <f t="shared" si="45"/>
        <v>14.380518868753001</v>
      </c>
      <c r="Q136" s="229">
        <f t="shared" si="46"/>
        <v>15.516059179213938</v>
      </c>
    </row>
    <row r="137" spans="8:17" ht="15.75" customHeight="1" x14ac:dyDescent="0.3">
      <c r="H137" s="12" t="s">
        <v>841</v>
      </c>
      <c r="I137" s="12" t="s">
        <v>841</v>
      </c>
      <c r="J137" s="229">
        <f t="shared" ref="J137:K137" si="56">+J119*$R$3/1000000</f>
        <v>7.1598435060130816</v>
      </c>
      <c r="K137" s="229">
        <f t="shared" si="56"/>
        <v>6.7622507074095797</v>
      </c>
      <c r="L137" s="229">
        <f t="shared" si="41"/>
        <v>8.215723576138009</v>
      </c>
      <c r="M137" s="229">
        <f t="shared" si="42"/>
        <v>9.0786650807157603</v>
      </c>
      <c r="N137" s="229">
        <f t="shared" si="43"/>
        <v>10.098906410976124</v>
      </c>
      <c r="O137" s="229">
        <f t="shared" si="44"/>
        <v>10.911007441700926</v>
      </c>
      <c r="P137" s="229">
        <f t="shared" si="45"/>
        <v>11.88009065411417</v>
      </c>
      <c r="Q137" s="229">
        <f t="shared" si="46"/>
        <v>12.818187669444375</v>
      </c>
    </row>
    <row r="138" spans="8:17" ht="15.75" customHeight="1" x14ac:dyDescent="0.3">
      <c r="H138" s="12" t="s">
        <v>832</v>
      </c>
      <c r="I138" s="12" t="s">
        <v>832</v>
      </c>
      <c r="J138" s="229">
        <f t="shared" ref="J138:K138" si="57">+J120*$R$3/1000000</f>
        <v>9.4202649837693002</v>
      </c>
      <c r="K138" s="229">
        <f t="shared" si="57"/>
        <v>8.8971488688237894</v>
      </c>
      <c r="L138" s="229">
        <f t="shared" si="41"/>
        <v>10.809495075642701</v>
      </c>
      <c r="M138" s="229">
        <f t="shared" si="42"/>
        <v>11.944874310089356</v>
      </c>
      <c r="N138" s="229">
        <f t="shared" si="43"/>
        <v>13.287214218828185</v>
      </c>
      <c r="O138" s="229">
        <f t="shared" si="44"/>
        <v>14.355702223711937</v>
      </c>
      <c r="P138" s="229">
        <f t="shared" si="45"/>
        <v>15.630732976072419</v>
      </c>
      <c r="Q138" s="229">
        <f t="shared" si="46"/>
        <v>16.864994934098721</v>
      </c>
    </row>
    <row r="139" spans="8:17" ht="15.75" customHeight="1" x14ac:dyDescent="0.3">
      <c r="H139" s="12" t="s">
        <v>102</v>
      </c>
      <c r="I139" s="12" t="s">
        <v>846</v>
      </c>
      <c r="J139" s="229">
        <f t="shared" ref="J139:K139" si="58">+J121*$R$3/1000000</f>
        <v>21.450884058013838</v>
      </c>
      <c r="K139" s="229">
        <f t="shared" si="58"/>
        <v>21.173796174722664</v>
      </c>
      <c r="L139" s="229">
        <f t="shared" si="41"/>
        <v>22.060639953463127</v>
      </c>
      <c r="M139" s="229">
        <f t="shared" si="42"/>
        <v>24.100563154252466</v>
      </c>
      <c r="N139" s="229">
        <f t="shared" si="43"/>
        <v>26.231573439673227</v>
      </c>
      <c r="O139" s="229">
        <f t="shared" si="44"/>
        <v>27.763950507910614</v>
      </c>
      <c r="P139" s="229">
        <f t="shared" si="45"/>
        <v>29.937011777070548</v>
      </c>
      <c r="Q139" s="229">
        <f t="shared" si="46"/>
        <v>31.611998038364984</v>
      </c>
    </row>
    <row r="140" spans="8:17" ht="15.75" customHeight="1" x14ac:dyDescent="0.3">
      <c r="H140" s="962" t="s">
        <v>9</v>
      </c>
      <c r="I140" s="962" t="s">
        <v>1779</v>
      </c>
      <c r="J140" s="965">
        <f>J163</f>
        <v>34.722222222222221</v>
      </c>
      <c r="K140" s="965">
        <f>K163</f>
        <v>34.824952753813164</v>
      </c>
      <c r="L140" s="965">
        <f>P163</f>
        <v>35.244622383984812</v>
      </c>
      <c r="M140" s="965">
        <f>U163</f>
        <v>35.486714815683946</v>
      </c>
      <c r="N140" s="965">
        <f>Z163</f>
        <v>35.762399958943007</v>
      </c>
      <c r="O140" s="965">
        <f>AE163</f>
        <v>36.047299171448309</v>
      </c>
      <c r="P140" s="965">
        <f>AJ163</f>
        <v>36.36168531965621</v>
      </c>
      <c r="Q140" s="965">
        <f>AO163</f>
        <v>36.790901596489121</v>
      </c>
    </row>
    <row r="141" spans="8:17" ht="15.75" customHeight="1" x14ac:dyDescent="0.3"/>
    <row r="142" spans="8:17" ht="15.75" customHeight="1" x14ac:dyDescent="0.3"/>
    <row r="143" spans="8:17" ht="15.75" customHeight="1" x14ac:dyDescent="0.3"/>
    <row r="144" spans="8:17" ht="15.75" customHeight="1" x14ac:dyDescent="0.3">
      <c r="I144" s="12" t="s">
        <v>847</v>
      </c>
      <c r="J144" s="231">
        <v>2019</v>
      </c>
      <c r="K144" s="231">
        <v>2020</v>
      </c>
      <c r="L144" s="231">
        <v>2025</v>
      </c>
      <c r="M144" s="231">
        <v>2030</v>
      </c>
      <c r="N144" s="231">
        <v>2035</v>
      </c>
      <c r="O144" s="231">
        <v>2040</v>
      </c>
      <c r="P144" s="231">
        <v>2045</v>
      </c>
      <c r="Q144" s="231">
        <v>2050</v>
      </c>
    </row>
    <row r="145" spans="9:41" ht="15.75" customHeight="1" x14ac:dyDescent="0.3">
      <c r="I145" s="12" t="s">
        <v>74</v>
      </c>
      <c r="J145" s="12">
        <v>27.015813128159731</v>
      </c>
      <c r="K145" s="12">
        <v>26.062049484430577</v>
      </c>
      <c r="L145" s="12">
        <v>27.26293166627044</v>
      </c>
      <c r="M145" s="12">
        <v>28.990379051104217</v>
      </c>
      <c r="N145" s="12">
        <v>31.697009911247882</v>
      </c>
      <c r="O145" s="12">
        <v>32.967623003898666</v>
      </c>
      <c r="P145" s="12">
        <v>34.607787018684213</v>
      </c>
      <c r="Q145" s="12">
        <v>35.963817996706439</v>
      </c>
    </row>
    <row r="146" spans="9:41" ht="15.75" customHeight="1" x14ac:dyDescent="0.3">
      <c r="I146" s="12" t="s">
        <v>846</v>
      </c>
      <c r="J146" s="12">
        <v>21.475872844615932</v>
      </c>
      <c r="K146" s="12">
        <v>21.173796174722664</v>
      </c>
      <c r="L146" s="12">
        <v>23.09908472316074</v>
      </c>
      <c r="M146" s="12">
        <v>25.352291121728861</v>
      </c>
      <c r="N146" s="12">
        <v>28.770631310279356</v>
      </c>
      <c r="O146" s="12">
        <v>30.877675811857468</v>
      </c>
      <c r="P146" s="12">
        <v>33.171074715211802</v>
      </c>
      <c r="Q146" s="12">
        <v>35.177965790480719</v>
      </c>
    </row>
    <row r="147" spans="9:41" ht="15.75" customHeight="1" x14ac:dyDescent="0.3">
      <c r="I147" s="12" t="s">
        <v>843</v>
      </c>
      <c r="J147" s="12">
        <v>20.996450693126999</v>
      </c>
      <c r="K147" s="12">
        <v>20.789779196276999</v>
      </c>
      <c r="L147" s="12">
        <v>21.49552278666</v>
      </c>
      <c r="M147" s="12">
        <v>22.787761319388</v>
      </c>
      <c r="N147" s="12">
        <v>24.782312344958999</v>
      </c>
      <c r="O147" s="12">
        <v>26.081950485006001</v>
      </c>
      <c r="P147" s="12">
        <v>27.657616630877996</v>
      </c>
      <c r="Q147" s="12">
        <v>28.857208895307</v>
      </c>
    </row>
    <row r="148" spans="9:41" ht="15.75" customHeight="1" x14ac:dyDescent="0.3">
      <c r="I148" s="12" t="s">
        <v>63</v>
      </c>
      <c r="J148" s="12">
        <v>20.905028056574999</v>
      </c>
      <c r="K148" s="12">
        <v>20.166998975720997</v>
      </c>
      <c r="L148" s="12">
        <v>21.096250136325001</v>
      </c>
      <c r="M148" s="12">
        <v>22.432961190509999</v>
      </c>
      <c r="N148" s="12">
        <v>24.527371371749997</v>
      </c>
      <c r="O148" s="12">
        <v>25.510580806347001</v>
      </c>
      <c r="P148" s="12">
        <v>26.779751368928999</v>
      </c>
      <c r="Q148" s="12">
        <v>27.829057769838002</v>
      </c>
    </row>
    <row r="149" spans="9:41" ht="15.75" customHeight="1" x14ac:dyDescent="0.3">
      <c r="I149" s="12" t="s">
        <v>22</v>
      </c>
      <c r="J149" s="12">
        <v>17.550825014150998</v>
      </c>
      <c r="K149" s="12">
        <v>17.327211288426</v>
      </c>
      <c r="L149" s="12">
        <v>21.000397403115002</v>
      </c>
      <c r="M149" s="12">
        <v>23.265791875521</v>
      </c>
      <c r="N149" s="12">
        <v>25.362927030636001</v>
      </c>
      <c r="O149" s="12">
        <v>27.015707567627999</v>
      </c>
      <c r="P149" s="12">
        <v>29.097066308778</v>
      </c>
      <c r="Q149" s="12">
        <v>30.992470937063995</v>
      </c>
    </row>
    <row r="150" spans="9:41" ht="15.75" customHeight="1" x14ac:dyDescent="0.3">
      <c r="I150" s="12" t="s">
        <v>784</v>
      </c>
      <c r="J150" s="12">
        <v>15.484369752577541</v>
      </c>
      <c r="K150" s="12">
        <v>15.168782704888827</v>
      </c>
      <c r="L150" s="12">
        <v>16.949109551577816</v>
      </c>
      <c r="M150" s="12">
        <v>19.89820760097551</v>
      </c>
      <c r="N150" s="12">
        <v>20.433037285408389</v>
      </c>
      <c r="O150" s="12">
        <v>21.046576062396845</v>
      </c>
      <c r="P150" s="12">
        <v>22.996499995778219</v>
      </c>
      <c r="Q150" s="12">
        <v>24.2190062601092</v>
      </c>
    </row>
    <row r="151" spans="9:41" ht="15.75" customHeight="1" x14ac:dyDescent="0.3">
      <c r="I151" s="12" t="s">
        <v>844</v>
      </c>
      <c r="J151" s="12">
        <v>13.877034192216</v>
      </c>
      <c r="K151" s="12">
        <v>13.679057020707001</v>
      </c>
      <c r="L151" s="12">
        <v>14.925902701670999</v>
      </c>
      <c r="M151" s="12">
        <v>16.381853873541001</v>
      </c>
      <c r="N151" s="12">
        <v>18.590677888301997</v>
      </c>
      <c r="O151" s="12">
        <v>19.952183835207002</v>
      </c>
      <c r="P151" s="12">
        <v>21.434106140693999</v>
      </c>
      <c r="Q151" s="12">
        <v>22.730896090656</v>
      </c>
    </row>
    <row r="152" spans="9:41" ht="15.75" customHeight="1" x14ac:dyDescent="0.3">
      <c r="I152" s="12" t="s">
        <v>13</v>
      </c>
      <c r="J152" s="12">
        <v>9.4202649837692984</v>
      </c>
      <c r="K152" s="12">
        <v>9.6527165147854426</v>
      </c>
      <c r="L152" s="12">
        <v>11.578601139308462</v>
      </c>
      <c r="M152" s="12">
        <v>12.911789354957682</v>
      </c>
      <c r="N152" s="12">
        <v>14.757523117529285</v>
      </c>
      <c r="O152" s="12">
        <v>16.087232795682176</v>
      </c>
      <c r="P152" s="12">
        <v>17.631300754150111</v>
      </c>
      <c r="Q152" s="12">
        <v>18.826932611437442</v>
      </c>
    </row>
    <row r="153" spans="9:41" ht="15.75" customHeight="1" x14ac:dyDescent="0.3">
      <c r="I153" s="12" t="s">
        <v>832</v>
      </c>
      <c r="J153" s="12">
        <v>9.4202649837692984</v>
      </c>
      <c r="K153" s="12">
        <v>9.6527165147854426</v>
      </c>
      <c r="L153" s="12">
        <v>11.578601139308462</v>
      </c>
      <c r="M153" s="12">
        <v>12.911789354957682</v>
      </c>
      <c r="N153" s="12">
        <v>14.757523117529285</v>
      </c>
      <c r="O153" s="12">
        <v>16.087232795682176</v>
      </c>
      <c r="P153" s="12">
        <v>17.631300754150111</v>
      </c>
      <c r="Q153" s="12">
        <v>18.826932611437442</v>
      </c>
    </row>
    <row r="154" spans="9:41" ht="15.75" customHeight="1" x14ac:dyDescent="0.3">
      <c r="I154" s="12" t="s">
        <v>782</v>
      </c>
      <c r="J154" s="12">
        <v>9.2360008608660014</v>
      </c>
      <c r="K154" s="12">
        <v>9.6932486336400014</v>
      </c>
      <c r="L154" s="12">
        <v>9.5472696505679995</v>
      </c>
      <c r="M154" s="12">
        <v>10.673080048449</v>
      </c>
      <c r="N154" s="12">
        <v>12.218909862978</v>
      </c>
      <c r="O154" s="12">
        <v>13.22060646816</v>
      </c>
      <c r="P154" s="12">
        <v>14.059067186150999</v>
      </c>
      <c r="Q154" s="12">
        <v>15.210941603714998</v>
      </c>
    </row>
    <row r="155" spans="9:41" ht="15.75" customHeight="1" x14ac:dyDescent="0.3">
      <c r="I155" s="12" t="s">
        <v>17</v>
      </c>
      <c r="J155" s="12">
        <v>8.6667911578505574</v>
      </c>
      <c r="K155" s="12">
        <v>8.8806502029103971</v>
      </c>
      <c r="L155" s="12">
        <v>10.652494186451701</v>
      </c>
      <c r="M155" s="12">
        <v>11.87904820155075</v>
      </c>
      <c r="N155" s="12">
        <v>13.577152138198308</v>
      </c>
      <c r="O155" s="12">
        <v>14.800505844381702</v>
      </c>
      <c r="P155" s="12">
        <v>16.22107252192496</v>
      </c>
      <c r="Q155" s="12">
        <v>17.321072535367904</v>
      </c>
    </row>
    <row r="156" spans="9:41" ht="15.75" customHeight="1" x14ac:dyDescent="0.3">
      <c r="I156" s="12" t="s">
        <v>841</v>
      </c>
      <c r="J156" s="12">
        <v>7.1598435060130807</v>
      </c>
      <c r="K156" s="12">
        <v>7.3365175791603097</v>
      </c>
      <c r="L156" s="12">
        <v>8.8002802807381819</v>
      </c>
      <c r="M156" s="12">
        <v>9.8135658947368913</v>
      </c>
      <c r="N156" s="12">
        <v>11.216410179536366</v>
      </c>
      <c r="O156" s="12">
        <v>12.227051941780758</v>
      </c>
      <c r="P156" s="12">
        <v>13.400616057474668</v>
      </c>
      <c r="Q156" s="12">
        <v>14.309352383228823</v>
      </c>
    </row>
    <row r="157" spans="9:41" ht="15.75" customHeight="1" x14ac:dyDescent="0.3">
      <c r="I157" s="12" t="s">
        <v>845</v>
      </c>
      <c r="J157" s="12">
        <v>4.7688341321789993</v>
      </c>
      <c r="K157" s="12">
        <v>4.6568448145439998</v>
      </c>
      <c r="L157" s="12">
        <v>5.7706406841329994</v>
      </c>
      <c r="M157" s="12">
        <v>6.7599028780919994</v>
      </c>
      <c r="N157" s="12">
        <v>7.3262282746769998</v>
      </c>
      <c r="O157" s="12">
        <v>7.6825591280100003</v>
      </c>
      <c r="P157" s="12">
        <v>8.0943780319740011</v>
      </c>
      <c r="Q157" s="12">
        <v>8.6837619205349998</v>
      </c>
    </row>
    <row r="158" spans="9:41" ht="15.75" customHeight="1" x14ac:dyDescent="0.3"/>
    <row r="159" spans="9:41" ht="15.75" customHeight="1" x14ac:dyDescent="0.3"/>
    <row r="160" spans="9:41" ht="15.75" customHeight="1" x14ac:dyDescent="0.3">
      <c r="J160" s="12">
        <v>2019</v>
      </c>
      <c r="K160" s="12">
        <v>2020</v>
      </c>
      <c r="L160" s="12">
        <v>2021</v>
      </c>
      <c r="M160" s="12">
        <v>2022</v>
      </c>
      <c r="N160" s="12">
        <v>2023</v>
      </c>
      <c r="O160" s="12">
        <v>2024</v>
      </c>
      <c r="P160" s="12">
        <v>2025</v>
      </c>
      <c r="Q160" s="12">
        <v>2026</v>
      </c>
      <c r="R160" s="12">
        <v>2027</v>
      </c>
      <c r="S160" s="12">
        <v>2028</v>
      </c>
      <c r="T160" s="12">
        <v>2029</v>
      </c>
      <c r="U160" s="12">
        <v>2030</v>
      </c>
      <c r="V160" s="12">
        <v>2031</v>
      </c>
      <c r="W160" s="12">
        <v>2032</v>
      </c>
      <c r="X160" s="12">
        <v>2033</v>
      </c>
      <c r="Y160" s="12">
        <v>2034</v>
      </c>
      <c r="Z160" s="12">
        <v>2035</v>
      </c>
      <c r="AA160" s="12">
        <v>2036</v>
      </c>
      <c r="AB160" s="12">
        <v>2037</v>
      </c>
      <c r="AC160" s="12">
        <v>2038</v>
      </c>
      <c r="AD160" s="12">
        <v>2039</v>
      </c>
      <c r="AE160" s="12">
        <v>2040</v>
      </c>
      <c r="AF160" s="12">
        <v>2041</v>
      </c>
      <c r="AG160" s="12">
        <v>2042</v>
      </c>
      <c r="AH160" s="12">
        <v>2043</v>
      </c>
      <c r="AI160" s="12">
        <v>2044</v>
      </c>
      <c r="AJ160" s="12">
        <v>2045</v>
      </c>
      <c r="AK160" s="12">
        <v>2046</v>
      </c>
      <c r="AL160" s="12">
        <v>2047</v>
      </c>
      <c r="AM160" s="12">
        <v>2048</v>
      </c>
      <c r="AN160" s="12">
        <v>2049</v>
      </c>
      <c r="AO160" s="12">
        <v>2050</v>
      </c>
    </row>
    <row r="161" spans="9:41" ht="15.75" customHeight="1" x14ac:dyDescent="0.3">
      <c r="I161" s="825" t="s">
        <v>1780</v>
      </c>
      <c r="J161" s="963">
        <v>29.024152999999998</v>
      </c>
      <c r="K161" s="964">
        <v>29.110025</v>
      </c>
      <c r="L161" s="963">
        <v>29.242495999999999</v>
      </c>
      <c r="M161" s="963">
        <v>29.313385</v>
      </c>
      <c r="N161" s="964">
        <v>29.319500000000001</v>
      </c>
      <c r="O161" s="964">
        <v>29.398705</v>
      </c>
      <c r="P161" s="963">
        <v>29.460825</v>
      </c>
      <c r="Q161" s="964">
        <v>29.472882999999999</v>
      </c>
      <c r="R161" s="963">
        <v>29.567022000000001</v>
      </c>
      <c r="S161" s="964">
        <v>29.642439</v>
      </c>
      <c r="T161" s="963">
        <v>29.657565999999999</v>
      </c>
      <c r="U161" s="964">
        <v>29.663188999999999</v>
      </c>
      <c r="V161" s="963">
        <v>29.694433</v>
      </c>
      <c r="W161" s="964">
        <v>29.732624000000001</v>
      </c>
      <c r="X161" s="963">
        <v>29.849364999999999</v>
      </c>
      <c r="Y161" s="964">
        <v>29.852777</v>
      </c>
      <c r="Z161" s="964">
        <v>29.893633000000001</v>
      </c>
      <c r="AA161" s="963">
        <v>29.931808</v>
      </c>
      <c r="AB161" s="963">
        <v>29.942001000000001</v>
      </c>
      <c r="AC161" s="963">
        <v>29.993071</v>
      </c>
      <c r="AD161" s="964">
        <v>30.084644000000001</v>
      </c>
      <c r="AE161" s="963">
        <v>30.131779000000002</v>
      </c>
      <c r="AF161" s="964">
        <v>30.234314000000001</v>
      </c>
      <c r="AG161" s="964">
        <v>30.250845000000002</v>
      </c>
      <c r="AH161" s="963">
        <v>30.257355</v>
      </c>
      <c r="AI161" s="964">
        <v>30.270491</v>
      </c>
      <c r="AJ161" s="963">
        <v>30.394573000000001</v>
      </c>
      <c r="AK161" s="964">
        <v>30.452465</v>
      </c>
      <c r="AL161" s="964">
        <v>30.454449</v>
      </c>
      <c r="AM161" s="963">
        <v>30.593702</v>
      </c>
      <c r="AN161" s="963">
        <v>30.631550000000001</v>
      </c>
      <c r="AO161" s="964">
        <v>30.753353000000001</v>
      </c>
    </row>
    <row r="162" spans="9:41" ht="15.75" customHeight="1" x14ac:dyDescent="0.3">
      <c r="I162" s="962" t="s">
        <v>1781</v>
      </c>
      <c r="K162" s="898">
        <f>(K161-$J$161)/$J$161</f>
        <v>2.958639309819031E-3</v>
      </c>
      <c r="L162" s="898">
        <f t="shared" ref="L162:AN162" si="59">(L161-$J$161)/$J$161</f>
        <v>7.522803507823324E-3</v>
      </c>
      <c r="M162" s="898">
        <f t="shared" si="59"/>
        <v>9.9652175896399776E-3</v>
      </c>
      <c r="N162" s="898">
        <f t="shared" si="59"/>
        <v>1.0175904185731213E-2</v>
      </c>
      <c r="O162" s="898">
        <f t="shared" si="59"/>
        <v>1.2904838256606536E-2</v>
      </c>
      <c r="P162" s="898">
        <f t="shared" si="59"/>
        <v>1.5045124658762704E-2</v>
      </c>
      <c r="Q162" s="898">
        <f t="shared" si="59"/>
        <v>1.5460571752085279E-2</v>
      </c>
      <c r="R162" s="898">
        <f t="shared" si="59"/>
        <v>1.8704042801869297E-2</v>
      </c>
      <c r="S162" s="898">
        <f t="shared" si="59"/>
        <v>2.1302464881576434E-2</v>
      </c>
      <c r="T162" s="898">
        <f t="shared" si="59"/>
        <v>2.1823651494670696E-2</v>
      </c>
      <c r="U162" s="898">
        <f t="shared" si="59"/>
        <v>2.2017386691697803E-2</v>
      </c>
      <c r="V162" s="898">
        <f t="shared" si="59"/>
        <v>2.3093869440393378E-2</v>
      </c>
      <c r="W162" s="898">
        <f t="shared" si="59"/>
        <v>2.4409704565711288E-2</v>
      </c>
      <c r="X162" s="898">
        <f t="shared" si="59"/>
        <v>2.8431906350548819E-2</v>
      </c>
      <c r="Y162" s="898">
        <f t="shared" si="59"/>
        <v>2.8549463613977002E-2</v>
      </c>
      <c r="Z162" s="898">
        <f t="shared" si="59"/>
        <v>2.9957118817558706E-2</v>
      </c>
      <c r="AA162" s="898">
        <f t="shared" si="59"/>
        <v>3.1272402677866323E-2</v>
      </c>
      <c r="AB162" s="898">
        <f t="shared" si="59"/>
        <v>3.1623592943435863E-2</v>
      </c>
      <c r="AC162" s="898">
        <f t="shared" si="59"/>
        <v>3.3383161947912909E-2</v>
      </c>
      <c r="AD162" s="898">
        <f t="shared" si="59"/>
        <v>3.6538223871683789E-2</v>
      </c>
      <c r="AE162" s="898">
        <f t="shared" si="59"/>
        <v>3.8162216137711355E-2</v>
      </c>
      <c r="AF162" s="898">
        <f t="shared" si="59"/>
        <v>4.1694963501605127E-2</v>
      </c>
      <c r="AG162" s="898">
        <f t="shared" si="59"/>
        <v>4.2264523619345705E-2</v>
      </c>
      <c r="AH162" s="898">
        <f t="shared" si="59"/>
        <v>4.2488819570376514E-2</v>
      </c>
      <c r="AI162" s="898">
        <f t="shared" si="59"/>
        <v>4.2941408143762252E-2</v>
      </c>
      <c r="AJ162" s="898">
        <f t="shared" si="59"/>
        <v>4.7216537206098759E-2</v>
      </c>
      <c r="AK162" s="898">
        <f t="shared" si="59"/>
        <v>4.9211151829305813E-2</v>
      </c>
      <c r="AL162" s="898">
        <f t="shared" si="59"/>
        <v>4.927950869057237E-2</v>
      </c>
      <c r="AM162" s="898">
        <f t="shared" si="59"/>
        <v>5.4077340344781198E-2</v>
      </c>
      <c r="AN162" s="898">
        <f t="shared" si="59"/>
        <v>5.5381357726442614E-2</v>
      </c>
      <c r="AO162" s="898">
        <f>(AO161-$J$161)/$J$161</f>
        <v>5.9577965978886704E-2</v>
      </c>
    </row>
    <row r="163" spans="9:41" ht="15.75" customHeight="1" x14ac:dyDescent="0.3">
      <c r="I163" s="962" t="s">
        <v>1782</v>
      </c>
      <c r="J163">
        <f>$E$47</f>
        <v>34.722222222222221</v>
      </c>
      <c r="K163">
        <f>$J$163*(100%+K162)</f>
        <v>34.824952753813164</v>
      </c>
      <c r="L163">
        <f t="shared" ref="L163:AO163" si="60">$J$163*(100%+L162)</f>
        <v>34.983430677354981</v>
      </c>
      <c r="M163">
        <f t="shared" si="60"/>
        <v>35.068236721862505</v>
      </c>
      <c r="N163">
        <f t="shared" si="60"/>
        <v>35.075552228671221</v>
      </c>
      <c r="O163">
        <f t="shared" si="60"/>
        <v>35.170306883909952</v>
      </c>
      <c r="P163">
        <f t="shared" si="60"/>
        <v>35.244622383984812</v>
      </c>
      <c r="Q163">
        <f t="shared" si="60"/>
        <v>35.25904763028074</v>
      </c>
      <c r="R163">
        <f t="shared" si="60"/>
        <v>35.37166815284268</v>
      </c>
      <c r="S163">
        <f t="shared" si="60"/>
        <v>35.461891141721402</v>
      </c>
      <c r="T163">
        <f t="shared" si="60"/>
        <v>35.479987899120516</v>
      </c>
      <c r="U163">
        <f t="shared" si="60"/>
        <v>35.486714815683946</v>
      </c>
      <c r="V163">
        <f t="shared" si="60"/>
        <v>35.524092688902542</v>
      </c>
      <c r="W163">
        <f t="shared" si="60"/>
        <v>35.569781408531639</v>
      </c>
      <c r="X163">
        <f t="shared" si="60"/>
        <v>35.709441192727382</v>
      </c>
      <c r="Y163">
        <f t="shared" si="60"/>
        <v>35.713523042151976</v>
      </c>
      <c r="Z163">
        <f t="shared" si="60"/>
        <v>35.762399958943007</v>
      </c>
      <c r="AA163">
        <f t="shared" si="60"/>
        <v>35.808069537425915</v>
      </c>
      <c r="AB163">
        <f t="shared" si="60"/>
        <v>35.820263643869303</v>
      </c>
      <c r="AC163">
        <f t="shared" si="60"/>
        <v>35.881359789858088</v>
      </c>
      <c r="AD163">
        <f t="shared" si="60"/>
        <v>35.990910551100129</v>
      </c>
      <c r="AE163">
        <f t="shared" si="60"/>
        <v>36.047299171448309</v>
      </c>
      <c r="AF163">
        <f t="shared" si="60"/>
        <v>36.169964010472398</v>
      </c>
      <c r="AG163">
        <f t="shared" si="60"/>
        <v>36.189740403449505</v>
      </c>
      <c r="AH163">
        <f t="shared" si="60"/>
        <v>36.197528457304742</v>
      </c>
      <c r="AI163">
        <f t="shared" si="60"/>
        <v>36.213243338325078</v>
      </c>
      <c r="AJ163">
        <f t="shared" si="60"/>
        <v>36.36168531965621</v>
      </c>
      <c r="AK163">
        <f t="shared" si="60"/>
        <v>36.430942771850901</v>
      </c>
      <c r="AL163">
        <f t="shared" si="60"/>
        <v>36.433316273978207</v>
      </c>
      <c r="AM163">
        <f t="shared" si="60"/>
        <v>36.599907650860459</v>
      </c>
      <c r="AN163">
        <f t="shared" si="60"/>
        <v>36.645186032168148</v>
      </c>
      <c r="AO163">
        <f t="shared" si="60"/>
        <v>36.790901596489121</v>
      </c>
    </row>
    <row r="164" spans="9:41" ht="15.75" customHeight="1" x14ac:dyDescent="0.3"/>
    <row r="165" spans="9:41" ht="15.75" customHeight="1" x14ac:dyDescent="0.3"/>
    <row r="166" spans="9:41" ht="15.75" customHeight="1" x14ac:dyDescent="0.3"/>
    <row r="167" spans="9:41" ht="15.75" customHeight="1" x14ac:dyDescent="0.3"/>
    <row r="168" spans="9:41" ht="15.75" customHeight="1" x14ac:dyDescent="0.3"/>
    <row r="169" spans="9:41" ht="15.75" customHeight="1" x14ac:dyDescent="0.3"/>
    <row r="170" spans="9:41" ht="15.75" customHeight="1" x14ac:dyDescent="0.3"/>
    <row r="171" spans="9:41" ht="15.75" customHeight="1" x14ac:dyDescent="0.3"/>
    <row r="172" spans="9:41" ht="15.75" customHeight="1" x14ac:dyDescent="0.3"/>
    <row r="173" spans="9:41" ht="15.75" customHeight="1" x14ac:dyDescent="0.3"/>
    <row r="174" spans="9:41" ht="15.75" customHeight="1" x14ac:dyDescent="0.3"/>
    <row r="175" spans="9:41" ht="15.75" customHeight="1" x14ac:dyDescent="0.3"/>
    <row r="176" spans="9:41" ht="15.75" customHeight="1" x14ac:dyDescent="0.3"/>
    <row r="177" spans="9:17" ht="15.75" customHeight="1" x14ac:dyDescent="0.3"/>
    <row r="178" spans="9:17" ht="15.75" customHeight="1" x14ac:dyDescent="0.3"/>
    <row r="179" spans="9:17" ht="15.75" customHeight="1" x14ac:dyDescent="0.3">
      <c r="I179" s="12" t="s">
        <v>848</v>
      </c>
    </row>
    <row r="180" spans="9:17" ht="15.75" customHeight="1" x14ac:dyDescent="0.3">
      <c r="I180" s="12" t="s">
        <v>847</v>
      </c>
      <c r="J180" s="12">
        <v>2019</v>
      </c>
      <c r="K180" s="12">
        <v>2020</v>
      </c>
      <c r="L180" s="12">
        <v>2025</v>
      </c>
      <c r="M180" s="12">
        <v>2030</v>
      </c>
      <c r="N180" s="12">
        <v>2035</v>
      </c>
      <c r="O180" s="12">
        <v>2040</v>
      </c>
      <c r="P180" s="12">
        <v>2045</v>
      </c>
      <c r="Q180" s="12">
        <v>2050</v>
      </c>
    </row>
    <row r="181" spans="9:17" ht="15.75" customHeight="1" x14ac:dyDescent="0.3">
      <c r="I181" s="12" t="s">
        <v>74</v>
      </c>
      <c r="J181" s="12">
        <v>27.015813128159731</v>
      </c>
      <c r="K181" s="12">
        <v>31.322836701288676</v>
      </c>
      <c r="L181" s="12">
        <v>39.015640552433432</v>
      </c>
      <c r="M181" s="12">
        <v>42.266280355693034</v>
      </c>
      <c r="N181" s="12">
        <v>45.088618066974036</v>
      </c>
      <c r="O181" s="12">
        <v>47.363336148644329</v>
      </c>
      <c r="P181" s="12">
        <v>49.233692323046512</v>
      </c>
      <c r="Q181" s="12">
        <v>50.210386940852374</v>
      </c>
    </row>
    <row r="182" spans="9:17" ht="15.75" customHeight="1" x14ac:dyDescent="0.3">
      <c r="I182" s="12" t="s">
        <v>846</v>
      </c>
      <c r="J182" s="12">
        <v>21.450884058013838</v>
      </c>
      <c r="K182" s="12">
        <v>21.173796174722664</v>
      </c>
      <c r="L182" s="12">
        <v>37.186692773166044</v>
      </c>
      <c r="M182" s="12">
        <v>41.229377773012715</v>
      </c>
      <c r="N182" s="12">
        <v>44.916747362229778</v>
      </c>
      <c r="O182" s="12">
        <v>47.699295534749872</v>
      </c>
      <c r="P182" s="12">
        <v>49.876800958156473</v>
      </c>
      <c r="Q182" s="12">
        <v>51.271656543925765</v>
      </c>
    </row>
    <row r="183" spans="9:17" ht="15.75" customHeight="1" x14ac:dyDescent="0.3">
      <c r="I183" s="12" t="s">
        <v>843</v>
      </c>
      <c r="J183" s="12">
        <v>20.996427945518999</v>
      </c>
      <c r="K183" s="12">
        <v>25.491360025404003</v>
      </c>
      <c r="L183" s="12">
        <v>30.547421569079997</v>
      </c>
      <c r="M183" s="12">
        <v>33.024909051576003</v>
      </c>
      <c r="N183" s="12">
        <v>35.898836159393994</v>
      </c>
      <c r="O183" s="12">
        <v>37.688749703397008</v>
      </c>
      <c r="P183" s="12">
        <v>38.537161552070998</v>
      </c>
      <c r="Q183" s="12">
        <v>39.804000484833004</v>
      </c>
    </row>
    <row r="184" spans="9:17" ht="15.75" customHeight="1" x14ac:dyDescent="0.3">
      <c r="I184" s="12" t="s">
        <v>63</v>
      </c>
      <c r="J184" s="12">
        <v>20.905026160941002</v>
      </c>
      <c r="K184" s="12">
        <v>24.237831286772998</v>
      </c>
      <c r="L184" s="12">
        <v>30.190576998933</v>
      </c>
      <c r="M184" s="12">
        <v>32.705944935650997</v>
      </c>
      <c r="N184" s="12">
        <v>34.889889701978994</v>
      </c>
      <c r="O184" s="12">
        <v>36.650082548313001</v>
      </c>
      <c r="P184" s="12">
        <v>38.097377307522002</v>
      </c>
      <c r="Q184" s="12">
        <v>38.853150470433008</v>
      </c>
    </row>
    <row r="185" spans="9:17" ht="15.75" customHeight="1" x14ac:dyDescent="0.3">
      <c r="I185" s="12" t="s">
        <v>22</v>
      </c>
      <c r="J185" s="12">
        <v>17.551047751146001</v>
      </c>
      <c r="K185" s="12">
        <v>20.045582670203999</v>
      </c>
      <c r="L185" s="12">
        <v>30.990463460658003</v>
      </c>
      <c r="M185" s="12">
        <v>37.844807772446998</v>
      </c>
      <c r="N185" s="12">
        <v>40.179621309749997</v>
      </c>
      <c r="O185" s="12">
        <v>41.761107999819004</v>
      </c>
      <c r="P185" s="12">
        <v>43.302257494001999</v>
      </c>
      <c r="Q185" s="12">
        <v>43.799493666006001</v>
      </c>
    </row>
    <row r="186" spans="9:17" ht="15.75" customHeight="1" x14ac:dyDescent="0.3">
      <c r="I186" s="12" t="s">
        <v>784</v>
      </c>
      <c r="J186" s="12">
        <v>15.484369752577541</v>
      </c>
      <c r="K186" s="12">
        <v>15.267547210351818</v>
      </c>
      <c r="L186" s="12">
        <v>16.076228516171685</v>
      </c>
      <c r="M186" s="12">
        <v>18.475113595146638</v>
      </c>
      <c r="N186" s="12">
        <v>25.499449139045872</v>
      </c>
      <c r="O186" s="12">
        <v>28.021512547352661</v>
      </c>
      <c r="P186" s="12">
        <v>25.226404215831689</v>
      </c>
      <c r="Q186" s="12">
        <v>26.973992561674077</v>
      </c>
    </row>
    <row r="187" spans="9:17" ht="15.75" customHeight="1" x14ac:dyDescent="0.3">
      <c r="I187" s="12" t="s">
        <v>844</v>
      </c>
      <c r="J187" s="12">
        <v>13.877034192216</v>
      </c>
      <c r="K187" s="12">
        <v>17.954588421432</v>
      </c>
      <c r="L187" s="12">
        <v>24.371681055696005</v>
      </c>
      <c r="M187" s="12">
        <v>27.021204906228</v>
      </c>
      <c r="N187" s="12">
        <v>29.437859598029998</v>
      </c>
      <c r="O187" s="12">
        <v>31.261505949063</v>
      </c>
      <c r="P187" s="12">
        <v>32.688615049622996</v>
      </c>
      <c r="Q187" s="12">
        <v>33.602785493940004</v>
      </c>
    </row>
    <row r="188" spans="9:17" ht="15.75" customHeight="1" x14ac:dyDescent="0.3">
      <c r="I188" s="12" t="s">
        <v>13</v>
      </c>
      <c r="J188" s="12">
        <v>9.4202649837693002</v>
      </c>
      <c r="K188" s="12">
        <v>8.8971488688237894</v>
      </c>
      <c r="L188" s="12">
        <v>10.809495075642701</v>
      </c>
      <c r="M188" s="12">
        <v>11.944874310089356</v>
      </c>
      <c r="N188" s="12">
        <v>13.287214218828185</v>
      </c>
      <c r="O188" s="12">
        <v>14.355702223711937</v>
      </c>
      <c r="P188" s="12">
        <v>15.630732976072419</v>
      </c>
      <c r="Q188" s="12">
        <v>16.864994934098721</v>
      </c>
    </row>
    <row r="189" spans="9:17" ht="15.75" customHeight="1" x14ac:dyDescent="0.3">
      <c r="I189" s="12" t="s">
        <v>832</v>
      </c>
      <c r="J189" s="12">
        <v>9.4202649837692984</v>
      </c>
      <c r="K189" s="12">
        <v>13.936113077570406</v>
      </c>
      <c r="L189" s="12">
        <v>18.754767902286247</v>
      </c>
      <c r="M189" s="12">
        <v>22.369962611540721</v>
      </c>
      <c r="N189" s="12">
        <v>25.612524998362172</v>
      </c>
      <c r="O189" s="12">
        <v>27.580685197432587</v>
      </c>
      <c r="P189" s="12">
        <v>29.099592320712304</v>
      </c>
      <c r="Q189" s="12">
        <v>30.008644929154396</v>
      </c>
    </row>
    <row r="190" spans="9:17" ht="15.75" customHeight="1" x14ac:dyDescent="0.3">
      <c r="I190" s="12" t="s">
        <v>782</v>
      </c>
      <c r="J190" s="12">
        <v>9.3223337201280021</v>
      </c>
      <c r="K190" s="12">
        <v>13.72703456943</v>
      </c>
      <c r="L190" s="12">
        <v>19.950516625104001</v>
      </c>
      <c r="M190" s="12">
        <v>22.011837567057004</v>
      </c>
      <c r="N190" s="12">
        <v>24.103288663623001</v>
      </c>
      <c r="O190" s="12">
        <v>25.621477290980998</v>
      </c>
      <c r="P190" s="12">
        <v>26.186885200710002</v>
      </c>
      <c r="Q190" s="12">
        <v>26.538456117069</v>
      </c>
    </row>
    <row r="191" spans="9:17" ht="15.75" customHeight="1" x14ac:dyDescent="0.3">
      <c r="I191" s="12" t="s">
        <v>17</v>
      </c>
      <c r="J191" s="12">
        <v>8.6667911578505592</v>
      </c>
      <c r="K191" s="12">
        <v>8.1855161483523844</v>
      </c>
      <c r="L191" s="12">
        <v>9.9449045758078007</v>
      </c>
      <c r="M191" s="12">
        <v>10.989471233631489</v>
      </c>
      <c r="N191" s="12">
        <v>12.224444949544161</v>
      </c>
      <c r="O191" s="12">
        <v>13.207470629708267</v>
      </c>
      <c r="P191" s="12">
        <v>14.380518868753001</v>
      </c>
      <c r="Q191" s="12">
        <v>15.516059179213938</v>
      </c>
    </row>
    <row r="192" spans="9:17" ht="15.75" customHeight="1" x14ac:dyDescent="0.3">
      <c r="I192" s="12" t="s">
        <v>841</v>
      </c>
      <c r="J192" s="12">
        <v>7.1598435060130816</v>
      </c>
      <c r="K192" s="12">
        <v>6.7622507074095797</v>
      </c>
      <c r="L192" s="12">
        <v>8.215723576138009</v>
      </c>
      <c r="M192" s="12">
        <v>9.0786650807157603</v>
      </c>
      <c r="N192" s="12">
        <v>10.098906410976124</v>
      </c>
      <c r="O192" s="12">
        <v>10.911007441700926</v>
      </c>
      <c r="P192" s="12">
        <v>11.88009065411417</v>
      </c>
      <c r="Q192" s="12">
        <v>12.818187669444375</v>
      </c>
    </row>
    <row r="193" spans="9:17" ht="15.75" customHeight="1" x14ac:dyDescent="0.3">
      <c r="I193" s="12" t="s">
        <v>845</v>
      </c>
      <c r="J193" s="12">
        <v>4.7686256124390001</v>
      </c>
      <c r="K193" s="12">
        <v>4.4696661221159992</v>
      </c>
      <c r="L193" s="12">
        <v>4.7636988596730001</v>
      </c>
      <c r="M193" s="12">
        <v>5.3431827996689991</v>
      </c>
      <c r="N193" s="12">
        <v>5.6996757297089999</v>
      </c>
      <c r="O193" s="12">
        <v>5.8174002880109992</v>
      </c>
      <c r="P193" s="12">
        <v>6.0810886643129995</v>
      </c>
      <c r="Q193" s="12">
        <v>6.2797274120880004</v>
      </c>
    </row>
    <row r="194" spans="9:17" ht="15.75" customHeight="1" x14ac:dyDescent="0.3"/>
    <row r="195" spans="9:17" ht="15.75" customHeight="1" x14ac:dyDescent="0.3"/>
    <row r="196" spans="9:17" ht="15.75" customHeight="1" x14ac:dyDescent="0.3"/>
    <row r="197" spans="9:17" ht="15.75" customHeight="1" x14ac:dyDescent="0.3"/>
    <row r="198" spans="9:17" ht="15.75" customHeight="1" x14ac:dyDescent="0.3">
      <c r="I198" s="12" t="s">
        <v>849</v>
      </c>
    </row>
    <row r="199" spans="9:17" ht="15.75" customHeight="1" x14ac:dyDescent="0.3">
      <c r="I199" s="12" t="s">
        <v>847</v>
      </c>
      <c r="J199" s="12">
        <v>2019</v>
      </c>
      <c r="K199" s="12">
        <v>2020</v>
      </c>
      <c r="L199" s="12">
        <v>2025</v>
      </c>
      <c r="M199" s="12">
        <v>2030</v>
      </c>
      <c r="N199" s="12">
        <v>2035</v>
      </c>
      <c r="O199" s="12">
        <v>2040</v>
      </c>
      <c r="P199" s="12">
        <v>2045</v>
      </c>
      <c r="Q199" s="12">
        <v>2050</v>
      </c>
    </row>
    <row r="200" spans="9:17" ht="15.75" customHeight="1" x14ac:dyDescent="0.3">
      <c r="I200" s="12" t="s">
        <v>74</v>
      </c>
      <c r="J200" s="12">
        <v>27.015813128159731</v>
      </c>
      <c r="K200" s="12">
        <v>20.762217418713881</v>
      </c>
      <c r="L200" s="12">
        <v>20.285771846776306</v>
      </c>
      <c r="M200" s="12">
        <v>21.032357372857387</v>
      </c>
      <c r="N200" s="12">
        <v>21.1954408429634</v>
      </c>
      <c r="O200" s="12">
        <v>21.496194086339983</v>
      </c>
      <c r="P200" s="12">
        <v>21.624810811928342</v>
      </c>
      <c r="Q200" s="12">
        <v>21.746284069233294</v>
      </c>
    </row>
    <row r="201" spans="9:17" ht="15.75" customHeight="1" x14ac:dyDescent="0.3">
      <c r="I201" s="12" t="s">
        <v>846</v>
      </c>
      <c r="J201" s="12">
        <v>21.450884058013838</v>
      </c>
      <c r="K201" s="12">
        <v>21.173796174722664</v>
      </c>
      <c r="L201" s="12">
        <v>15.995593051497483</v>
      </c>
      <c r="M201" s="12">
        <v>16.640750940798355</v>
      </c>
      <c r="N201" s="12">
        <v>16.949502984384424</v>
      </c>
      <c r="O201" s="12">
        <v>17.366044830737749</v>
      </c>
      <c r="P201" s="12">
        <v>17.587039160074951</v>
      </c>
      <c r="Q201" s="12">
        <v>17.585917982489683</v>
      </c>
    </row>
    <row r="202" spans="9:17" ht="15.75" customHeight="1" x14ac:dyDescent="0.3">
      <c r="I202" s="12" t="s">
        <v>843</v>
      </c>
      <c r="J202" s="12">
        <v>20.996496188342999</v>
      </c>
      <c r="K202" s="12">
        <v>16.800970020588</v>
      </c>
      <c r="L202" s="12">
        <v>15.861653043444001</v>
      </c>
      <c r="M202" s="12">
        <v>16.501408666469999</v>
      </c>
      <c r="N202" s="12">
        <v>16.807575357260998</v>
      </c>
      <c r="O202" s="12">
        <v>17.220629266776005</v>
      </c>
      <c r="P202" s="12">
        <v>17.439773087529002</v>
      </c>
      <c r="Q202" s="12">
        <v>17.438661298188002</v>
      </c>
    </row>
    <row r="203" spans="9:17" ht="15.75" customHeight="1" x14ac:dyDescent="0.3">
      <c r="I203" s="12" t="s">
        <v>63</v>
      </c>
      <c r="J203" s="12">
        <v>20.905036586927999</v>
      </c>
      <c r="K203" s="12">
        <v>16.065957841245002</v>
      </c>
      <c r="L203" s="12">
        <v>15.697280723669998</v>
      </c>
      <c r="M203" s="12">
        <v>16.27499414151</v>
      </c>
      <c r="N203" s="12">
        <v>16.401189340340999</v>
      </c>
      <c r="O203" s="12">
        <v>16.633914430887</v>
      </c>
      <c r="P203" s="12">
        <v>16.733439007154999</v>
      </c>
      <c r="Q203" s="12">
        <v>16.827435914678997</v>
      </c>
    </row>
    <row r="204" spans="9:17" ht="15.75" customHeight="1" x14ac:dyDescent="0.3">
      <c r="I204" s="12" t="s">
        <v>22</v>
      </c>
      <c r="J204" s="12">
        <v>17.551159593552001</v>
      </c>
      <c r="K204" s="12">
        <v>14.072073131025002</v>
      </c>
      <c r="L204" s="12">
        <v>12.941376736509</v>
      </c>
      <c r="M204" s="12">
        <v>13.627454071959001</v>
      </c>
      <c r="N204" s="12">
        <v>13.724267891606999</v>
      </c>
      <c r="O204" s="12">
        <v>13.898379031056001</v>
      </c>
      <c r="P204" s="12">
        <v>14.022830246607001</v>
      </c>
      <c r="Q204" s="12">
        <v>14.158405990287001</v>
      </c>
    </row>
    <row r="205" spans="9:17" ht="15.75" customHeight="1" x14ac:dyDescent="0.3">
      <c r="I205" s="12" t="s">
        <v>784</v>
      </c>
      <c r="J205" s="12">
        <v>15.484369752577541</v>
      </c>
      <c r="K205" s="12">
        <v>14.985124420878694</v>
      </c>
      <c r="L205" s="12">
        <v>16.817830628094004</v>
      </c>
      <c r="M205" s="12">
        <v>19.685127241940332</v>
      </c>
      <c r="N205" s="12">
        <v>20.70291143663777</v>
      </c>
      <c r="O205" s="12">
        <v>22.056181233953279</v>
      </c>
      <c r="P205" s="12">
        <v>22.660588635791161</v>
      </c>
      <c r="Q205" s="12">
        <v>22.956590844506614</v>
      </c>
    </row>
    <row r="206" spans="9:17" ht="15.75" customHeight="1" x14ac:dyDescent="0.3">
      <c r="I206" s="12" t="s">
        <v>844</v>
      </c>
      <c r="J206" s="12">
        <v>13.877034192216</v>
      </c>
      <c r="K206" s="12">
        <v>9.1943784251280007</v>
      </c>
      <c r="L206" s="12">
        <v>9.1138357799190004</v>
      </c>
      <c r="M206" s="12">
        <v>9.6202240728750006</v>
      </c>
      <c r="N206" s="12">
        <v>9.9838720734479978</v>
      </c>
      <c r="O206" s="12">
        <v>10.420767371781</v>
      </c>
      <c r="P206" s="12">
        <v>10.711293186438001</v>
      </c>
      <c r="Q206" s="12">
        <v>10.917375141114</v>
      </c>
    </row>
    <row r="207" spans="9:17" ht="15.75" customHeight="1" x14ac:dyDescent="0.3">
      <c r="I207" s="12" t="s">
        <v>13</v>
      </c>
      <c r="J207" s="12">
        <v>9.4202649837693002</v>
      </c>
      <c r="K207" s="12">
        <v>8.8971488688237894</v>
      </c>
      <c r="L207" s="12">
        <v>10.809495075642701</v>
      </c>
      <c r="M207" s="12">
        <v>11.944874310089356</v>
      </c>
      <c r="N207" s="12">
        <v>13.287214218828185</v>
      </c>
      <c r="O207" s="12">
        <v>14.355702223711937</v>
      </c>
      <c r="P207" s="12">
        <v>15.630732976072419</v>
      </c>
      <c r="Q207" s="12">
        <v>16.864994934098721</v>
      </c>
    </row>
    <row r="208" spans="9:17" ht="15.75" customHeight="1" x14ac:dyDescent="0.3">
      <c r="I208" s="12" t="s">
        <v>832</v>
      </c>
      <c r="J208" s="12">
        <v>9.4202649837692984</v>
      </c>
      <c r="K208" s="12">
        <v>5.5410245813461438</v>
      </c>
      <c r="L208" s="12">
        <v>5.8260146701732038</v>
      </c>
      <c r="M208" s="12">
        <v>6.2035295029981778</v>
      </c>
      <c r="N208" s="12">
        <v>6.5878743248971627</v>
      </c>
      <c r="O208" s="12">
        <v>6.9782551418962697</v>
      </c>
      <c r="P208" s="12">
        <v>7.3046487848961918</v>
      </c>
      <c r="Q208" s="12">
        <v>7.4251670907905236</v>
      </c>
    </row>
    <row r="209" spans="8:17" ht="15.75" customHeight="1" x14ac:dyDescent="0.3">
      <c r="I209" s="12" t="s">
        <v>782</v>
      </c>
      <c r="J209" s="12">
        <v>9.1459288635389999</v>
      </c>
      <c r="K209" s="12">
        <v>6.5706295100940002</v>
      </c>
      <c r="L209" s="12">
        <v>7.048325486826001</v>
      </c>
      <c r="M209" s="12">
        <v>7.4524272647759995</v>
      </c>
      <c r="N209" s="12">
        <v>7.4661573418380005</v>
      </c>
      <c r="O209" s="12">
        <v>7.3779165269550004</v>
      </c>
      <c r="P209" s="12">
        <v>7.0998848359920004</v>
      </c>
      <c r="Q209" s="12">
        <v>6.9238704800070003</v>
      </c>
    </row>
    <row r="210" spans="8:17" ht="15.75" customHeight="1" x14ac:dyDescent="0.3">
      <c r="I210" s="12" t="s">
        <v>17</v>
      </c>
      <c r="J210" s="12">
        <v>8.6667911578505592</v>
      </c>
      <c r="K210" s="12">
        <v>8.1855161483523844</v>
      </c>
      <c r="L210" s="12">
        <v>9.9449045758078007</v>
      </c>
      <c r="M210" s="12">
        <v>10.989471233631489</v>
      </c>
      <c r="N210" s="12">
        <v>12.224444949544161</v>
      </c>
      <c r="O210" s="12">
        <v>13.207470629708267</v>
      </c>
      <c r="P210" s="12">
        <v>14.380518868753001</v>
      </c>
      <c r="Q210" s="12">
        <v>15.516059179213938</v>
      </c>
    </row>
    <row r="211" spans="8:17" ht="15.75" customHeight="1" x14ac:dyDescent="0.3">
      <c r="I211" s="12" t="s">
        <v>841</v>
      </c>
      <c r="J211" s="12">
        <v>7.1598435060130816</v>
      </c>
      <c r="K211" s="12">
        <v>6.7622507074095797</v>
      </c>
      <c r="L211" s="12">
        <v>8.215723576138009</v>
      </c>
      <c r="M211" s="12">
        <v>9.0786650807157603</v>
      </c>
      <c r="N211" s="12">
        <v>10.098906410976124</v>
      </c>
      <c r="O211" s="12">
        <v>10.911007441700926</v>
      </c>
      <c r="P211" s="12">
        <v>11.88009065411417</v>
      </c>
      <c r="Q211" s="12">
        <v>12.818187669444375</v>
      </c>
    </row>
    <row r="212" spans="8:17" ht="15.75" customHeight="1" x14ac:dyDescent="0.3">
      <c r="I212" s="12" t="s">
        <v>845</v>
      </c>
      <c r="J212" s="12">
        <v>4.7689696700100006</v>
      </c>
      <c r="K212" s="12">
        <v>4.5224329901400004</v>
      </c>
      <c r="L212" s="12">
        <v>4.9892669840520005</v>
      </c>
      <c r="M212" s="12">
        <v>5.3724049455960001</v>
      </c>
      <c r="N212" s="12">
        <v>5.4102105222750003</v>
      </c>
      <c r="O212" s="12">
        <v>5.5797465490649998</v>
      </c>
      <c r="P212" s="12">
        <v>5.6580807806640001</v>
      </c>
      <c r="Q212" s="12">
        <v>5.7504237475230005</v>
      </c>
    </row>
    <row r="213" spans="8:17" ht="15.75" customHeight="1" x14ac:dyDescent="0.3"/>
    <row r="214" spans="8:17" ht="15.75" customHeight="1" x14ac:dyDescent="0.3"/>
    <row r="215" spans="8:17" ht="15.75" customHeight="1" x14ac:dyDescent="0.3"/>
    <row r="216" spans="8:17" ht="15.75" customHeight="1" x14ac:dyDescent="0.3">
      <c r="I216" s="12" t="s">
        <v>850</v>
      </c>
    </row>
    <row r="217" spans="8:17" ht="15.75" customHeight="1" x14ac:dyDescent="0.3">
      <c r="I217" s="14"/>
      <c r="J217" s="14">
        <v>2019</v>
      </c>
      <c r="K217" s="14">
        <v>2020</v>
      </c>
      <c r="L217" s="14">
        <v>2025</v>
      </c>
      <c r="M217" s="14">
        <v>2030</v>
      </c>
      <c r="N217" s="14">
        <v>2035</v>
      </c>
      <c r="O217" s="14">
        <v>2040</v>
      </c>
      <c r="P217" s="14">
        <v>2045</v>
      </c>
      <c r="Q217" s="14">
        <v>2050</v>
      </c>
    </row>
    <row r="218" spans="8:17" ht="15.75" customHeight="1" x14ac:dyDescent="0.3">
      <c r="H218" s="12" t="s">
        <v>74</v>
      </c>
      <c r="I218" s="14" t="s">
        <v>32</v>
      </c>
      <c r="J218" s="14">
        <v>27.015813128159731</v>
      </c>
      <c r="K218" s="14">
        <v>25.474061558177858</v>
      </c>
      <c r="L218" s="14">
        <v>25.351065720485089</v>
      </c>
      <c r="M218" s="14">
        <v>26.450334818933815</v>
      </c>
      <c r="N218" s="14">
        <v>27.615453205181815</v>
      </c>
      <c r="O218" s="14">
        <v>28.895174584628517</v>
      </c>
      <c r="P218" s="14">
        <v>29.877035725796304</v>
      </c>
      <c r="Q218" s="14">
        <v>30.294950876544668</v>
      </c>
    </row>
    <row r="219" spans="8:17" ht="15.75" customHeight="1" x14ac:dyDescent="0.3">
      <c r="H219" s="12" t="s">
        <v>846</v>
      </c>
      <c r="I219" s="14" t="s">
        <v>102</v>
      </c>
      <c r="J219" s="14">
        <v>22.236027134154664</v>
      </c>
      <c r="K219" s="14">
        <v>21.173796174722664</v>
      </c>
      <c r="L219" s="14">
        <v>20.369778820328239</v>
      </c>
      <c r="M219" s="14">
        <v>21.667421243565386</v>
      </c>
      <c r="N219" s="14">
        <v>23.39959869387344</v>
      </c>
      <c r="O219" s="14">
        <v>25.242091824603278</v>
      </c>
      <c r="P219" s="14">
        <v>26.865369418442533</v>
      </c>
      <c r="Q219" s="14">
        <v>27.834179136082643</v>
      </c>
    </row>
    <row r="220" spans="8:17" ht="15.75" customHeight="1" x14ac:dyDescent="0.3">
      <c r="H220" s="12" t="s">
        <v>60</v>
      </c>
      <c r="I220" s="14" t="s">
        <v>8</v>
      </c>
      <c r="J220" s="14">
        <v>20.996442162773999</v>
      </c>
      <c r="K220" s="14">
        <v>20.268611592839996</v>
      </c>
      <c r="L220" s="14">
        <v>19.15508774673</v>
      </c>
      <c r="M220" s="14">
        <v>20.227572064557002</v>
      </c>
      <c r="N220" s="14">
        <v>21.021596278137004</v>
      </c>
      <c r="O220" s="14">
        <v>22.294317363200999</v>
      </c>
      <c r="P220" s="14">
        <v>23.439072727278003</v>
      </c>
      <c r="Q220" s="14">
        <v>23.937589400048996</v>
      </c>
    </row>
    <row r="221" spans="8:17" ht="15.75" customHeight="1" x14ac:dyDescent="0.3">
      <c r="H221" s="12" t="s">
        <v>74</v>
      </c>
      <c r="I221" s="14" t="s">
        <v>14</v>
      </c>
      <c r="J221" s="14">
        <v>20.905026160941002</v>
      </c>
      <c r="K221" s="14">
        <v>19.712007955223999</v>
      </c>
      <c r="L221" s="14">
        <v>19.616832911168999</v>
      </c>
      <c r="M221" s="14">
        <v>20.467455069087002</v>
      </c>
      <c r="N221" s="14">
        <v>21.369031868925003</v>
      </c>
      <c r="O221" s="14">
        <v>22.359289270733999</v>
      </c>
      <c r="P221" s="14">
        <v>23.119060325751001</v>
      </c>
      <c r="Q221" s="14">
        <v>23.442446007980998</v>
      </c>
    </row>
    <row r="222" spans="8:17" ht="15.75" customHeight="1" x14ac:dyDescent="0.3">
      <c r="H222" s="12" t="s">
        <v>22</v>
      </c>
      <c r="I222" s="14" t="s">
        <v>22</v>
      </c>
      <c r="J222" s="14">
        <v>17.551115993970004</v>
      </c>
      <c r="K222" s="14">
        <v>16.846269986286</v>
      </c>
      <c r="L222" s="14">
        <v>18.477481999626001</v>
      </c>
      <c r="M222" s="14">
        <v>20.564194959009001</v>
      </c>
      <c r="N222" s="14">
        <v>21.505640733134999</v>
      </c>
      <c r="O222" s="14">
        <v>22.988122250652001</v>
      </c>
      <c r="P222" s="14">
        <v>24.341681699829</v>
      </c>
      <c r="Q222" s="14">
        <v>25.08799564908</v>
      </c>
    </row>
    <row r="223" spans="8:17" ht="15.75" customHeight="1" x14ac:dyDescent="0.3">
      <c r="H223" s="12" t="s">
        <v>784</v>
      </c>
      <c r="I223" s="14" t="s">
        <v>30</v>
      </c>
      <c r="J223" s="14">
        <v>15.484369752577541</v>
      </c>
      <c r="K223" s="14">
        <v>15.095843745097101</v>
      </c>
      <c r="L223" s="14">
        <v>16.606094766013509</v>
      </c>
      <c r="M223" s="14">
        <v>19.195360613772024</v>
      </c>
      <c r="N223" s="14">
        <v>19.493995795690402</v>
      </c>
      <c r="O223" s="14">
        <v>20.098201522985082</v>
      </c>
      <c r="P223" s="14">
        <v>22.242595736720517</v>
      </c>
      <c r="Q223" s="14">
        <v>22.85054364720574</v>
      </c>
    </row>
    <row r="224" spans="8:17" ht="15.75" customHeight="1" x14ac:dyDescent="0.3">
      <c r="H224" s="12" t="s">
        <v>779</v>
      </c>
      <c r="I224" s="14" t="s">
        <v>18</v>
      </c>
      <c r="J224" s="14">
        <v>13.877034192216</v>
      </c>
      <c r="K224" s="14">
        <v>13.180861657898999</v>
      </c>
      <c r="L224" s="14">
        <v>13.350091539797999</v>
      </c>
      <c r="M224" s="14">
        <v>14.200549725374998</v>
      </c>
      <c r="N224" s="14">
        <v>15.335796589308</v>
      </c>
      <c r="O224" s="14">
        <v>16.543342934001</v>
      </c>
      <c r="P224" s="14">
        <v>17.607218230017001</v>
      </c>
      <c r="Q224" s="14">
        <v>18.242163681768002</v>
      </c>
    </row>
    <row r="225" spans="8:17" ht="15.75" customHeight="1" x14ac:dyDescent="0.3">
      <c r="H225" s="12" t="s">
        <v>13</v>
      </c>
      <c r="I225" s="14" t="s">
        <v>13</v>
      </c>
      <c r="J225" s="14">
        <v>9.4202649837692984</v>
      </c>
      <c r="K225" s="14">
        <v>9.0952086730910686</v>
      </c>
      <c r="L225" s="14">
        <v>9.6563405564494822</v>
      </c>
      <c r="M225" s="14">
        <v>10.345060172014255</v>
      </c>
      <c r="N225" s="14">
        <v>11.440741884468556</v>
      </c>
      <c r="O225" s="14">
        <v>12.52013047891119</v>
      </c>
      <c r="P225" s="14">
        <v>13.606968920228624</v>
      </c>
      <c r="Q225" s="14">
        <v>14.133951193094239</v>
      </c>
    </row>
    <row r="226" spans="8:17" ht="15.75" customHeight="1" x14ac:dyDescent="0.3">
      <c r="H226" s="12" t="s">
        <v>832</v>
      </c>
      <c r="I226" s="14" t="s">
        <v>832</v>
      </c>
      <c r="J226" s="14">
        <v>9.4202649837692984</v>
      </c>
      <c r="K226" s="14">
        <v>9.0952086730910686</v>
      </c>
      <c r="L226" s="14">
        <v>9.6563405564494822</v>
      </c>
      <c r="M226" s="14">
        <v>10.345060172014255</v>
      </c>
      <c r="N226" s="14">
        <v>11.440741884468556</v>
      </c>
      <c r="O226" s="14">
        <v>12.52013047891119</v>
      </c>
      <c r="P226" s="14">
        <v>13.606968920228624</v>
      </c>
      <c r="Q226" s="14">
        <v>14.133951193094239</v>
      </c>
    </row>
    <row r="227" spans="8:17" ht="15.75" customHeight="1" x14ac:dyDescent="0.3">
      <c r="H227" s="12" t="s">
        <v>782</v>
      </c>
      <c r="I227" s="14" t="s">
        <v>26</v>
      </c>
      <c r="J227" s="14">
        <v>9.2394916708770012</v>
      </c>
      <c r="K227" s="14">
        <v>9.3714922488330004</v>
      </c>
      <c r="L227" s="14">
        <v>8.7294125785230001</v>
      </c>
      <c r="M227" s="14">
        <v>10.011694293666002</v>
      </c>
      <c r="N227" s="14">
        <v>10.855830539853001</v>
      </c>
      <c r="O227" s="14">
        <v>12.037304334510001</v>
      </c>
      <c r="P227" s="14">
        <v>12.836904555501</v>
      </c>
      <c r="Q227" s="14">
        <v>13.911046605260999</v>
      </c>
    </row>
    <row r="228" spans="8:17" ht="15.75" customHeight="1" x14ac:dyDescent="0.3">
      <c r="H228" s="12" t="s">
        <v>17</v>
      </c>
      <c r="I228" s="14" t="s">
        <v>17</v>
      </c>
      <c r="J228" s="14">
        <v>8.6667911578505574</v>
      </c>
      <c r="K228" s="14">
        <v>8.3677342667712189</v>
      </c>
      <c r="L228" s="14">
        <v>8.8839843779366507</v>
      </c>
      <c r="M228" s="14">
        <v>9.5176171987436362</v>
      </c>
      <c r="N228" s="14">
        <v>10.525661515297232</v>
      </c>
      <c r="O228" s="14">
        <v>11.518715908386824</v>
      </c>
      <c r="P228" s="14">
        <v>12.518624277148344</v>
      </c>
      <c r="Q228" s="14">
        <v>13.003456212416074</v>
      </c>
    </row>
    <row r="229" spans="8:17" ht="15.75" customHeight="1" x14ac:dyDescent="0.3">
      <c r="H229" s="12" t="s">
        <v>841</v>
      </c>
      <c r="I229" s="14" t="s">
        <v>841</v>
      </c>
      <c r="J229" s="14">
        <v>7.1598435060130807</v>
      </c>
      <c r="K229" s="14">
        <v>6.9127854541315239</v>
      </c>
      <c r="L229" s="14">
        <v>7.3392720209109932</v>
      </c>
      <c r="M229" s="14">
        <v>7.862731252202404</v>
      </c>
      <c r="N229" s="14">
        <v>8.6955007769545887</v>
      </c>
      <c r="O229" s="14">
        <v>9.5158867673380989</v>
      </c>
      <c r="P229" s="14">
        <v>10.341934990987788</v>
      </c>
      <c r="Q229" s="14">
        <v>10.742466251059749</v>
      </c>
    </row>
    <row r="230" spans="8:17" ht="15.75" customHeight="1" x14ac:dyDescent="0.3">
      <c r="H230" s="12" t="s">
        <v>845</v>
      </c>
      <c r="I230" s="14" t="s">
        <v>7</v>
      </c>
      <c r="J230" s="14">
        <v>4.7685943344780002</v>
      </c>
      <c r="K230" s="14">
        <v>4.5008085452850004</v>
      </c>
      <c r="L230" s="14">
        <v>4.4508415286790006</v>
      </c>
      <c r="M230" s="14">
        <v>4.6175426348219997</v>
      </c>
      <c r="N230" s="14">
        <v>4.6119590448749994</v>
      </c>
      <c r="O230" s="14">
        <v>4.5693793139669996</v>
      </c>
      <c r="P230" s="14">
        <v>4.4781746753250005</v>
      </c>
      <c r="Q230" s="14">
        <v>4.4311487348699998</v>
      </c>
    </row>
    <row r="231" spans="8:17" ht="15.75" customHeight="1" x14ac:dyDescent="0.3"/>
    <row r="232" spans="8:17" ht="15.75" customHeight="1" x14ac:dyDescent="0.3"/>
    <row r="233" spans="8:17" ht="15.75" customHeight="1" x14ac:dyDescent="0.3">
      <c r="I233" s="14" t="s">
        <v>851</v>
      </c>
    </row>
    <row r="234" spans="8:17" ht="15.75" customHeight="1" x14ac:dyDescent="0.3">
      <c r="I234" s="14" t="s">
        <v>847</v>
      </c>
      <c r="J234" s="12">
        <v>2019</v>
      </c>
      <c r="K234" s="12">
        <v>2020</v>
      </c>
      <c r="L234" s="12">
        <v>2025</v>
      </c>
      <c r="M234" s="12">
        <v>2030</v>
      </c>
      <c r="N234" s="12">
        <v>2035</v>
      </c>
      <c r="O234" s="12">
        <v>2040</v>
      </c>
      <c r="P234" s="12">
        <v>2045</v>
      </c>
      <c r="Q234" s="12">
        <v>2050</v>
      </c>
    </row>
    <row r="235" spans="8:17" ht="15.75" customHeight="1" x14ac:dyDescent="0.3">
      <c r="H235" s="12" t="s">
        <v>74</v>
      </c>
      <c r="I235" s="12" t="s">
        <v>32</v>
      </c>
      <c r="J235" s="12">
        <v>27.015813128159731</v>
      </c>
      <c r="K235" s="12">
        <v>26.062049484430577</v>
      </c>
      <c r="L235" s="12">
        <v>27.26293166627044</v>
      </c>
      <c r="M235" s="12">
        <v>28.990379051104217</v>
      </c>
      <c r="N235" s="12">
        <v>31.697009911247882</v>
      </c>
      <c r="O235" s="12">
        <v>32.967623003898666</v>
      </c>
      <c r="P235" s="12">
        <v>34.607787018684213</v>
      </c>
      <c r="Q235" s="12">
        <v>35.963817996706439</v>
      </c>
    </row>
    <row r="236" spans="8:17" ht="15.75" customHeight="1" x14ac:dyDescent="0.3">
      <c r="H236" s="12" t="s">
        <v>846</v>
      </c>
      <c r="I236" s="12" t="s">
        <v>102</v>
      </c>
      <c r="J236" s="232">
        <v>21.475872844615932</v>
      </c>
      <c r="K236" s="232">
        <v>21.173796174722664</v>
      </c>
      <c r="L236" s="232">
        <v>23.09908472316074</v>
      </c>
      <c r="M236" s="232">
        <v>25.352291121728861</v>
      </c>
      <c r="N236" s="232">
        <v>28.770631310279356</v>
      </c>
      <c r="O236" s="232">
        <v>30.877675811857468</v>
      </c>
      <c r="P236" s="232">
        <v>33.171074715211802</v>
      </c>
      <c r="Q236" s="232">
        <v>35.177965790480719</v>
      </c>
    </row>
    <row r="237" spans="8:17" ht="15.75" customHeight="1" x14ac:dyDescent="0.3">
      <c r="H237" s="12" t="s">
        <v>60</v>
      </c>
      <c r="I237" s="12" t="s">
        <v>8</v>
      </c>
      <c r="J237" s="12">
        <v>20.996450693126999</v>
      </c>
      <c r="K237" s="12">
        <v>20.789779196276999</v>
      </c>
      <c r="L237" s="12">
        <v>21.49552278666</v>
      </c>
      <c r="M237" s="12">
        <v>22.787761319388</v>
      </c>
      <c r="N237" s="12">
        <v>24.782312344958999</v>
      </c>
      <c r="O237" s="12">
        <v>26.081950485006001</v>
      </c>
      <c r="P237" s="12">
        <v>27.657616630877996</v>
      </c>
      <c r="Q237" s="12">
        <v>28.857208895307</v>
      </c>
    </row>
    <row r="238" spans="8:17" ht="15.75" customHeight="1" x14ac:dyDescent="0.3">
      <c r="H238" s="12" t="s">
        <v>74</v>
      </c>
      <c r="I238" s="12" t="s">
        <v>14</v>
      </c>
      <c r="J238" s="12">
        <v>20.905028056574999</v>
      </c>
      <c r="K238" s="12">
        <v>20.166998975720997</v>
      </c>
      <c r="L238" s="12">
        <v>21.096250136325001</v>
      </c>
      <c r="M238" s="12">
        <v>22.432961190509999</v>
      </c>
      <c r="N238" s="12">
        <v>24.527371371749997</v>
      </c>
      <c r="O238" s="12">
        <v>25.510580806347001</v>
      </c>
      <c r="P238" s="12">
        <v>26.779751368928999</v>
      </c>
      <c r="Q238" s="12">
        <v>27.829057769838002</v>
      </c>
    </row>
    <row r="239" spans="8:17" ht="15.75" customHeight="1" x14ac:dyDescent="0.3">
      <c r="H239" s="12" t="s">
        <v>22</v>
      </c>
      <c r="I239" s="12" t="s">
        <v>22</v>
      </c>
      <c r="J239" s="12">
        <v>17.550825014150998</v>
      </c>
      <c r="K239" s="12">
        <v>17.327211288426</v>
      </c>
      <c r="L239" s="12">
        <v>21.000397403115002</v>
      </c>
      <c r="M239" s="12">
        <v>23.265791875521</v>
      </c>
      <c r="N239" s="12">
        <v>25.362927030636001</v>
      </c>
      <c r="O239" s="12">
        <v>27.015707567627999</v>
      </c>
      <c r="P239" s="12">
        <v>29.097066308778</v>
      </c>
      <c r="Q239" s="12">
        <v>30.992470937063995</v>
      </c>
    </row>
    <row r="240" spans="8:17" ht="15.75" customHeight="1" x14ac:dyDescent="0.3">
      <c r="H240" s="12" t="s">
        <v>784</v>
      </c>
      <c r="I240" s="12" t="s">
        <v>30</v>
      </c>
      <c r="J240" s="12">
        <v>15.484369752577541</v>
      </c>
      <c r="K240" s="12">
        <v>15.168782704888827</v>
      </c>
      <c r="L240" s="12">
        <v>16.949109551577816</v>
      </c>
      <c r="M240" s="12">
        <v>19.89820760097551</v>
      </c>
      <c r="N240" s="12">
        <v>20.433037285408389</v>
      </c>
      <c r="O240" s="12">
        <v>21.046576062396845</v>
      </c>
      <c r="P240" s="12">
        <v>22.996499995778219</v>
      </c>
      <c r="Q240" s="12">
        <v>24.2190062601092</v>
      </c>
    </row>
    <row r="241" spans="8:17" ht="15.75" customHeight="1" x14ac:dyDescent="0.3">
      <c r="H241" s="12" t="s">
        <v>779</v>
      </c>
      <c r="I241" s="12" t="s">
        <v>18</v>
      </c>
      <c r="J241" s="12">
        <v>13.877034192216</v>
      </c>
      <c r="K241" s="12">
        <v>13.679057020707001</v>
      </c>
      <c r="L241" s="12">
        <v>14.925902701670999</v>
      </c>
      <c r="M241" s="12">
        <v>16.381853873541001</v>
      </c>
      <c r="N241" s="12">
        <v>18.590677888301997</v>
      </c>
      <c r="O241" s="12">
        <v>19.952183835207002</v>
      </c>
      <c r="P241" s="12">
        <v>21.434106140693999</v>
      </c>
      <c r="Q241" s="12">
        <v>22.730896090656</v>
      </c>
    </row>
    <row r="242" spans="8:17" ht="15.75" customHeight="1" x14ac:dyDescent="0.3">
      <c r="H242" s="12" t="s">
        <v>13</v>
      </c>
      <c r="I242" s="12" t="s">
        <v>13</v>
      </c>
      <c r="J242" s="12">
        <v>9.4202649837692984</v>
      </c>
      <c r="K242" s="12">
        <v>9.6527165147854426</v>
      </c>
      <c r="L242" s="12">
        <v>11.578601139308462</v>
      </c>
      <c r="M242" s="12">
        <v>12.911789354957682</v>
      </c>
      <c r="N242" s="12">
        <v>14.757523117529285</v>
      </c>
      <c r="O242" s="12">
        <v>16.087232795682176</v>
      </c>
      <c r="P242" s="12">
        <v>17.631300754150111</v>
      </c>
      <c r="Q242" s="12">
        <v>18.826932611437442</v>
      </c>
    </row>
    <row r="243" spans="8:17" ht="15.75" customHeight="1" x14ac:dyDescent="0.3">
      <c r="H243" s="12" t="s">
        <v>832</v>
      </c>
      <c r="I243" s="12" t="s">
        <v>832</v>
      </c>
      <c r="J243" s="12">
        <v>9.4202649837692984</v>
      </c>
      <c r="K243" s="12">
        <v>9.6527165147854426</v>
      </c>
      <c r="L243" s="12">
        <v>11.578601139308462</v>
      </c>
      <c r="M243" s="12">
        <v>12.911789354957682</v>
      </c>
      <c r="N243" s="12">
        <v>14.757523117529285</v>
      </c>
      <c r="O243" s="12">
        <v>16.087232795682176</v>
      </c>
      <c r="P243" s="12">
        <v>17.631300754150111</v>
      </c>
      <c r="Q243" s="12">
        <v>18.826932611437442</v>
      </c>
    </row>
    <row r="244" spans="8:17" ht="15.75" customHeight="1" x14ac:dyDescent="0.3">
      <c r="H244" s="12" t="s">
        <v>782</v>
      </c>
      <c r="I244" s="12" t="s">
        <v>26</v>
      </c>
      <c r="J244" s="12">
        <v>9.2360008608660014</v>
      </c>
      <c r="K244" s="12">
        <v>9.6932486336400014</v>
      </c>
      <c r="L244" s="12">
        <v>9.5472696505679995</v>
      </c>
      <c r="M244" s="12">
        <v>10.673080048449</v>
      </c>
      <c r="N244" s="12">
        <v>12.218909862978</v>
      </c>
      <c r="O244" s="12">
        <v>13.22060646816</v>
      </c>
      <c r="P244" s="12">
        <v>14.059067186150999</v>
      </c>
      <c r="Q244" s="12">
        <v>15.210941603714998</v>
      </c>
    </row>
    <row r="245" spans="8:17" ht="15.75" customHeight="1" x14ac:dyDescent="0.3">
      <c r="H245" s="12" t="s">
        <v>17</v>
      </c>
      <c r="I245" s="12" t="s">
        <v>17</v>
      </c>
      <c r="J245" s="12">
        <v>8.6667911578505574</v>
      </c>
      <c r="K245" s="12">
        <v>8.8806502029103971</v>
      </c>
      <c r="L245" s="12">
        <v>10.652494186451701</v>
      </c>
      <c r="M245" s="12">
        <v>11.87904820155075</v>
      </c>
      <c r="N245" s="12">
        <v>13.577152138198308</v>
      </c>
      <c r="O245" s="12">
        <v>14.800505844381702</v>
      </c>
      <c r="P245" s="12">
        <v>16.22107252192496</v>
      </c>
      <c r="Q245" s="12">
        <v>17.321072535367904</v>
      </c>
    </row>
    <row r="246" spans="8:17" ht="15.75" customHeight="1" x14ac:dyDescent="0.3">
      <c r="H246" s="12" t="s">
        <v>841</v>
      </c>
      <c r="I246" s="12" t="s">
        <v>841</v>
      </c>
      <c r="J246" s="12">
        <v>7.1598435060130807</v>
      </c>
      <c r="K246" s="12">
        <v>7.3365175791603097</v>
      </c>
      <c r="L246" s="12">
        <v>8.8002802807381819</v>
      </c>
      <c r="M246" s="12">
        <v>9.8135658947368913</v>
      </c>
      <c r="N246" s="12">
        <v>11.216410179536366</v>
      </c>
      <c r="O246" s="12">
        <v>12.227051941780758</v>
      </c>
      <c r="P246" s="12">
        <v>13.400616057474668</v>
      </c>
      <c r="Q246" s="12">
        <v>14.309352383228823</v>
      </c>
    </row>
    <row r="247" spans="8:17" ht="15.75" customHeight="1" x14ac:dyDescent="0.3">
      <c r="H247" s="12" t="s">
        <v>845</v>
      </c>
      <c r="I247" s="12" t="s">
        <v>7</v>
      </c>
      <c r="J247" s="12">
        <v>4.7688341321789993</v>
      </c>
      <c r="K247" s="12">
        <v>4.6568448145439998</v>
      </c>
      <c r="L247" s="12">
        <v>5.7706406841329994</v>
      </c>
      <c r="M247" s="12">
        <v>6.7599028780919994</v>
      </c>
      <c r="N247" s="12">
        <v>7.3262282746769998</v>
      </c>
      <c r="O247" s="12">
        <v>7.6825591280100003</v>
      </c>
      <c r="P247" s="12">
        <v>8.0943780319740011</v>
      </c>
      <c r="Q247" s="12">
        <v>8.6837619205349998</v>
      </c>
    </row>
    <row r="248" spans="8:17" ht="15.75" customHeight="1" x14ac:dyDescent="0.3"/>
    <row r="249" spans="8:17" ht="15.75" customHeight="1" x14ac:dyDescent="0.3"/>
    <row r="250" spans="8:17" ht="15.75" customHeight="1" x14ac:dyDescent="0.3">
      <c r="J250" s="12">
        <v>21.475872844615932</v>
      </c>
      <c r="K250" s="12">
        <v>21.173796174722664</v>
      </c>
      <c r="L250" s="12">
        <v>23.09908472316074</v>
      </c>
      <c r="M250" s="12">
        <v>25.352291121728861</v>
      </c>
      <c r="N250" s="12">
        <v>28.770631310279356</v>
      </c>
      <c r="O250" s="12">
        <v>30.877675811857468</v>
      </c>
      <c r="P250" s="12">
        <v>33.171074715211802</v>
      </c>
      <c r="Q250" s="12">
        <v>35.177965790480719</v>
      </c>
    </row>
    <row r="251" spans="8:17" ht="15.75" customHeight="1" x14ac:dyDescent="0.3"/>
    <row r="252" spans="8:17" ht="15.75" customHeight="1" x14ac:dyDescent="0.3"/>
    <row r="253" spans="8:17" ht="15.75" customHeight="1" x14ac:dyDescent="0.3"/>
    <row r="254" spans="8:17" ht="15.75" customHeight="1" x14ac:dyDescent="0.3"/>
    <row r="255" spans="8:17" ht="15.75" customHeight="1" x14ac:dyDescent="0.3"/>
    <row r="256" spans="8:17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</sheetData>
  <autoFilter ref="I234:Q234" xr:uid="{00000000-0009-0000-0000-000003000000}">
    <sortState xmlns:xlrd2="http://schemas.microsoft.com/office/spreadsheetml/2017/richdata2" ref="I234:Q234">
      <sortCondition descending="1" ref="J234"/>
    </sortState>
  </autoFilter>
  <pageMargins left="0.7" right="0.7" top="0.75" bottom="0.75" header="0" footer="0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A12" zoomScale="115" zoomScaleNormal="115" workbookViewId="0">
      <selection activeCell="D74" sqref="D74"/>
    </sheetView>
  </sheetViews>
  <sheetFormatPr baseColWidth="10" defaultColWidth="14.44140625" defaultRowHeight="15" customHeight="1" x14ac:dyDescent="0.3"/>
  <cols>
    <col min="1" max="2" width="10.6640625" customWidth="1"/>
    <col min="3" max="3" width="16.109375" customWidth="1"/>
    <col min="4" max="7" width="10.6640625" customWidth="1"/>
    <col min="8" max="8" width="21.6640625" customWidth="1"/>
    <col min="9" max="9" width="20.33203125" customWidth="1"/>
    <col min="10" max="10" width="10.6640625" customWidth="1"/>
    <col min="11" max="11" width="14.6640625" customWidth="1"/>
    <col min="12" max="15" width="10.6640625" customWidth="1"/>
    <col min="16" max="16" width="15.109375" customWidth="1"/>
    <col min="17" max="17" width="55.5546875" customWidth="1"/>
    <col min="18" max="26" width="10.6640625" customWidth="1"/>
  </cols>
  <sheetData>
    <row r="4" spans="1:26" ht="14.4" x14ac:dyDescent="0.3">
      <c r="B4" s="233"/>
      <c r="C4" s="234"/>
      <c r="D4" s="234"/>
      <c r="E4" s="233"/>
      <c r="H4" s="235" t="s">
        <v>804</v>
      </c>
      <c r="I4" s="233"/>
      <c r="J4" s="233"/>
      <c r="K4" s="233"/>
      <c r="L4" s="233"/>
      <c r="M4" s="20"/>
      <c r="O4" s="236" t="s">
        <v>270</v>
      </c>
      <c r="P4" s="20"/>
      <c r="Q4" s="20"/>
      <c r="R4" s="20"/>
      <c r="S4" s="20"/>
    </row>
    <row r="5" spans="1:26" ht="14.4" x14ac:dyDescent="0.3">
      <c r="B5" s="237" t="s">
        <v>852</v>
      </c>
      <c r="C5" s="237" t="s">
        <v>43</v>
      </c>
      <c r="D5" s="237" t="s">
        <v>853</v>
      </c>
      <c r="E5" s="237">
        <v>2019</v>
      </c>
      <c r="H5" s="238" t="s">
        <v>272</v>
      </c>
      <c r="I5" s="238" t="s">
        <v>805</v>
      </c>
      <c r="J5" s="238" t="s">
        <v>806</v>
      </c>
      <c r="K5" s="239" t="s">
        <v>854</v>
      </c>
      <c r="L5" s="240"/>
      <c r="M5" s="20"/>
      <c r="O5" s="241" t="s">
        <v>271</v>
      </c>
      <c r="P5" s="241" t="s">
        <v>272</v>
      </c>
      <c r="Q5" s="241" t="s">
        <v>273</v>
      </c>
      <c r="R5" s="241" t="s">
        <v>274</v>
      </c>
      <c r="S5" s="241" t="s">
        <v>275</v>
      </c>
    </row>
    <row r="6" spans="1:26" ht="20.25" customHeight="1" x14ac:dyDescent="0.3">
      <c r="B6" s="242" t="s">
        <v>287</v>
      </c>
      <c r="C6" s="242" t="s">
        <v>855</v>
      </c>
      <c r="D6" s="242" t="s">
        <v>856</v>
      </c>
      <c r="E6" s="242" t="s">
        <v>857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289</v>
      </c>
      <c r="P6" s="20" t="str">
        <f t="shared" ref="P6:P11" si="2">+H6</f>
        <v>FTE-DKER</v>
      </c>
      <c r="Q6" s="20" t="s">
        <v>858</v>
      </c>
      <c r="R6" s="20" t="s">
        <v>59</v>
      </c>
      <c r="S6" s="20" t="s">
        <v>288</v>
      </c>
    </row>
    <row r="7" spans="1:26" ht="14.4" x14ac:dyDescent="0.3">
      <c r="B7" s="246" t="s">
        <v>859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860</v>
      </c>
      <c r="R7" s="20" t="s">
        <v>59</v>
      </c>
      <c r="S7" s="20" t="s">
        <v>288</v>
      </c>
    </row>
    <row r="8" spans="1:26" ht="14.4" x14ac:dyDescent="0.3">
      <c r="B8" s="244" t="s">
        <v>861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862</v>
      </c>
      <c r="R8" s="20" t="s">
        <v>59</v>
      </c>
      <c r="S8" s="20" t="s">
        <v>288</v>
      </c>
    </row>
    <row r="9" spans="1:26" ht="14.4" x14ac:dyDescent="0.3">
      <c r="B9" s="244" t="s">
        <v>861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863</v>
      </c>
      <c r="R9" s="20" t="s">
        <v>59</v>
      </c>
      <c r="S9" s="20" t="s">
        <v>288</v>
      </c>
    </row>
    <row r="10" spans="1:26" ht="14.4" x14ac:dyDescent="0.3">
      <c r="B10" s="244" t="s">
        <v>861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864</v>
      </c>
      <c r="R10" s="20" t="s">
        <v>59</v>
      </c>
      <c r="S10" s="20" t="s">
        <v>288</v>
      </c>
    </row>
    <row r="11" spans="1:26" ht="14.4" x14ac:dyDescent="0.3">
      <c r="B11" s="244" t="s">
        <v>861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865</v>
      </c>
      <c r="R11" s="20" t="s">
        <v>59</v>
      </c>
      <c r="S11" s="20" t="s">
        <v>288</v>
      </c>
    </row>
    <row r="12" spans="1:26" ht="14.4" x14ac:dyDescent="0.3">
      <c r="B12" s="244" t="s">
        <v>861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ht="14.4" x14ac:dyDescent="0.3">
      <c r="B13" s="244" t="s">
        <v>861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ht="14.4" x14ac:dyDescent="0.3">
      <c r="B14" s="244" t="s">
        <v>861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ht="14.4" x14ac:dyDescent="0.3">
      <c r="B15" s="244"/>
      <c r="C15" s="244"/>
      <c r="D15" s="244"/>
      <c r="E15" s="250"/>
      <c r="H15" s="238" t="s">
        <v>272</v>
      </c>
      <c r="I15" s="238" t="s">
        <v>805</v>
      </c>
      <c r="J15" s="238" t="s">
        <v>806</v>
      </c>
      <c r="K15" s="239" t="s">
        <v>867</v>
      </c>
      <c r="L15" s="239" t="s">
        <v>854</v>
      </c>
      <c r="M15" s="20"/>
      <c r="O15" s="241" t="s">
        <v>271</v>
      </c>
      <c r="P15" s="241" t="s">
        <v>272</v>
      </c>
      <c r="Q15" s="241" t="s">
        <v>273</v>
      </c>
      <c r="R15" s="241" t="s">
        <v>274</v>
      </c>
      <c r="S15" s="241" t="s">
        <v>275</v>
      </c>
    </row>
    <row r="16" spans="1:26" ht="14.4" x14ac:dyDescent="0.3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289</v>
      </c>
      <c r="P16" s="257" t="s">
        <v>868</v>
      </c>
      <c r="Q16" s="257" t="s">
        <v>869</v>
      </c>
      <c r="R16" s="257" t="s">
        <v>59</v>
      </c>
      <c r="S16" s="257" t="s">
        <v>288</v>
      </c>
      <c r="T16" s="5"/>
      <c r="U16" s="5"/>
      <c r="V16" s="5"/>
      <c r="W16" s="5"/>
      <c r="X16" s="5"/>
      <c r="Y16" s="5"/>
      <c r="Z16" s="5"/>
    </row>
    <row r="17" spans="1:26" ht="14.4" x14ac:dyDescent="0.3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870</v>
      </c>
      <c r="Q17" s="257" t="s">
        <v>871</v>
      </c>
      <c r="R17" s="257" t="s">
        <v>59</v>
      </c>
      <c r="S17" s="257" t="s">
        <v>288</v>
      </c>
      <c r="T17" s="5"/>
      <c r="U17" s="5"/>
      <c r="V17" s="5"/>
      <c r="W17" s="5"/>
      <c r="X17" s="5"/>
      <c r="Y17" s="5"/>
      <c r="Z17" s="5"/>
    </row>
    <row r="18" spans="1:26" ht="14.4" x14ac:dyDescent="0.3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ht="14.4" x14ac:dyDescent="0.3">
      <c r="B19" s="12" t="s">
        <v>861</v>
      </c>
      <c r="C19" s="12" t="s">
        <v>872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ht="14.4" x14ac:dyDescent="0.3">
      <c r="B20" s="12" t="s">
        <v>861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3">
      <c r="B21" s="12" t="s">
        <v>861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3">
      <c r="B22" s="12" t="s">
        <v>861</v>
      </c>
      <c r="C22" s="12" t="s">
        <v>67</v>
      </c>
      <c r="D22" s="12" t="s">
        <v>59</v>
      </c>
      <c r="E22" s="12">
        <v>25.486199999999997</v>
      </c>
      <c r="H22" s="235" t="s">
        <v>804</v>
      </c>
      <c r="I22" s="233"/>
      <c r="J22" s="233"/>
      <c r="K22" s="233"/>
      <c r="L22" s="20"/>
      <c r="M22" s="20"/>
      <c r="O22" s="236" t="s">
        <v>270</v>
      </c>
      <c r="P22" s="20"/>
      <c r="Q22" s="20"/>
      <c r="R22" s="20"/>
      <c r="S22" s="20"/>
    </row>
    <row r="23" spans="1:26" ht="15.75" customHeight="1" x14ac:dyDescent="0.3">
      <c r="B23" s="12" t="s">
        <v>861</v>
      </c>
      <c r="C23" s="12" t="s">
        <v>70</v>
      </c>
      <c r="D23" s="12" t="s">
        <v>59</v>
      </c>
      <c r="E23" s="12">
        <v>1.1855</v>
      </c>
      <c r="H23" s="238" t="s">
        <v>272</v>
      </c>
      <c r="I23" s="238" t="s">
        <v>805</v>
      </c>
      <c r="J23" s="238" t="s">
        <v>806</v>
      </c>
      <c r="K23" s="239" t="s">
        <v>854</v>
      </c>
      <c r="L23" s="20"/>
      <c r="M23" s="20"/>
      <c r="O23" s="241" t="s">
        <v>271</v>
      </c>
      <c r="P23" s="241" t="s">
        <v>272</v>
      </c>
      <c r="Q23" s="241" t="s">
        <v>273</v>
      </c>
      <c r="R23" s="241" t="s">
        <v>274</v>
      </c>
      <c r="S23" s="241" t="s">
        <v>275</v>
      </c>
    </row>
    <row r="24" spans="1:26" ht="15.75" customHeight="1" x14ac:dyDescent="0.3">
      <c r="B24" s="12" t="s">
        <v>861</v>
      </c>
      <c r="C24" s="12" t="s">
        <v>866</v>
      </c>
      <c r="D24" s="12" t="s">
        <v>59</v>
      </c>
      <c r="E24" s="12">
        <v>238.81580000000002</v>
      </c>
      <c r="H24" s="20" t="s">
        <v>873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289</v>
      </c>
      <c r="P24" s="20" t="str">
        <f t="shared" ref="P24:P27" si="4">+H24</f>
        <v>FTE-DGSL</v>
      </c>
      <c r="Q24" s="20" t="s">
        <v>874</v>
      </c>
      <c r="R24" s="20" t="s">
        <v>59</v>
      </c>
      <c r="S24" s="20" t="s">
        <v>288</v>
      </c>
    </row>
    <row r="25" spans="1:26" ht="15.75" customHeight="1" x14ac:dyDescent="0.3">
      <c r="B25" s="12" t="s">
        <v>861</v>
      </c>
      <c r="C25" s="12" t="s">
        <v>75</v>
      </c>
      <c r="D25" s="12" t="s">
        <v>59</v>
      </c>
      <c r="E25" s="12">
        <v>7.3300000000000004E-2</v>
      </c>
      <c r="H25" s="20" t="s">
        <v>875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876</v>
      </c>
      <c r="R25" s="20" t="s">
        <v>59</v>
      </c>
      <c r="S25" s="20" t="s">
        <v>288</v>
      </c>
    </row>
    <row r="26" spans="1:26" ht="15.75" customHeight="1" x14ac:dyDescent="0.3">
      <c r="H26" s="20" t="s">
        <v>877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878</v>
      </c>
      <c r="R26" s="20" t="s">
        <v>59</v>
      </c>
      <c r="S26" s="20" t="s">
        <v>288</v>
      </c>
    </row>
    <row r="27" spans="1:26" ht="15.75" customHeight="1" x14ac:dyDescent="0.3">
      <c r="H27" s="20" t="s">
        <v>879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880</v>
      </c>
      <c r="R27" s="20" t="s">
        <v>59</v>
      </c>
      <c r="S27" s="20" t="s">
        <v>288</v>
      </c>
    </row>
    <row r="28" spans="1:26" ht="15.75" customHeight="1" x14ac:dyDescent="0.3"/>
    <row r="29" spans="1:26" ht="15.75" customHeight="1" x14ac:dyDescent="0.3"/>
    <row r="30" spans="1:26" ht="15.75" customHeight="1" x14ac:dyDescent="0.3"/>
    <row r="31" spans="1:26" ht="15.75" customHeight="1" x14ac:dyDescent="0.3"/>
    <row r="32" spans="1:26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spans="8:12" ht="15.75" customHeight="1" x14ac:dyDescent="0.3"/>
    <row r="50" spans="8:12" ht="15.75" customHeight="1" x14ac:dyDescent="0.3"/>
    <row r="51" spans="8:12" ht="15.75" customHeight="1" x14ac:dyDescent="0.3"/>
    <row r="52" spans="8:12" ht="15.75" customHeight="1" x14ac:dyDescent="0.3"/>
    <row r="53" spans="8:12" ht="15.75" customHeight="1" x14ac:dyDescent="0.3"/>
    <row r="54" spans="8:12" ht="15.75" customHeight="1" x14ac:dyDescent="0.3"/>
    <row r="55" spans="8:12" ht="15.75" customHeight="1" x14ac:dyDescent="0.3"/>
    <row r="56" spans="8:12" ht="15.75" customHeight="1" x14ac:dyDescent="0.3">
      <c r="H56" s="236" t="s">
        <v>270</v>
      </c>
      <c r="I56" s="20"/>
      <c r="J56" s="20"/>
      <c r="K56" s="20"/>
      <c r="L56" s="20"/>
    </row>
    <row r="57" spans="8:12" ht="15.75" customHeight="1" x14ac:dyDescent="0.3">
      <c r="H57" s="241" t="s">
        <v>271</v>
      </c>
      <c r="I57" s="241" t="s">
        <v>272</v>
      </c>
      <c r="J57" s="241" t="s">
        <v>273</v>
      </c>
      <c r="K57" s="241" t="s">
        <v>274</v>
      </c>
      <c r="L57" s="241" t="s">
        <v>275</v>
      </c>
    </row>
    <row r="58" spans="8:12" ht="15.75" customHeight="1" x14ac:dyDescent="0.3">
      <c r="H58" s="12" t="s">
        <v>881</v>
      </c>
      <c r="I58" s="12" t="str">
        <f>+H67</f>
        <v>FTD-AGR</v>
      </c>
      <c r="J58" s="12" t="s">
        <v>882</v>
      </c>
      <c r="K58" s="12" t="s">
        <v>59</v>
      </c>
      <c r="L58" s="12" t="s">
        <v>333</v>
      </c>
    </row>
    <row r="59" spans="8:12" ht="15.75" customHeight="1" x14ac:dyDescent="0.3">
      <c r="I59" s="12" t="str">
        <f>+H72</f>
        <v>FTD-TER</v>
      </c>
      <c r="J59" s="12" t="s">
        <v>883</v>
      </c>
      <c r="K59" s="12" t="s">
        <v>59</v>
      </c>
      <c r="L59" s="12" t="s">
        <v>333</v>
      </c>
    </row>
    <row r="60" spans="8:12" ht="15.75" customHeight="1" x14ac:dyDescent="0.3">
      <c r="I60" s="12" t="str">
        <f>+H74</f>
        <v>FTD-RSD</v>
      </c>
      <c r="J60" s="12" t="s">
        <v>884</v>
      </c>
      <c r="K60" s="12" t="s">
        <v>59</v>
      </c>
      <c r="L60" s="12" t="s">
        <v>333</v>
      </c>
    </row>
    <row r="61" spans="8:12" ht="15.75" customHeight="1" x14ac:dyDescent="0.3">
      <c r="I61" s="12" t="str">
        <f>+H76</f>
        <v>FTD-IND</v>
      </c>
      <c r="J61" s="12" t="s">
        <v>885</v>
      </c>
      <c r="K61" s="12" t="s">
        <v>59</v>
      </c>
      <c r="L61" s="12" t="s">
        <v>333</v>
      </c>
    </row>
    <row r="62" spans="8:12" ht="15.75" customHeight="1" x14ac:dyDescent="0.3">
      <c r="I62" s="12" t="str">
        <f>+H86</f>
        <v>FTD-TRA</v>
      </c>
      <c r="J62" s="12" t="s">
        <v>886</v>
      </c>
      <c r="K62" s="12" t="s">
        <v>59</v>
      </c>
      <c r="L62" s="12" t="s">
        <v>333</v>
      </c>
    </row>
    <row r="63" spans="8:12" ht="15.75" customHeight="1" x14ac:dyDescent="0.3"/>
    <row r="64" spans="8:12" ht="15.75" customHeight="1" x14ac:dyDescent="0.3"/>
    <row r="65" spans="4:20" ht="15.75" customHeight="1" x14ac:dyDescent="0.3">
      <c r="H65" s="235" t="s">
        <v>804</v>
      </c>
    </row>
    <row r="66" spans="4:20" ht="15.75" customHeight="1" x14ac:dyDescent="0.3">
      <c r="H66" s="238" t="s">
        <v>272</v>
      </c>
      <c r="I66" s="238" t="s">
        <v>805</v>
      </c>
      <c r="J66" s="238" t="s">
        <v>806</v>
      </c>
      <c r="K66" s="209" t="s">
        <v>46</v>
      </c>
      <c r="L66" s="239" t="s">
        <v>854</v>
      </c>
      <c r="M66" s="238" t="s">
        <v>887</v>
      </c>
      <c r="N66" s="238" t="s">
        <v>888</v>
      </c>
      <c r="O66" s="238" t="s">
        <v>889</v>
      </c>
      <c r="P66" s="238" t="s">
        <v>890</v>
      </c>
      <c r="Q66" s="238" t="s">
        <v>891</v>
      </c>
      <c r="R66" s="238" t="s">
        <v>892</v>
      </c>
      <c r="S66" s="238" t="s">
        <v>893</v>
      </c>
      <c r="T66" s="238" t="s">
        <v>894</v>
      </c>
    </row>
    <row r="67" spans="4:20" ht="15.75" customHeight="1" x14ac:dyDescent="0.3">
      <c r="H67" s="12" t="s">
        <v>895</v>
      </c>
      <c r="I67" s="261" t="s">
        <v>64</v>
      </c>
      <c r="J67" s="262" t="s">
        <v>896</v>
      </c>
      <c r="K67" s="263" t="s">
        <v>897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3">
      <c r="I68" s="261" t="s">
        <v>119</v>
      </c>
      <c r="J68" s="262"/>
      <c r="K68" s="263" t="s">
        <v>897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3">
      <c r="I69" s="261" t="s">
        <v>872</v>
      </c>
      <c r="J69" s="262"/>
      <c r="K69" s="263" t="s">
        <v>897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3">
      <c r="I70" s="261" t="s">
        <v>123</v>
      </c>
      <c r="J70" s="262"/>
      <c r="K70" s="263" t="s">
        <v>897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3">
      <c r="I71" s="12" t="s">
        <v>866</v>
      </c>
      <c r="J71" s="13"/>
      <c r="K71" s="14" t="s">
        <v>898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3">
      <c r="H72" s="12" t="s">
        <v>899</v>
      </c>
      <c r="I72" s="12" t="s">
        <v>866</v>
      </c>
      <c r="J72" s="13" t="s">
        <v>92</v>
      </c>
      <c r="K72" s="14" t="s">
        <v>898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3">
      <c r="D73" s="805" t="s">
        <v>900</v>
      </c>
      <c r="E73" s="266">
        <f>+'Bases de Cálculo'!C22</f>
        <v>5.7621225008503835E-2</v>
      </c>
      <c r="I73" s="12" t="s">
        <v>67</v>
      </c>
      <c r="J73" s="13"/>
      <c r="K73" s="14" t="s">
        <v>898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3">
      <c r="D74" s="806" t="s">
        <v>1565</v>
      </c>
      <c r="E74" s="266">
        <f>+'Bases de Cálculo'!D22</f>
        <v>9.3659149944684009E-2</v>
      </c>
      <c r="H74" s="12" t="s">
        <v>901</v>
      </c>
      <c r="I74" s="12" t="s">
        <v>866</v>
      </c>
      <c r="J74" s="13" t="s">
        <v>99</v>
      </c>
      <c r="K74" s="14" t="s">
        <v>898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3">
      <c r="I75" s="12" t="s">
        <v>67</v>
      </c>
      <c r="J75" s="13"/>
      <c r="K75" s="14" t="s">
        <v>898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3">
      <c r="H76" s="12" t="s">
        <v>902</v>
      </c>
      <c r="I76" s="261" t="s">
        <v>64</v>
      </c>
      <c r="J76" s="262" t="s">
        <v>104</v>
      </c>
      <c r="K76" s="263" t="s">
        <v>897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3">
      <c r="I77" s="261" t="s">
        <v>119</v>
      </c>
      <c r="J77" s="262"/>
      <c r="K77" s="263" t="s">
        <v>897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3">
      <c r="I78" s="261" t="s">
        <v>872</v>
      </c>
      <c r="J78" s="262"/>
      <c r="K78" s="263" t="s">
        <v>897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3">
      <c r="I79" s="261" t="s">
        <v>123</v>
      </c>
      <c r="J79" s="262"/>
      <c r="K79" s="263" t="s">
        <v>897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3">
      <c r="I80" s="12" t="s">
        <v>866</v>
      </c>
      <c r="J80" s="13"/>
      <c r="K80" s="14" t="s">
        <v>898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3">
      <c r="I81" s="12" t="s">
        <v>66</v>
      </c>
      <c r="J81" s="13"/>
      <c r="K81" s="14" t="s">
        <v>898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3">
      <c r="I82" s="12" t="s">
        <v>67</v>
      </c>
      <c r="J82" s="13"/>
      <c r="K82" s="14" t="s">
        <v>898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3">
      <c r="I83" s="12" t="s">
        <v>70</v>
      </c>
      <c r="J83" s="13"/>
      <c r="K83" s="14" t="s">
        <v>898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3">
      <c r="I84" s="12" t="s">
        <v>75</v>
      </c>
      <c r="J84" s="13"/>
      <c r="K84" s="14" t="s">
        <v>898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3">
      <c r="I85" s="12" t="s">
        <v>82</v>
      </c>
      <c r="J85" s="13"/>
      <c r="K85" s="14" t="s">
        <v>898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3">
      <c r="H86" s="12" t="s">
        <v>903</v>
      </c>
      <c r="I86" s="261" t="s">
        <v>64</v>
      </c>
      <c r="J86" s="262" t="s">
        <v>109</v>
      </c>
      <c r="K86" s="263" t="s">
        <v>897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3">
      <c r="I87" s="261" t="s">
        <v>119</v>
      </c>
      <c r="J87" s="262"/>
      <c r="K87" s="263" t="s">
        <v>897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3">
      <c r="I88" s="261" t="s">
        <v>872</v>
      </c>
      <c r="J88" s="262"/>
      <c r="K88" s="263" t="s">
        <v>897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3">
      <c r="I89" s="261" t="s">
        <v>123</v>
      </c>
      <c r="J89" s="262"/>
      <c r="K89" s="263" t="s">
        <v>897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3">
      <c r="I90" s="12" t="s">
        <v>866</v>
      </c>
      <c r="J90" s="13"/>
      <c r="K90" s="14" t="s">
        <v>898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3">
      <c r="I91" s="12" t="s">
        <v>66</v>
      </c>
      <c r="J91" s="13"/>
      <c r="K91" s="14" t="s">
        <v>898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3">
      <c r="I92" s="12" t="s">
        <v>67</v>
      </c>
      <c r="J92" s="13"/>
      <c r="K92" s="14" t="s">
        <v>898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3">
      <c r="I93" s="12" t="s">
        <v>70</v>
      </c>
      <c r="J93" s="13"/>
      <c r="K93" s="14" t="s">
        <v>898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3">
      <c r="I94" s="12" t="s">
        <v>114</v>
      </c>
      <c r="J94" s="13"/>
      <c r="K94" s="14" t="s">
        <v>898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3">
      <c r="I95" s="12" t="s">
        <v>82</v>
      </c>
      <c r="J95" s="13"/>
      <c r="K95" s="14" t="s">
        <v>898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3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3"/>
    <row r="98" spans="8:18" ht="15.75" customHeight="1" x14ac:dyDescent="0.3">
      <c r="H98" s="268" t="s">
        <v>804</v>
      </c>
      <c r="J98" s="268"/>
      <c r="K98" s="269"/>
    </row>
    <row r="99" spans="8:18" ht="15.75" customHeight="1" x14ac:dyDescent="0.3">
      <c r="H99" s="270" t="s">
        <v>852</v>
      </c>
      <c r="I99" s="270" t="s">
        <v>43</v>
      </c>
      <c r="J99" s="270" t="s">
        <v>853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3">
      <c r="H100" s="12" t="s">
        <v>861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3">
      <c r="H101" s="12" t="s">
        <v>861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3">
      <c r="H102" s="269" t="s">
        <v>861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3">
      <c r="H103" s="12" t="s">
        <v>861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3">
      <c r="H104" s="12" t="s">
        <v>861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3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3">
      <c r="K106" s="231"/>
    </row>
    <row r="107" spans="8:18" ht="15.75" customHeight="1" x14ac:dyDescent="0.3"/>
    <row r="108" spans="8:18" ht="15.75" customHeight="1" x14ac:dyDescent="0.3">
      <c r="K108" s="275">
        <f>+M73*K101+M75*K102+K103+M92*K104</f>
        <v>127.2831</v>
      </c>
    </row>
    <row r="109" spans="8:18" ht="15.75" customHeight="1" x14ac:dyDescent="0.3"/>
    <row r="110" spans="8:18" ht="15.75" customHeight="1" x14ac:dyDescent="0.3"/>
    <row r="111" spans="8:18" ht="15.75" customHeight="1" x14ac:dyDescent="0.3"/>
    <row r="112" spans="8:18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workbookViewId="0">
      <selection activeCell="F1" sqref="F1:H19"/>
    </sheetView>
  </sheetViews>
  <sheetFormatPr baseColWidth="10" defaultColWidth="14.44140625" defaultRowHeight="15" customHeight="1" x14ac:dyDescent="0.3"/>
  <cols>
    <col min="1" max="1" width="10.6640625" customWidth="1"/>
    <col min="2" max="2" width="15" customWidth="1"/>
    <col min="3" max="6" width="10.6640625" customWidth="1"/>
    <col min="7" max="7" width="12" customWidth="1"/>
    <col min="8" max="26" width="10.6640625" customWidth="1"/>
  </cols>
  <sheetData>
    <row r="1" spans="2:8" ht="14.4" x14ac:dyDescent="0.3">
      <c r="G1" s="24" t="s">
        <v>478</v>
      </c>
    </row>
    <row r="2" spans="2:8" ht="14.4" x14ac:dyDescent="0.3">
      <c r="G2" s="276" t="s">
        <v>480</v>
      </c>
    </row>
    <row r="3" spans="2:8" ht="14.4" x14ac:dyDescent="0.3">
      <c r="G3" s="277" t="s">
        <v>486</v>
      </c>
    </row>
    <row r="4" spans="2:8" ht="14.4" x14ac:dyDescent="0.3">
      <c r="B4" s="278" t="str">
        <f t="array" ref="B4:D19">+COMM!X20:Z35</f>
        <v>NRG</v>
      </c>
      <c r="C4" s="279">
        <v>0</v>
      </c>
      <c r="D4" s="279" t="str">
        <v>DGSL</v>
      </c>
      <c r="F4" s="12" t="s">
        <v>872</v>
      </c>
    </row>
    <row r="5" spans="2:8" ht="14.4" x14ac:dyDescent="0.3">
      <c r="B5" s="278">
        <v>0</v>
      </c>
      <c r="C5" s="279">
        <v>0</v>
      </c>
      <c r="D5" s="279" t="str">
        <v>DDSL</v>
      </c>
      <c r="F5" s="12" t="s">
        <v>64</v>
      </c>
    </row>
    <row r="6" spans="2:8" ht="14.4" x14ac:dyDescent="0.3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ht="14.4" x14ac:dyDescent="0.3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ht="14.4" x14ac:dyDescent="0.3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ht="14.4" x14ac:dyDescent="0.3">
      <c r="B9" s="278">
        <v>0</v>
      </c>
      <c r="C9" s="279">
        <v>0</v>
      </c>
      <c r="D9" s="279" t="str">
        <v>DGAS</v>
      </c>
      <c r="F9" s="12" t="s">
        <v>866</v>
      </c>
      <c r="G9" s="222">
        <f>+'Bases de Cálculo'!G6</f>
        <v>55.539114956987063</v>
      </c>
      <c r="H9" s="279">
        <v>55.539114956987063</v>
      </c>
    </row>
    <row r="10" spans="2:8" ht="14.4" x14ac:dyDescent="0.3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ht="14.4" x14ac:dyDescent="0.3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ht="14.4" x14ac:dyDescent="0.3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ht="14.4" x14ac:dyDescent="0.3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ht="14.4" x14ac:dyDescent="0.3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ht="14.4" x14ac:dyDescent="0.3">
      <c r="B15" s="278">
        <v>0</v>
      </c>
      <c r="C15" s="279">
        <v>0</v>
      </c>
      <c r="D15" s="279" t="str">
        <v>DTER</v>
      </c>
    </row>
    <row r="16" spans="2:8" ht="14.4" x14ac:dyDescent="0.3">
      <c r="B16" s="278">
        <v>0</v>
      </c>
      <c r="C16" s="279">
        <v>0</v>
      </c>
      <c r="D16" s="279" t="str">
        <v>DRSD</v>
      </c>
      <c r="F16" s="12" t="s">
        <v>904</v>
      </c>
      <c r="G16" s="222">
        <v>0.16600000000000001</v>
      </c>
      <c r="H16" s="12" t="s">
        <v>905</v>
      </c>
    </row>
    <row r="17" spans="2:15" ht="14.4" x14ac:dyDescent="0.3">
      <c r="B17" s="278">
        <v>0</v>
      </c>
      <c r="C17" s="279">
        <v>0</v>
      </c>
      <c r="D17" s="279" t="str">
        <v>DIND</v>
      </c>
      <c r="F17" s="12" t="s">
        <v>904</v>
      </c>
      <c r="G17" s="280">
        <f>+(G16/1000000)</f>
        <v>1.66E-7</v>
      </c>
      <c r="H17" s="12" t="s">
        <v>906</v>
      </c>
    </row>
    <row r="18" spans="2:15" ht="14.4" x14ac:dyDescent="0.3">
      <c r="B18" s="278">
        <v>0</v>
      </c>
      <c r="C18" s="279">
        <v>0</v>
      </c>
      <c r="D18" s="279" t="str">
        <v>DTRA</v>
      </c>
      <c r="F18" s="12" t="s">
        <v>904</v>
      </c>
      <c r="G18" s="12">
        <f>+G17*(1000000)</f>
        <v>0.16600000000000001</v>
      </c>
      <c r="H18" s="12" t="s">
        <v>907</v>
      </c>
    </row>
    <row r="19" spans="2:15" ht="14.4" x14ac:dyDescent="0.3">
      <c r="B19" s="278" t="str">
        <v>NRG</v>
      </c>
      <c r="C19" s="279">
        <v>0</v>
      </c>
      <c r="D19" s="279" t="str">
        <v>DAVG</v>
      </c>
      <c r="F19" s="281" t="s">
        <v>904</v>
      </c>
      <c r="G19" s="281">
        <f>+G18/0.0036</f>
        <v>46.111111111111114</v>
      </c>
      <c r="H19" s="281" t="s">
        <v>908</v>
      </c>
    </row>
    <row r="21" spans="2:15" ht="15.75" customHeight="1" x14ac:dyDescent="0.35">
      <c r="B21" s="282" t="s">
        <v>909</v>
      </c>
    </row>
    <row r="22" spans="2:15" ht="15.75" customHeight="1" x14ac:dyDescent="0.3"/>
    <row r="23" spans="2:15" ht="15.75" customHeight="1" x14ac:dyDescent="0.3">
      <c r="B23" s="283" t="s">
        <v>910</v>
      </c>
    </row>
    <row r="24" spans="2:15" ht="15.75" customHeight="1" x14ac:dyDescent="0.3">
      <c r="B24" s="284" t="s">
        <v>43</v>
      </c>
      <c r="C24" s="285" t="s">
        <v>872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866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3">
      <c r="B25" s="211" t="s">
        <v>859</v>
      </c>
      <c r="C25" s="212" t="s">
        <v>480</v>
      </c>
      <c r="D25" s="212" t="s">
        <v>480</v>
      </c>
      <c r="E25" s="212" t="s">
        <v>480</v>
      </c>
      <c r="F25" s="212" t="s">
        <v>480</v>
      </c>
      <c r="G25" s="212" t="s">
        <v>480</v>
      </c>
      <c r="H25" s="212" t="s">
        <v>480</v>
      </c>
      <c r="I25" s="212" t="s">
        <v>480</v>
      </c>
      <c r="J25" s="212" t="s">
        <v>480</v>
      </c>
      <c r="K25" s="212" t="s">
        <v>480</v>
      </c>
      <c r="L25" s="212" t="s">
        <v>480</v>
      </c>
      <c r="M25" s="212" t="s">
        <v>480</v>
      </c>
      <c r="N25" s="212" t="s">
        <v>480</v>
      </c>
      <c r="O25" s="212" t="s">
        <v>480</v>
      </c>
    </row>
    <row r="26" spans="2:15" ht="15.75" customHeight="1" x14ac:dyDescent="0.3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3"/>
    <row r="28" spans="2:15" ht="15.75" customHeight="1" x14ac:dyDescent="0.3"/>
    <row r="29" spans="2:15" ht="15.75" customHeight="1" x14ac:dyDescent="0.3"/>
    <row r="30" spans="2:15" ht="15.75" customHeight="1" x14ac:dyDescent="0.3"/>
    <row r="31" spans="2:15" ht="15.75" customHeight="1" x14ac:dyDescent="0.4">
      <c r="B31" s="288"/>
    </row>
    <row r="32" spans="2:15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57" workbookViewId="0">
      <selection activeCell="B55" sqref="B55"/>
    </sheetView>
  </sheetViews>
  <sheetFormatPr baseColWidth="10" defaultColWidth="14.44140625" defaultRowHeight="15" customHeight="1" x14ac:dyDescent="0.3"/>
  <cols>
    <col min="1" max="1" width="10.6640625" customWidth="1"/>
    <col min="2" max="2" width="16.88671875" customWidth="1"/>
    <col min="3" max="3" width="25.33203125" customWidth="1"/>
    <col min="4" max="4" width="14.109375" customWidth="1"/>
    <col min="5" max="5" width="13.6640625" customWidth="1"/>
    <col min="6" max="9" width="10.6640625" customWidth="1"/>
    <col min="10" max="10" width="11.44140625" customWidth="1"/>
    <col min="11" max="11" width="14.5546875" customWidth="1"/>
    <col min="12" max="26" width="10.6640625" customWidth="1"/>
  </cols>
  <sheetData>
    <row r="1" spans="2:10" ht="14.4" x14ac:dyDescent="0.3">
      <c r="B1" s="70"/>
    </row>
    <row r="2" spans="2:10" ht="14.4" x14ac:dyDescent="0.3">
      <c r="B2" s="70"/>
    </row>
    <row r="3" spans="2:10" ht="14.4" x14ac:dyDescent="0.3">
      <c r="B3" s="70"/>
      <c r="C3" s="12" t="s">
        <v>914</v>
      </c>
    </row>
    <row r="4" spans="2:10" ht="14.4" x14ac:dyDescent="0.3">
      <c r="B4" s="70"/>
      <c r="C4" s="70"/>
      <c r="J4" s="12" t="s">
        <v>915</v>
      </c>
    </row>
    <row r="5" spans="2:10" ht="14.4" x14ac:dyDescent="0.3">
      <c r="B5" s="289"/>
      <c r="C5" s="202"/>
      <c r="D5" s="1010" t="s">
        <v>916</v>
      </c>
      <c r="E5" s="983"/>
      <c r="F5" s="983"/>
    </row>
    <row r="6" spans="2:10" ht="14.4" x14ac:dyDescent="0.3">
      <c r="B6" s="289"/>
      <c r="C6" s="290"/>
      <c r="D6" s="290" t="s">
        <v>917</v>
      </c>
      <c r="E6" s="290" t="s">
        <v>918</v>
      </c>
      <c r="F6" s="290" t="s">
        <v>919</v>
      </c>
    </row>
    <row r="7" spans="2:10" ht="14.4" x14ac:dyDescent="0.3">
      <c r="B7" s="1011" t="s">
        <v>920</v>
      </c>
      <c r="C7" s="290" t="s">
        <v>921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ht="14.4" x14ac:dyDescent="0.3">
      <c r="B8" s="983"/>
      <c r="C8" s="290" t="s">
        <v>922</v>
      </c>
      <c r="D8" s="291">
        <v>146640</v>
      </c>
      <c r="E8" s="291">
        <v>45000</v>
      </c>
      <c r="F8" s="291">
        <f t="shared" si="0"/>
        <v>191640</v>
      </c>
    </row>
    <row r="9" spans="2:10" ht="14.4" x14ac:dyDescent="0.3">
      <c r="B9" s="289"/>
      <c r="C9" s="290" t="s">
        <v>919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ht="14.4" x14ac:dyDescent="0.3">
      <c r="B10" s="70" t="s">
        <v>923</v>
      </c>
      <c r="C10" s="290" t="s">
        <v>924</v>
      </c>
      <c r="E10" s="292">
        <v>0.6</v>
      </c>
      <c r="F10" s="293"/>
    </row>
    <row r="11" spans="2:10" ht="14.4" x14ac:dyDescent="0.3">
      <c r="B11" s="70"/>
      <c r="C11" s="290" t="s">
        <v>925</v>
      </c>
      <c r="D11" s="294"/>
      <c r="E11" s="292">
        <v>0.25</v>
      </c>
      <c r="F11" s="293"/>
    </row>
    <row r="12" spans="2:10" ht="14.4" x14ac:dyDescent="0.3">
      <c r="B12" s="70"/>
      <c r="C12" s="290" t="s">
        <v>926</v>
      </c>
      <c r="D12" s="292"/>
      <c r="E12" s="295">
        <v>0.15</v>
      </c>
    </row>
    <row r="13" spans="2:10" ht="14.4" x14ac:dyDescent="0.3">
      <c r="B13" s="70"/>
    </row>
    <row r="14" spans="2:10" ht="14.4" x14ac:dyDescent="0.3">
      <c r="B14" s="70"/>
      <c r="C14" s="214"/>
      <c r="D14" s="214" t="s">
        <v>917</v>
      </c>
      <c r="E14" s="214" t="s">
        <v>918</v>
      </c>
      <c r="F14" s="214" t="s">
        <v>919</v>
      </c>
    </row>
    <row r="15" spans="2:10" ht="14.4" x14ac:dyDescent="0.3">
      <c r="B15" s="70" t="s">
        <v>920</v>
      </c>
      <c r="C15" s="214" t="s">
        <v>927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ht="14.4" x14ac:dyDescent="0.3">
      <c r="B16" s="70" t="s">
        <v>928</v>
      </c>
      <c r="C16" s="14" t="s">
        <v>929</v>
      </c>
      <c r="D16" s="295">
        <v>0.7</v>
      </c>
      <c r="E16" s="295">
        <f>45000/150000</f>
        <v>0.3</v>
      </c>
    </row>
    <row r="17" spans="2:8" ht="14.4" x14ac:dyDescent="0.3">
      <c r="B17" s="70"/>
    </row>
    <row r="18" spans="2:8" ht="14.4" x14ac:dyDescent="0.3">
      <c r="B18" s="70"/>
    </row>
    <row r="19" spans="2:8" ht="14.4" x14ac:dyDescent="0.3">
      <c r="B19" s="70"/>
    </row>
    <row r="20" spans="2:8" ht="14.4" x14ac:dyDescent="0.3">
      <c r="B20" s="70"/>
      <c r="C20" s="14"/>
      <c r="D20" s="14" t="s">
        <v>917</v>
      </c>
      <c r="E20" s="12" t="s">
        <v>918</v>
      </c>
    </row>
    <row r="21" spans="2:8" ht="15.75" customHeight="1" x14ac:dyDescent="0.3">
      <c r="B21" s="70"/>
      <c r="C21" s="14" t="s">
        <v>930</v>
      </c>
      <c r="D21" s="14">
        <v>250</v>
      </c>
      <c r="E21" s="14">
        <v>150</v>
      </c>
    </row>
    <row r="22" spans="2:8" ht="15.75" customHeight="1" x14ac:dyDescent="0.3">
      <c r="B22" s="70"/>
    </row>
    <row r="23" spans="2:8" ht="15.75" customHeight="1" x14ac:dyDescent="0.3">
      <c r="B23" s="70"/>
    </row>
    <row r="24" spans="2:8" ht="15.75" customHeight="1" x14ac:dyDescent="0.3">
      <c r="B24" s="70"/>
      <c r="D24" s="14" t="s">
        <v>917</v>
      </c>
      <c r="E24" s="12" t="s">
        <v>918</v>
      </c>
    </row>
    <row r="25" spans="2:8" ht="15.75" customHeight="1" x14ac:dyDescent="0.3">
      <c r="B25" s="70" t="s">
        <v>931</v>
      </c>
      <c r="C25" s="12" t="s">
        <v>932</v>
      </c>
      <c r="D25" s="266">
        <v>0.83</v>
      </c>
      <c r="E25" s="266">
        <v>0.93700000000000006</v>
      </c>
    </row>
    <row r="26" spans="2:8" ht="15.75" customHeight="1" x14ac:dyDescent="0.3">
      <c r="B26" s="70" t="s">
        <v>923</v>
      </c>
      <c r="D26" s="293">
        <v>220000</v>
      </c>
      <c r="E26" s="293">
        <v>150000</v>
      </c>
    </row>
    <row r="27" spans="2:8" ht="15.75" customHeight="1" x14ac:dyDescent="0.3">
      <c r="B27" s="70"/>
    </row>
    <row r="28" spans="2:8" ht="15.75" customHeight="1" x14ac:dyDescent="0.3">
      <c r="B28" s="70"/>
      <c r="D28" s="14" t="s">
        <v>917</v>
      </c>
      <c r="E28" s="12" t="s">
        <v>918</v>
      </c>
    </row>
    <row r="29" spans="2:8" ht="15.75" customHeight="1" x14ac:dyDescent="0.3">
      <c r="B29" s="70" t="s">
        <v>931</v>
      </c>
      <c r="C29" s="12" t="s">
        <v>933</v>
      </c>
      <c r="D29" s="228">
        <v>0.61</v>
      </c>
      <c r="E29" s="228">
        <v>0.97</v>
      </c>
    </row>
    <row r="30" spans="2:8" ht="15.75" customHeight="1" x14ac:dyDescent="0.3">
      <c r="B30" s="813"/>
      <c r="C30" s="814"/>
      <c r="D30" s="227" t="s">
        <v>917</v>
      </c>
      <c r="E30" s="814" t="s">
        <v>918</v>
      </c>
    </row>
    <row r="31" spans="2:8" ht="15.75" customHeight="1" x14ac:dyDescent="0.3">
      <c r="B31" s="813" t="s">
        <v>934</v>
      </c>
      <c r="C31" s="814" t="s">
        <v>935</v>
      </c>
      <c r="D31" s="814">
        <v>180000</v>
      </c>
      <c r="E31" s="814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3">
      <c r="B32" s="813"/>
      <c r="C32" s="814" t="s">
        <v>936</v>
      </c>
      <c r="D32" s="814">
        <v>222000</v>
      </c>
      <c r="E32" s="814">
        <v>165000</v>
      </c>
    </row>
    <row r="33" spans="2:9" ht="15.75" customHeight="1" x14ac:dyDescent="0.3">
      <c r="B33" s="813"/>
      <c r="C33" s="814" t="s">
        <v>937</v>
      </c>
      <c r="D33" s="815">
        <f t="shared" ref="D33:E33" si="3">+D31/D32</f>
        <v>0.81081081081081086</v>
      </c>
      <c r="E33" s="815">
        <f t="shared" si="3"/>
        <v>0.78787878787878785</v>
      </c>
    </row>
    <row r="34" spans="2:9" ht="15.75" customHeight="1" x14ac:dyDescent="0.3">
      <c r="B34" s="70" t="s">
        <v>931</v>
      </c>
      <c r="C34" s="12" t="s">
        <v>935</v>
      </c>
      <c r="D34" s="12">
        <v>209000</v>
      </c>
      <c r="E34" s="12">
        <v>147888</v>
      </c>
    </row>
    <row r="35" spans="2:9" ht="15.75" customHeight="1" x14ac:dyDescent="0.3">
      <c r="B35" s="70"/>
      <c r="C35" s="12" t="s">
        <v>936</v>
      </c>
      <c r="D35" s="12">
        <v>211820</v>
      </c>
      <c r="E35" s="12">
        <v>150000</v>
      </c>
    </row>
    <row r="36" spans="2:9" ht="15.75" customHeight="1" x14ac:dyDescent="0.3">
      <c r="B36" s="70"/>
      <c r="C36" s="12" t="s">
        <v>937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3">
      <c r="B37" s="70"/>
    </row>
    <row r="38" spans="2:9" ht="15.75" customHeight="1" x14ac:dyDescent="0.3">
      <c r="B38" s="70"/>
    </row>
    <row r="39" spans="2:9" ht="15.75" customHeight="1" x14ac:dyDescent="0.3">
      <c r="B39" s="70"/>
      <c r="D39" s="14" t="s">
        <v>917</v>
      </c>
      <c r="E39" s="12" t="s">
        <v>918</v>
      </c>
    </row>
    <row r="40" spans="2:9" ht="15.75" customHeight="1" x14ac:dyDescent="0.3">
      <c r="B40" s="70"/>
      <c r="C40" s="12" t="s">
        <v>938</v>
      </c>
      <c r="D40" s="12">
        <v>2027</v>
      </c>
      <c r="E40" s="12">
        <v>2026</v>
      </c>
    </row>
    <row r="41" spans="2:9" ht="15.75" customHeight="1" x14ac:dyDescent="0.3">
      <c r="B41" s="70"/>
      <c r="C41" s="12" t="s">
        <v>939</v>
      </c>
      <c r="D41" s="12">
        <v>2032</v>
      </c>
      <c r="E41" s="12">
        <v>2029</v>
      </c>
    </row>
    <row r="42" spans="2:9" ht="15.75" customHeight="1" x14ac:dyDescent="0.3">
      <c r="B42" s="70"/>
    </row>
    <row r="43" spans="2:9" ht="15.75" customHeight="1" x14ac:dyDescent="0.3">
      <c r="B43" s="70"/>
    </row>
    <row r="44" spans="2:9" ht="15.75" customHeight="1" x14ac:dyDescent="0.3">
      <c r="B44" s="70"/>
    </row>
    <row r="45" spans="2:9" ht="15.75" customHeight="1" x14ac:dyDescent="0.3">
      <c r="B45" s="1012" t="s">
        <v>928</v>
      </c>
      <c r="C45" s="12" t="s">
        <v>940</v>
      </c>
    </row>
    <row r="46" spans="2:9" ht="15.75" customHeight="1" x14ac:dyDescent="0.3">
      <c r="B46" s="983"/>
      <c r="D46" s="14" t="s">
        <v>917</v>
      </c>
      <c r="E46" s="12" t="s">
        <v>918</v>
      </c>
      <c r="F46" s="12" t="s">
        <v>941</v>
      </c>
    </row>
    <row r="47" spans="2:9" ht="15.75" customHeight="1" x14ac:dyDescent="0.3">
      <c r="B47" s="983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3">
      <c r="B48" s="983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3">
      <c r="B49" s="983"/>
      <c r="C49" s="12" t="s">
        <v>942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3">
      <c r="B50" s="983"/>
      <c r="C50" s="12" t="s">
        <v>943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3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3">
      <c r="B52" s="297"/>
      <c r="C52" s="12" t="s">
        <v>944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3">
      <c r="B53" s="297"/>
      <c r="D53" s="293"/>
      <c r="E53" s="293"/>
      <c r="F53" s="293"/>
      <c r="H53" s="293"/>
    </row>
    <row r="54" spans="2:15" ht="15.75" customHeight="1" x14ac:dyDescent="0.3">
      <c r="B54" s="70"/>
      <c r="D54" s="14"/>
      <c r="E54" s="12" t="s">
        <v>918</v>
      </c>
      <c r="H54" s="293"/>
    </row>
    <row r="55" spans="2:15" ht="15.75" customHeight="1" x14ac:dyDescent="0.3">
      <c r="B55" s="70" t="s">
        <v>945</v>
      </c>
      <c r="C55" s="12" t="s">
        <v>60</v>
      </c>
      <c r="D55" s="293">
        <v>56700</v>
      </c>
      <c r="E55" s="298">
        <v>29000</v>
      </c>
      <c r="F55" s="293"/>
      <c r="G55">
        <f>+D55/180000</f>
        <v>0.315</v>
      </c>
      <c r="H55" s="293"/>
    </row>
    <row r="56" spans="2:15" ht="15.75" customHeight="1" x14ac:dyDescent="0.3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3">
      <c r="B57" s="70"/>
      <c r="C57" s="12" t="s">
        <v>942</v>
      </c>
      <c r="D57" s="293">
        <v>23000</v>
      </c>
      <c r="E57" s="298">
        <v>9000</v>
      </c>
      <c r="F57" s="293"/>
      <c r="H57" s="293"/>
    </row>
    <row r="58" spans="2:15" ht="15.75" customHeight="1" x14ac:dyDescent="0.3">
      <c r="B58" s="70"/>
      <c r="C58" s="12" t="s">
        <v>943</v>
      </c>
      <c r="D58" s="293">
        <f>+D31-D59</f>
        <v>42300</v>
      </c>
      <c r="E58" s="298"/>
      <c r="F58" s="293"/>
      <c r="H58" s="293"/>
    </row>
    <row r="59" spans="2:15" ht="15.75" customHeight="1" x14ac:dyDescent="0.3">
      <c r="B59" s="70"/>
      <c r="D59" s="293">
        <f>+D55+D57+D56</f>
        <v>137700</v>
      </c>
      <c r="E59" s="298"/>
      <c r="F59" s="293"/>
      <c r="H59" s="293"/>
    </row>
    <row r="60" spans="2:15" ht="15.75" customHeight="1" x14ac:dyDescent="0.3">
      <c r="B60" s="70"/>
    </row>
    <row r="61" spans="2:15" ht="15.75" customHeight="1" x14ac:dyDescent="0.3">
      <c r="B61" s="70"/>
    </row>
    <row r="62" spans="2:15" ht="15.75" customHeight="1" x14ac:dyDescent="0.3">
      <c r="B62" s="300" t="s">
        <v>928</v>
      </c>
      <c r="C62" s="301" t="s">
        <v>946</v>
      </c>
      <c r="D62" s="302"/>
      <c r="E62" s="302"/>
      <c r="F62" s="302"/>
      <c r="G62" s="303">
        <v>209500</v>
      </c>
    </row>
    <row r="63" spans="2:15" ht="15.75" customHeight="1" x14ac:dyDescent="0.3">
      <c r="B63" s="304"/>
      <c r="D63" s="14" t="s">
        <v>917</v>
      </c>
      <c r="E63" s="12" t="s">
        <v>918</v>
      </c>
      <c r="G63" s="305"/>
    </row>
    <row r="64" spans="2:15" ht="15.75" customHeight="1" x14ac:dyDescent="0.3">
      <c r="B64" s="304"/>
      <c r="C64" s="12" t="s">
        <v>947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948</v>
      </c>
      <c r="O64" s="12">
        <f>+M64*'4.1 Ref_Cart'!E11</f>
        <v>1.8551527595955706</v>
      </c>
    </row>
    <row r="65" spans="2:17" ht="15.75" customHeight="1" x14ac:dyDescent="0.3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949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948</v>
      </c>
      <c r="O65" s="12">
        <f>+M65*'4.1 Ref_Cart'!E12</f>
        <v>2.9091459679514378</v>
      </c>
    </row>
    <row r="66" spans="2:17" ht="15.75" customHeight="1" x14ac:dyDescent="0.3">
      <c r="B66" s="304"/>
      <c r="C66" s="12" t="s">
        <v>942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950</v>
      </c>
      <c r="L66" s="228">
        <v>4.7E-2</v>
      </c>
      <c r="M66" s="12">
        <f t="shared" si="6"/>
        <v>4.7E-2</v>
      </c>
      <c r="N66" s="12" t="s">
        <v>948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3">
      <c r="B67" s="304"/>
      <c r="C67" s="12" t="s">
        <v>943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943</v>
      </c>
      <c r="L67" s="228">
        <v>9.1999999999999998E-2</v>
      </c>
      <c r="M67" s="12">
        <f t="shared" si="6"/>
        <v>9.1999999999999998E-2</v>
      </c>
      <c r="N67" s="12" t="s">
        <v>948</v>
      </c>
    </row>
    <row r="68" spans="2:17" ht="15.75" customHeight="1" x14ac:dyDescent="0.3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948</v>
      </c>
      <c r="O68" s="12">
        <f>+M68*'4.1 Ref_Cart'!E8</f>
        <v>6.0871741676095334</v>
      </c>
    </row>
    <row r="69" spans="2:17" ht="15.75" customHeight="1" x14ac:dyDescent="0.3">
      <c r="B69" s="308" t="s">
        <v>945</v>
      </c>
      <c r="D69" s="14" t="s">
        <v>917</v>
      </c>
      <c r="E69" s="12" t="s">
        <v>918</v>
      </c>
      <c r="G69" s="305"/>
      <c r="I69" s="1" t="s">
        <v>22</v>
      </c>
      <c r="J69" s="309">
        <v>4.6280493926312651E-2</v>
      </c>
    </row>
    <row r="70" spans="2:17" ht="15.75" customHeight="1" x14ac:dyDescent="0.3">
      <c r="B70" s="304"/>
      <c r="C70" s="12" t="s">
        <v>947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3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3">
      <c r="B72" s="304"/>
      <c r="C72" s="12" t="s">
        <v>942</v>
      </c>
      <c r="D72" s="11">
        <v>9.8000000000000004E-2</v>
      </c>
      <c r="E72" s="228">
        <v>5.8000000000000003E-2</v>
      </c>
      <c r="G72" s="305"/>
    </row>
    <row r="73" spans="2:17" ht="15.75" customHeight="1" x14ac:dyDescent="0.3">
      <c r="B73" s="304"/>
      <c r="C73" s="12" t="s">
        <v>943</v>
      </c>
      <c r="D73" s="11">
        <v>0.32</v>
      </c>
      <c r="E73" s="228">
        <v>7.0000000000000007E-2</v>
      </c>
      <c r="G73" s="305"/>
    </row>
    <row r="74" spans="2:17" ht="15.75" customHeight="1" x14ac:dyDescent="0.3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3">
      <c r="B75" s="308" t="s">
        <v>951</v>
      </c>
      <c r="D75" s="14" t="s">
        <v>917</v>
      </c>
      <c r="E75" s="12" t="s">
        <v>918</v>
      </c>
      <c r="G75" s="305"/>
      <c r="J75" s="228">
        <f>+SUM(J66:J70)</f>
        <v>0.97309507077602642</v>
      </c>
    </row>
    <row r="76" spans="2:17" ht="15.75" customHeight="1" x14ac:dyDescent="0.3">
      <c r="B76" s="304"/>
      <c r="C76" s="12" t="s">
        <v>60</v>
      </c>
      <c r="D76" s="266">
        <v>0.32400000000000001</v>
      </c>
      <c r="G76" s="820">
        <f>+D76*$D$31</f>
        <v>58320</v>
      </c>
    </row>
    <row r="77" spans="2:17" ht="15.75" customHeight="1" x14ac:dyDescent="0.3">
      <c r="B77" s="304"/>
      <c r="C77" s="12" t="s">
        <v>63</v>
      </c>
      <c r="D77" s="266">
        <v>0.32900000000000001</v>
      </c>
      <c r="G77" s="820">
        <f t="shared" ref="G77:G79" si="9">+D77*$D$31</f>
        <v>59220</v>
      </c>
    </row>
    <row r="78" spans="2:17" ht="15.75" customHeight="1" x14ac:dyDescent="0.3">
      <c r="B78" s="304"/>
      <c r="C78" s="12" t="s">
        <v>942</v>
      </c>
      <c r="D78" s="266">
        <v>9.9000000000000005E-2</v>
      </c>
      <c r="G78" s="820">
        <f t="shared" si="9"/>
        <v>17820</v>
      </c>
    </row>
    <row r="79" spans="2:17" ht="15.75" customHeight="1" x14ac:dyDescent="0.3">
      <c r="B79" s="304"/>
      <c r="C79" s="12" t="s">
        <v>952</v>
      </c>
      <c r="D79" s="266">
        <v>0.248</v>
      </c>
      <c r="G79" s="820">
        <f t="shared" si="9"/>
        <v>44640</v>
      </c>
    </row>
    <row r="80" spans="2:17" ht="15.75" customHeight="1" x14ac:dyDescent="0.3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3">
      <c r="B81" s="70" t="s">
        <v>951</v>
      </c>
      <c r="C81" s="306" t="s">
        <v>953</v>
      </c>
      <c r="D81" s="14" t="s">
        <v>917</v>
      </c>
      <c r="E81" s="12" t="s">
        <v>918</v>
      </c>
      <c r="I81" s="818" t="s">
        <v>917</v>
      </c>
      <c r="J81" s="818" t="s">
        <v>918</v>
      </c>
    </row>
    <row r="82" spans="2:10" ht="15.75" customHeight="1" x14ac:dyDescent="0.3">
      <c r="B82" s="70"/>
      <c r="C82" s="814" t="s">
        <v>60</v>
      </c>
      <c r="D82" s="816">
        <v>0.24</v>
      </c>
      <c r="E82" s="816">
        <v>0.19</v>
      </c>
      <c r="I82" s="819">
        <f>+D82*$D$31</f>
        <v>43200</v>
      </c>
      <c r="J82" s="819">
        <f>+E82*$E$31</f>
        <v>24700</v>
      </c>
    </row>
    <row r="83" spans="2:10" ht="15.75" customHeight="1" x14ac:dyDescent="0.3">
      <c r="B83" s="70"/>
      <c r="C83" s="814" t="s">
        <v>63</v>
      </c>
      <c r="D83" s="816">
        <v>0.28999999999999998</v>
      </c>
      <c r="E83" s="816">
        <v>0.52</v>
      </c>
      <c r="I83" s="819">
        <f t="shared" ref="I83:I85" si="10">+D83*$D$31</f>
        <v>52200</v>
      </c>
      <c r="J83" s="819">
        <f t="shared" ref="J83:J85" si="11">+E83*$E$31</f>
        <v>67600</v>
      </c>
    </row>
    <row r="84" spans="2:10" ht="15.75" customHeight="1" x14ac:dyDescent="0.3">
      <c r="B84" s="70"/>
      <c r="C84" s="814" t="s">
        <v>942</v>
      </c>
      <c r="D84" s="816">
        <v>0.09</v>
      </c>
      <c r="E84" s="816">
        <v>7.0000000000000007E-2</v>
      </c>
      <c r="I84" s="819">
        <f t="shared" si="10"/>
        <v>16200</v>
      </c>
      <c r="J84" s="819">
        <f t="shared" si="11"/>
        <v>9100</v>
      </c>
    </row>
    <row r="85" spans="2:10" ht="15.75" customHeight="1" x14ac:dyDescent="0.3">
      <c r="B85" s="70"/>
      <c r="C85" s="814" t="s">
        <v>22</v>
      </c>
      <c r="D85" s="816">
        <v>0.01</v>
      </c>
      <c r="E85" s="816">
        <v>0.01</v>
      </c>
      <c r="I85" s="819">
        <f t="shared" si="10"/>
        <v>1800</v>
      </c>
      <c r="J85" s="819">
        <f t="shared" si="11"/>
        <v>1300</v>
      </c>
    </row>
    <row r="86" spans="2:10" ht="15.75" customHeight="1" x14ac:dyDescent="0.3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3">
      <c r="B87" s="70"/>
    </row>
    <row r="88" spans="2:10" ht="15.75" customHeight="1" x14ac:dyDescent="0.3">
      <c r="B88" s="70"/>
    </row>
    <row r="89" spans="2:10" ht="15.75" customHeight="1" x14ac:dyDescent="0.3">
      <c r="B89" s="70"/>
    </row>
    <row r="90" spans="2:10" ht="15.75" customHeight="1" x14ac:dyDescent="0.3">
      <c r="B90" s="70" t="s">
        <v>928</v>
      </c>
    </row>
    <row r="91" spans="2:10" ht="15.75" customHeight="1" x14ac:dyDescent="0.3">
      <c r="B91" s="70"/>
      <c r="C91" s="214"/>
      <c r="D91" s="214" t="s">
        <v>954</v>
      </c>
      <c r="E91" s="214"/>
    </row>
    <row r="92" spans="2:10" ht="15.75" customHeight="1" x14ac:dyDescent="0.3">
      <c r="B92" s="70"/>
      <c r="C92" s="214" t="s">
        <v>955</v>
      </c>
      <c r="D92" s="313" t="s">
        <v>956</v>
      </c>
      <c r="E92" s="214" t="s">
        <v>957</v>
      </c>
    </row>
    <row r="93" spans="2:10" ht="15.75" customHeight="1" x14ac:dyDescent="0.3">
      <c r="B93" s="70"/>
      <c r="C93" s="214" t="s">
        <v>958</v>
      </c>
      <c r="D93" s="313">
        <v>0.307</v>
      </c>
      <c r="E93" s="313">
        <v>0.43</v>
      </c>
    </row>
    <row r="94" spans="2:10" ht="15.75" customHeight="1" x14ac:dyDescent="0.3">
      <c r="B94" s="70"/>
      <c r="C94" s="214" t="s">
        <v>959</v>
      </c>
      <c r="D94" s="313">
        <v>0.29599999999999999</v>
      </c>
      <c r="E94" s="313">
        <v>0.33600000000000002</v>
      </c>
    </row>
    <row r="95" spans="2:10" ht="15.75" customHeight="1" x14ac:dyDescent="0.3">
      <c r="B95" s="70"/>
      <c r="C95" s="214" t="s">
        <v>960</v>
      </c>
      <c r="D95" s="313">
        <v>0.10100000000000001</v>
      </c>
      <c r="E95" s="313">
        <v>0.114</v>
      </c>
    </row>
    <row r="96" spans="2:10" ht="15.75" customHeight="1" x14ac:dyDescent="0.3">
      <c r="B96" s="70"/>
      <c r="C96" s="214" t="s">
        <v>943</v>
      </c>
      <c r="D96" s="314">
        <v>0.29599999999999999</v>
      </c>
      <c r="E96" s="314">
        <v>0.12</v>
      </c>
    </row>
    <row r="97" spans="2:5" ht="15.75" customHeight="1" x14ac:dyDescent="0.3">
      <c r="B97" s="70"/>
      <c r="E97" s="817"/>
    </row>
    <row r="98" spans="2:5" ht="15.75" customHeight="1" x14ac:dyDescent="0.3">
      <c r="B98" s="70"/>
    </row>
    <row r="99" spans="2:5" ht="15.75" customHeight="1" x14ac:dyDescent="0.3">
      <c r="B99" s="70"/>
    </row>
    <row r="100" spans="2:5" ht="15.75" customHeight="1" x14ac:dyDescent="0.3">
      <c r="B100" s="70" t="s">
        <v>951</v>
      </c>
      <c r="C100" s="70"/>
      <c r="D100" s="12" t="s">
        <v>961</v>
      </c>
    </row>
    <row r="101" spans="2:5" ht="15.75" customHeight="1" x14ac:dyDescent="0.3">
      <c r="B101" s="70"/>
      <c r="C101" s="12" t="s">
        <v>947</v>
      </c>
      <c r="D101" s="266">
        <v>0.60299999999999998</v>
      </c>
    </row>
    <row r="102" spans="2:5" ht="15.75" customHeight="1" x14ac:dyDescent="0.3">
      <c r="B102" s="70"/>
      <c r="C102" s="12" t="s">
        <v>63</v>
      </c>
      <c r="D102" s="266">
        <v>0.57799999999999996</v>
      </c>
    </row>
    <row r="103" spans="2:5" ht="15.75" customHeight="1" x14ac:dyDescent="0.3">
      <c r="B103" s="70"/>
      <c r="C103" s="12" t="s">
        <v>942</v>
      </c>
      <c r="D103" s="228">
        <v>0.64</v>
      </c>
    </row>
    <row r="104" spans="2:5" ht="15.75" customHeight="1" x14ac:dyDescent="0.3">
      <c r="B104" s="70"/>
      <c r="C104" s="12" t="s">
        <v>962</v>
      </c>
      <c r="D104" s="228">
        <v>0.7</v>
      </c>
    </row>
    <row r="105" spans="2:5" ht="15.75" customHeight="1" x14ac:dyDescent="0.3">
      <c r="B105" s="70"/>
    </row>
    <row r="106" spans="2:5" ht="15.75" customHeight="1" x14ac:dyDescent="0.3">
      <c r="B106" s="70"/>
    </row>
    <row r="107" spans="2:5" ht="15.75" customHeight="1" x14ac:dyDescent="0.3">
      <c r="B107" s="70"/>
    </row>
    <row r="108" spans="2:5" ht="15.75" customHeight="1" x14ac:dyDescent="0.3">
      <c r="B108" s="70"/>
    </row>
    <row r="109" spans="2:5" ht="15.75" customHeight="1" x14ac:dyDescent="0.3">
      <c r="B109" s="70"/>
    </row>
    <row r="110" spans="2:5" ht="15.75" customHeight="1" x14ac:dyDescent="0.3">
      <c r="B110" s="70"/>
    </row>
    <row r="111" spans="2:5" ht="15.75" customHeight="1" x14ac:dyDescent="0.3">
      <c r="B111" s="70"/>
    </row>
    <row r="112" spans="2:5" ht="15.75" customHeight="1" x14ac:dyDescent="0.3">
      <c r="B112" s="70"/>
    </row>
    <row r="113" spans="2:2" ht="15.75" customHeight="1" x14ac:dyDescent="0.3">
      <c r="B113" s="70"/>
    </row>
    <row r="114" spans="2:2" ht="15.75" customHeight="1" x14ac:dyDescent="0.3">
      <c r="B114" s="70"/>
    </row>
    <row r="115" spans="2:2" ht="15.75" customHeight="1" x14ac:dyDescent="0.3">
      <c r="B115" s="70"/>
    </row>
    <row r="116" spans="2:2" ht="15.75" customHeight="1" x14ac:dyDescent="0.3">
      <c r="B116" s="70"/>
    </row>
    <row r="117" spans="2:2" ht="15.75" customHeight="1" x14ac:dyDescent="0.3">
      <c r="B117" s="70"/>
    </row>
    <row r="118" spans="2:2" ht="15.75" customHeight="1" x14ac:dyDescent="0.3">
      <c r="B118" s="70"/>
    </row>
    <row r="119" spans="2:2" ht="15.75" customHeight="1" x14ac:dyDescent="0.3">
      <c r="B119" s="70"/>
    </row>
    <row r="120" spans="2:2" ht="15.75" customHeight="1" x14ac:dyDescent="0.3">
      <c r="B120" s="70"/>
    </row>
    <row r="121" spans="2:2" ht="15.75" customHeight="1" x14ac:dyDescent="0.3">
      <c r="B121" s="70"/>
    </row>
    <row r="122" spans="2:2" ht="15.75" customHeight="1" x14ac:dyDescent="0.3">
      <c r="B122" s="70"/>
    </row>
    <row r="123" spans="2:2" ht="15.75" customHeight="1" x14ac:dyDescent="0.3">
      <c r="B123" s="70"/>
    </row>
    <row r="124" spans="2:2" ht="15.75" customHeight="1" x14ac:dyDescent="0.3">
      <c r="B124" s="70"/>
    </row>
    <row r="125" spans="2:2" ht="15.75" customHeight="1" x14ac:dyDescent="0.3">
      <c r="B125" s="70"/>
    </row>
    <row r="126" spans="2:2" ht="15.75" customHeight="1" x14ac:dyDescent="0.3">
      <c r="B126" s="70"/>
    </row>
    <row r="127" spans="2:2" ht="15.75" customHeight="1" x14ac:dyDescent="0.3">
      <c r="B127" s="70"/>
    </row>
    <row r="128" spans="2:2" ht="15.75" customHeight="1" x14ac:dyDescent="0.3">
      <c r="B128" s="70"/>
    </row>
    <row r="129" spans="2:2" ht="15.75" customHeight="1" x14ac:dyDescent="0.3">
      <c r="B129" s="70"/>
    </row>
    <row r="130" spans="2:2" ht="15.75" customHeight="1" x14ac:dyDescent="0.3">
      <c r="B130" s="70"/>
    </row>
    <row r="131" spans="2:2" ht="15.75" customHeight="1" x14ac:dyDescent="0.3">
      <c r="B131" s="70"/>
    </row>
    <row r="132" spans="2:2" ht="15.75" customHeight="1" x14ac:dyDescent="0.3">
      <c r="B132" s="70"/>
    </row>
    <row r="133" spans="2:2" ht="15.75" customHeight="1" x14ac:dyDescent="0.3">
      <c r="B133" s="70"/>
    </row>
    <row r="134" spans="2:2" ht="15.75" customHeight="1" x14ac:dyDescent="0.3">
      <c r="B134" s="70"/>
    </row>
    <row r="135" spans="2:2" ht="15.75" customHeight="1" x14ac:dyDescent="0.3">
      <c r="B135" s="70"/>
    </row>
    <row r="136" spans="2:2" ht="15.75" customHeight="1" x14ac:dyDescent="0.3">
      <c r="B136" s="70"/>
    </row>
    <row r="137" spans="2:2" ht="15.75" customHeight="1" x14ac:dyDescent="0.3">
      <c r="B137" s="70"/>
    </row>
    <row r="138" spans="2:2" ht="15.75" customHeight="1" x14ac:dyDescent="0.3">
      <c r="B138" s="70"/>
    </row>
    <row r="139" spans="2:2" ht="15.75" customHeight="1" x14ac:dyDescent="0.3">
      <c r="B139" s="70"/>
    </row>
    <row r="140" spans="2:2" ht="15.75" customHeight="1" x14ac:dyDescent="0.3">
      <c r="B140" s="70"/>
    </row>
    <row r="141" spans="2:2" ht="15.75" customHeight="1" x14ac:dyDescent="0.3">
      <c r="B141" s="70"/>
    </row>
    <row r="142" spans="2:2" ht="15.75" customHeight="1" x14ac:dyDescent="0.3">
      <c r="B142" s="70"/>
    </row>
    <row r="143" spans="2:2" ht="15.75" customHeight="1" x14ac:dyDescent="0.3">
      <c r="B143" s="70"/>
    </row>
    <row r="144" spans="2:2" ht="15.75" customHeight="1" x14ac:dyDescent="0.3">
      <c r="B144" s="70"/>
    </row>
    <row r="145" spans="2:2" ht="15.75" customHeight="1" x14ac:dyDescent="0.3">
      <c r="B145" s="70"/>
    </row>
    <row r="146" spans="2:2" ht="15.75" customHeight="1" x14ac:dyDescent="0.3">
      <c r="B146" s="70"/>
    </row>
    <row r="147" spans="2:2" ht="15.75" customHeight="1" x14ac:dyDescent="0.3">
      <c r="B147" s="70"/>
    </row>
    <row r="148" spans="2:2" ht="15.75" customHeight="1" x14ac:dyDescent="0.3">
      <c r="B148" s="70"/>
    </row>
    <row r="149" spans="2:2" ht="15.75" customHeight="1" x14ac:dyDescent="0.3">
      <c r="B149" s="70"/>
    </row>
    <row r="150" spans="2:2" ht="15.75" customHeight="1" x14ac:dyDescent="0.3">
      <c r="B150" s="70"/>
    </row>
    <row r="151" spans="2:2" ht="15.75" customHeight="1" x14ac:dyDescent="0.3">
      <c r="B151" s="70"/>
    </row>
    <row r="152" spans="2:2" ht="15.75" customHeight="1" x14ac:dyDescent="0.3">
      <c r="B152" s="70"/>
    </row>
    <row r="153" spans="2:2" ht="15.75" customHeight="1" x14ac:dyDescent="0.3">
      <c r="B153" s="70"/>
    </row>
    <row r="154" spans="2:2" ht="15.75" customHeight="1" x14ac:dyDescent="0.3">
      <c r="B154" s="70"/>
    </row>
    <row r="155" spans="2:2" ht="15.75" customHeight="1" x14ac:dyDescent="0.3">
      <c r="B155" s="70"/>
    </row>
    <row r="156" spans="2:2" ht="15.75" customHeight="1" x14ac:dyDescent="0.3">
      <c r="B156" s="70"/>
    </row>
    <row r="157" spans="2:2" ht="15.75" customHeight="1" x14ac:dyDescent="0.3">
      <c r="B157" s="70"/>
    </row>
    <row r="158" spans="2:2" ht="15.75" customHeight="1" x14ac:dyDescent="0.3">
      <c r="B158" s="70"/>
    </row>
    <row r="159" spans="2:2" ht="15.75" customHeight="1" x14ac:dyDescent="0.3">
      <c r="B159" s="70"/>
    </row>
    <row r="160" spans="2:2" ht="15.75" customHeight="1" x14ac:dyDescent="0.3">
      <c r="B160" s="70"/>
    </row>
    <row r="161" spans="2:2" ht="15.75" customHeight="1" x14ac:dyDescent="0.3">
      <c r="B161" s="70"/>
    </row>
    <row r="162" spans="2:2" ht="15.75" customHeight="1" x14ac:dyDescent="0.3">
      <c r="B162" s="70"/>
    </row>
    <row r="163" spans="2:2" ht="15.75" customHeight="1" x14ac:dyDescent="0.3">
      <c r="B163" s="70"/>
    </row>
    <row r="164" spans="2:2" ht="15.75" customHeight="1" x14ac:dyDescent="0.3">
      <c r="B164" s="70"/>
    </row>
    <row r="165" spans="2:2" ht="15.75" customHeight="1" x14ac:dyDescent="0.3">
      <c r="B165" s="70"/>
    </row>
    <row r="166" spans="2:2" ht="15.75" customHeight="1" x14ac:dyDescent="0.3">
      <c r="B166" s="70"/>
    </row>
    <row r="167" spans="2:2" ht="15.75" customHeight="1" x14ac:dyDescent="0.3">
      <c r="B167" s="70"/>
    </row>
    <row r="168" spans="2:2" ht="15.75" customHeight="1" x14ac:dyDescent="0.3">
      <c r="B168" s="70"/>
    </row>
    <row r="169" spans="2:2" ht="15.75" customHeight="1" x14ac:dyDescent="0.3">
      <c r="B169" s="70"/>
    </row>
    <row r="170" spans="2:2" ht="15.75" customHeight="1" x14ac:dyDescent="0.3">
      <c r="B170" s="70"/>
    </row>
    <row r="171" spans="2:2" ht="15.75" customHeight="1" x14ac:dyDescent="0.3">
      <c r="B171" s="70"/>
    </row>
    <row r="172" spans="2:2" ht="15.75" customHeight="1" x14ac:dyDescent="0.3">
      <c r="B172" s="70"/>
    </row>
    <row r="173" spans="2:2" ht="15.75" customHeight="1" x14ac:dyDescent="0.3">
      <c r="B173" s="70"/>
    </row>
    <row r="174" spans="2:2" ht="15.75" customHeight="1" x14ac:dyDescent="0.3">
      <c r="B174" s="70"/>
    </row>
    <row r="175" spans="2:2" ht="15.75" customHeight="1" x14ac:dyDescent="0.3">
      <c r="B175" s="70"/>
    </row>
    <row r="176" spans="2:2" ht="15.75" customHeight="1" x14ac:dyDescent="0.3">
      <c r="B176" s="70"/>
    </row>
    <row r="177" spans="2:2" ht="15.75" customHeight="1" x14ac:dyDescent="0.3">
      <c r="B177" s="70"/>
    </row>
    <row r="178" spans="2:2" ht="15.75" customHeight="1" x14ac:dyDescent="0.3">
      <c r="B178" s="70"/>
    </row>
    <row r="179" spans="2:2" ht="15.75" customHeight="1" x14ac:dyDescent="0.3">
      <c r="B179" s="70"/>
    </row>
    <row r="180" spans="2:2" ht="15.75" customHeight="1" x14ac:dyDescent="0.3">
      <c r="B180" s="70"/>
    </row>
    <row r="181" spans="2:2" ht="15.75" customHeight="1" x14ac:dyDescent="0.3">
      <c r="B181" s="70"/>
    </row>
    <row r="182" spans="2:2" ht="15.75" customHeight="1" x14ac:dyDescent="0.3">
      <c r="B182" s="70"/>
    </row>
    <row r="183" spans="2:2" ht="15.75" customHeight="1" x14ac:dyDescent="0.3">
      <c r="B183" s="70"/>
    </row>
    <row r="184" spans="2:2" ht="15.75" customHeight="1" x14ac:dyDescent="0.3">
      <c r="B184" s="70"/>
    </row>
    <row r="185" spans="2:2" ht="15.75" customHeight="1" x14ac:dyDescent="0.3">
      <c r="B185" s="70"/>
    </row>
    <row r="186" spans="2:2" ht="15.75" customHeight="1" x14ac:dyDescent="0.3">
      <c r="B186" s="70"/>
    </row>
    <row r="187" spans="2:2" ht="15.75" customHeight="1" x14ac:dyDescent="0.3">
      <c r="B187" s="70"/>
    </row>
    <row r="188" spans="2:2" ht="15.75" customHeight="1" x14ac:dyDescent="0.3">
      <c r="B188" s="70"/>
    </row>
    <row r="189" spans="2:2" ht="15.75" customHeight="1" x14ac:dyDescent="0.3">
      <c r="B189" s="70"/>
    </row>
    <row r="190" spans="2:2" ht="15.75" customHeight="1" x14ac:dyDescent="0.3">
      <c r="B190" s="70"/>
    </row>
    <row r="191" spans="2:2" ht="15.75" customHeight="1" x14ac:dyDescent="0.3">
      <c r="B191" s="70"/>
    </row>
    <row r="192" spans="2:2" ht="15.75" customHeight="1" x14ac:dyDescent="0.3">
      <c r="B192" s="70"/>
    </row>
    <row r="193" spans="2:2" ht="15.75" customHeight="1" x14ac:dyDescent="0.3">
      <c r="B193" s="70"/>
    </row>
    <row r="194" spans="2:2" ht="15.75" customHeight="1" x14ac:dyDescent="0.3">
      <c r="B194" s="70"/>
    </row>
    <row r="195" spans="2:2" ht="15.75" customHeight="1" x14ac:dyDescent="0.3">
      <c r="B195" s="70"/>
    </row>
    <row r="196" spans="2:2" ht="15.75" customHeight="1" x14ac:dyDescent="0.3">
      <c r="B196" s="70"/>
    </row>
    <row r="197" spans="2:2" ht="15.75" customHeight="1" x14ac:dyDescent="0.3">
      <c r="B197" s="70"/>
    </row>
    <row r="198" spans="2:2" ht="15.75" customHeight="1" x14ac:dyDescent="0.3">
      <c r="B198" s="70"/>
    </row>
    <row r="199" spans="2:2" ht="15.75" customHeight="1" x14ac:dyDescent="0.3">
      <c r="B199" s="70"/>
    </row>
    <row r="200" spans="2:2" ht="15.75" customHeight="1" x14ac:dyDescent="0.3">
      <c r="B200" s="70"/>
    </row>
    <row r="201" spans="2:2" ht="15.75" customHeight="1" x14ac:dyDescent="0.3">
      <c r="B201" s="70"/>
    </row>
    <row r="202" spans="2:2" ht="15.75" customHeight="1" x14ac:dyDescent="0.3">
      <c r="B202" s="70"/>
    </row>
    <row r="203" spans="2:2" ht="15.75" customHeight="1" x14ac:dyDescent="0.3">
      <c r="B203" s="70"/>
    </row>
    <row r="204" spans="2:2" ht="15.75" customHeight="1" x14ac:dyDescent="0.3">
      <c r="B204" s="70"/>
    </row>
    <row r="205" spans="2:2" ht="15.75" customHeight="1" x14ac:dyDescent="0.3">
      <c r="B205" s="70"/>
    </row>
    <row r="206" spans="2:2" ht="15.75" customHeight="1" x14ac:dyDescent="0.3">
      <c r="B206" s="70"/>
    </row>
    <row r="207" spans="2:2" ht="15.75" customHeight="1" x14ac:dyDescent="0.3">
      <c r="B207" s="70"/>
    </row>
    <row r="208" spans="2:2" ht="15.75" customHeight="1" x14ac:dyDescent="0.3">
      <c r="B208" s="70"/>
    </row>
    <row r="209" spans="2:2" ht="15.75" customHeight="1" x14ac:dyDescent="0.3">
      <c r="B209" s="70"/>
    </row>
    <row r="210" spans="2:2" ht="15.75" customHeight="1" x14ac:dyDescent="0.3">
      <c r="B210" s="70"/>
    </row>
    <row r="211" spans="2:2" ht="15.75" customHeight="1" x14ac:dyDescent="0.3">
      <c r="B211" s="70"/>
    </row>
    <row r="212" spans="2:2" ht="15.75" customHeight="1" x14ac:dyDescent="0.3">
      <c r="B212" s="70"/>
    </row>
    <row r="213" spans="2:2" ht="15.75" customHeight="1" x14ac:dyDescent="0.3">
      <c r="B213" s="70"/>
    </row>
    <row r="214" spans="2:2" ht="15.75" customHeight="1" x14ac:dyDescent="0.3">
      <c r="B214" s="70"/>
    </row>
    <row r="215" spans="2:2" ht="15.75" customHeight="1" x14ac:dyDescent="0.3">
      <c r="B215" s="70"/>
    </row>
    <row r="216" spans="2:2" ht="15.75" customHeight="1" x14ac:dyDescent="0.3">
      <c r="B216" s="70"/>
    </row>
    <row r="217" spans="2:2" ht="15.75" customHeight="1" x14ac:dyDescent="0.3">
      <c r="B217" s="70"/>
    </row>
    <row r="218" spans="2:2" ht="15.75" customHeight="1" x14ac:dyDescent="0.3">
      <c r="B218" s="70"/>
    </row>
    <row r="219" spans="2:2" ht="15.75" customHeight="1" x14ac:dyDescent="0.3">
      <c r="B219" s="70"/>
    </row>
    <row r="220" spans="2:2" ht="15.75" customHeight="1" x14ac:dyDescent="0.3">
      <c r="B220" s="70"/>
    </row>
    <row r="221" spans="2:2" ht="15.75" customHeight="1" x14ac:dyDescent="0.3">
      <c r="B221" s="70"/>
    </row>
    <row r="222" spans="2:2" ht="15.75" customHeight="1" x14ac:dyDescent="0.3">
      <c r="B222" s="70"/>
    </row>
    <row r="223" spans="2:2" ht="15.75" customHeight="1" x14ac:dyDescent="0.3">
      <c r="B223" s="70"/>
    </row>
    <row r="224" spans="2:2" ht="15.75" customHeight="1" x14ac:dyDescent="0.3">
      <c r="B224" s="70"/>
    </row>
    <row r="225" spans="2:2" ht="15.75" customHeight="1" x14ac:dyDescent="0.3">
      <c r="B225" s="70"/>
    </row>
    <row r="226" spans="2:2" ht="15.75" customHeight="1" x14ac:dyDescent="0.3">
      <c r="B226" s="70"/>
    </row>
    <row r="227" spans="2:2" ht="15.75" customHeight="1" x14ac:dyDescent="0.3">
      <c r="B227" s="70"/>
    </row>
    <row r="228" spans="2:2" ht="15.75" customHeight="1" x14ac:dyDescent="0.3">
      <c r="B228" s="70"/>
    </row>
    <row r="229" spans="2:2" ht="15.75" customHeight="1" x14ac:dyDescent="0.3">
      <c r="B229" s="70"/>
    </row>
    <row r="230" spans="2:2" ht="15.75" customHeight="1" x14ac:dyDescent="0.3">
      <c r="B230" s="70"/>
    </row>
    <row r="231" spans="2:2" ht="15.75" customHeight="1" x14ac:dyDescent="0.3">
      <c r="B231" s="70"/>
    </row>
    <row r="232" spans="2:2" ht="15.75" customHeight="1" x14ac:dyDescent="0.3">
      <c r="B232" s="70"/>
    </row>
    <row r="233" spans="2:2" ht="15.75" customHeight="1" x14ac:dyDescent="0.3">
      <c r="B233" s="70"/>
    </row>
    <row r="234" spans="2:2" ht="15.75" customHeight="1" x14ac:dyDescent="0.3">
      <c r="B234" s="70"/>
    </row>
    <row r="235" spans="2:2" ht="15.75" customHeight="1" x14ac:dyDescent="0.3">
      <c r="B235" s="70"/>
    </row>
    <row r="236" spans="2:2" ht="15.75" customHeight="1" x14ac:dyDescent="0.3">
      <c r="B236" s="70"/>
    </row>
    <row r="237" spans="2:2" ht="15.75" customHeight="1" x14ac:dyDescent="0.3">
      <c r="B237" s="70"/>
    </row>
    <row r="238" spans="2:2" ht="15.75" customHeight="1" x14ac:dyDescent="0.3">
      <c r="B238" s="70"/>
    </row>
    <row r="239" spans="2:2" ht="15.75" customHeight="1" x14ac:dyDescent="0.3">
      <c r="B239" s="70"/>
    </row>
    <row r="240" spans="2:2" ht="15.75" customHeight="1" x14ac:dyDescent="0.3">
      <c r="B240" s="70"/>
    </row>
    <row r="241" spans="2:2" ht="15.75" customHeight="1" x14ac:dyDescent="0.3">
      <c r="B241" s="70"/>
    </row>
    <row r="242" spans="2:2" ht="15.75" customHeight="1" x14ac:dyDescent="0.3">
      <c r="B242" s="70"/>
    </row>
    <row r="243" spans="2:2" ht="15.75" customHeight="1" x14ac:dyDescent="0.3">
      <c r="B243" s="70"/>
    </row>
    <row r="244" spans="2:2" ht="15.75" customHeight="1" x14ac:dyDescent="0.3">
      <c r="B244" s="70"/>
    </row>
    <row r="245" spans="2:2" ht="15.75" customHeight="1" x14ac:dyDescent="0.3">
      <c r="B245" s="70"/>
    </row>
    <row r="246" spans="2:2" ht="15.75" customHeight="1" x14ac:dyDescent="0.3">
      <c r="B246" s="70"/>
    </row>
    <row r="247" spans="2:2" ht="15.75" customHeight="1" x14ac:dyDescent="0.3">
      <c r="B247" s="70"/>
    </row>
    <row r="248" spans="2:2" ht="15.75" customHeight="1" x14ac:dyDescent="0.3">
      <c r="B248" s="70"/>
    </row>
    <row r="249" spans="2:2" ht="15.75" customHeight="1" x14ac:dyDescent="0.3">
      <c r="B249" s="70"/>
    </row>
    <row r="250" spans="2:2" ht="15.75" customHeight="1" x14ac:dyDescent="0.3">
      <c r="B250" s="70"/>
    </row>
    <row r="251" spans="2:2" ht="15.75" customHeight="1" x14ac:dyDescent="0.3">
      <c r="B251" s="70"/>
    </row>
    <row r="252" spans="2:2" ht="15.75" customHeight="1" x14ac:dyDescent="0.3">
      <c r="B252" s="70"/>
    </row>
    <row r="253" spans="2:2" ht="15.75" customHeight="1" x14ac:dyDescent="0.3">
      <c r="B253" s="70"/>
    </row>
    <row r="254" spans="2:2" ht="15.75" customHeight="1" x14ac:dyDescent="0.3">
      <c r="B254" s="70"/>
    </row>
    <row r="255" spans="2:2" ht="15.75" customHeight="1" x14ac:dyDescent="0.3">
      <c r="B255" s="70"/>
    </row>
    <row r="256" spans="2:2" ht="15.75" customHeight="1" x14ac:dyDescent="0.3">
      <c r="B256" s="70"/>
    </row>
    <row r="257" spans="2:2" ht="15.75" customHeight="1" x14ac:dyDescent="0.3">
      <c r="B257" s="70"/>
    </row>
    <row r="258" spans="2:2" ht="15.75" customHeight="1" x14ac:dyDescent="0.3">
      <c r="B258" s="70"/>
    </row>
    <row r="259" spans="2:2" ht="15.75" customHeight="1" x14ac:dyDescent="0.3">
      <c r="B259" s="70"/>
    </row>
    <row r="260" spans="2:2" ht="15.75" customHeight="1" x14ac:dyDescent="0.3">
      <c r="B260" s="70"/>
    </row>
    <row r="261" spans="2:2" ht="15.75" customHeight="1" x14ac:dyDescent="0.3">
      <c r="B261" s="70"/>
    </row>
    <row r="262" spans="2:2" ht="15.75" customHeight="1" x14ac:dyDescent="0.3">
      <c r="B262" s="70"/>
    </row>
    <row r="263" spans="2:2" ht="15.75" customHeight="1" x14ac:dyDescent="0.3">
      <c r="B263" s="70"/>
    </row>
    <row r="264" spans="2:2" ht="15.75" customHeight="1" x14ac:dyDescent="0.3">
      <c r="B264" s="70"/>
    </row>
    <row r="265" spans="2:2" ht="15.75" customHeight="1" x14ac:dyDescent="0.3">
      <c r="B265" s="70"/>
    </row>
    <row r="266" spans="2:2" ht="15.75" customHeight="1" x14ac:dyDescent="0.3">
      <c r="B266" s="70"/>
    </row>
    <row r="267" spans="2:2" ht="15.75" customHeight="1" x14ac:dyDescent="0.3">
      <c r="B267" s="70"/>
    </row>
    <row r="268" spans="2:2" ht="15.75" customHeight="1" x14ac:dyDescent="0.3">
      <c r="B268" s="70"/>
    </row>
    <row r="269" spans="2:2" ht="15.75" customHeight="1" x14ac:dyDescent="0.3">
      <c r="B269" s="70"/>
    </row>
    <row r="270" spans="2:2" ht="15.75" customHeight="1" x14ac:dyDescent="0.3">
      <c r="B270" s="70"/>
    </row>
    <row r="271" spans="2:2" ht="15.75" customHeight="1" x14ac:dyDescent="0.3">
      <c r="B271" s="70"/>
    </row>
    <row r="272" spans="2:2" ht="15.75" customHeight="1" x14ac:dyDescent="0.3">
      <c r="B272" s="70"/>
    </row>
    <row r="273" spans="2:2" ht="15.75" customHeight="1" x14ac:dyDescent="0.3">
      <c r="B273" s="70"/>
    </row>
    <row r="274" spans="2:2" ht="15.75" customHeight="1" x14ac:dyDescent="0.3">
      <c r="B274" s="70"/>
    </row>
    <row r="275" spans="2:2" ht="15.75" customHeight="1" x14ac:dyDescent="0.3">
      <c r="B275" s="70"/>
    </row>
    <row r="276" spans="2:2" ht="15.75" customHeight="1" x14ac:dyDescent="0.3">
      <c r="B276" s="70"/>
    </row>
    <row r="277" spans="2:2" ht="15.75" customHeight="1" x14ac:dyDescent="0.3">
      <c r="B277" s="70"/>
    </row>
    <row r="278" spans="2:2" ht="15.75" customHeight="1" x14ac:dyDescent="0.3">
      <c r="B278" s="70"/>
    </row>
    <row r="279" spans="2:2" ht="15.75" customHeight="1" x14ac:dyDescent="0.3">
      <c r="B279" s="70"/>
    </row>
    <row r="280" spans="2:2" ht="15.75" customHeight="1" x14ac:dyDescent="0.3">
      <c r="B280" s="70"/>
    </row>
    <row r="281" spans="2:2" ht="15.75" customHeight="1" x14ac:dyDescent="0.3">
      <c r="B281" s="70"/>
    </row>
    <row r="282" spans="2:2" ht="15.75" customHeight="1" x14ac:dyDescent="0.3">
      <c r="B282" s="70"/>
    </row>
    <row r="283" spans="2:2" ht="15.75" customHeight="1" x14ac:dyDescent="0.3">
      <c r="B283" s="70"/>
    </row>
    <row r="284" spans="2:2" ht="15.75" customHeight="1" x14ac:dyDescent="0.3">
      <c r="B284" s="70"/>
    </row>
    <row r="285" spans="2:2" ht="15.75" customHeight="1" x14ac:dyDescent="0.3">
      <c r="B285" s="70"/>
    </row>
    <row r="286" spans="2:2" ht="15.75" customHeight="1" x14ac:dyDescent="0.3">
      <c r="B286" s="70"/>
    </row>
    <row r="287" spans="2:2" ht="15.75" customHeight="1" x14ac:dyDescent="0.3">
      <c r="B287" s="70"/>
    </row>
    <row r="288" spans="2:2" ht="15.75" customHeight="1" x14ac:dyDescent="0.3">
      <c r="B288" s="70"/>
    </row>
    <row r="289" spans="2:2" ht="15.75" customHeight="1" x14ac:dyDescent="0.3">
      <c r="B289" s="70"/>
    </row>
    <row r="290" spans="2:2" ht="15.75" customHeight="1" x14ac:dyDescent="0.3">
      <c r="B290" s="70"/>
    </row>
    <row r="291" spans="2:2" ht="15.75" customHeight="1" x14ac:dyDescent="0.3">
      <c r="B291" s="70"/>
    </row>
    <row r="292" spans="2:2" ht="15.75" customHeight="1" x14ac:dyDescent="0.3">
      <c r="B292" s="70"/>
    </row>
    <row r="293" spans="2:2" ht="15.75" customHeight="1" x14ac:dyDescent="0.3">
      <c r="B293" s="70"/>
    </row>
    <row r="294" spans="2:2" ht="15.75" customHeight="1" x14ac:dyDescent="0.3">
      <c r="B294" s="70"/>
    </row>
    <row r="295" spans="2:2" ht="15.75" customHeight="1" x14ac:dyDescent="0.3">
      <c r="B295" s="70"/>
    </row>
    <row r="296" spans="2:2" ht="15.75" customHeight="1" x14ac:dyDescent="0.3">
      <c r="B296" s="70"/>
    </row>
    <row r="297" spans="2:2" ht="15.75" customHeight="1" x14ac:dyDescent="0.3">
      <c r="B297" s="70"/>
    </row>
    <row r="298" spans="2:2" ht="15.75" customHeight="1" x14ac:dyDescent="0.3">
      <c r="B298" s="70"/>
    </row>
    <row r="299" spans="2:2" ht="15.75" customHeight="1" x14ac:dyDescent="0.3">
      <c r="B299" s="70"/>
    </row>
    <row r="300" spans="2:2" ht="15.75" customHeight="1" x14ac:dyDescent="0.3">
      <c r="B300" s="70"/>
    </row>
    <row r="301" spans="2:2" ht="15.75" customHeight="1" x14ac:dyDescent="0.3">
      <c r="B301" s="70"/>
    </row>
    <row r="302" spans="2:2" ht="15.75" customHeight="1" x14ac:dyDescent="0.3">
      <c r="B302" s="70"/>
    </row>
    <row r="303" spans="2:2" ht="15.75" customHeight="1" x14ac:dyDescent="0.3">
      <c r="B303" s="70"/>
    </row>
    <row r="304" spans="2:2" ht="15.75" customHeight="1" x14ac:dyDescent="0.3">
      <c r="B304" s="70"/>
    </row>
    <row r="305" spans="2:2" ht="15.75" customHeight="1" x14ac:dyDescent="0.3">
      <c r="B305" s="70"/>
    </row>
    <row r="306" spans="2:2" ht="15.75" customHeight="1" x14ac:dyDescent="0.3">
      <c r="B306" s="70"/>
    </row>
    <row r="307" spans="2:2" ht="15.75" customHeight="1" x14ac:dyDescent="0.3">
      <c r="B307" s="70"/>
    </row>
    <row r="308" spans="2:2" ht="15.75" customHeight="1" x14ac:dyDescent="0.3">
      <c r="B308" s="70"/>
    </row>
    <row r="309" spans="2:2" ht="15.75" customHeight="1" x14ac:dyDescent="0.3">
      <c r="B309" s="70"/>
    </row>
    <row r="310" spans="2:2" ht="15.75" customHeight="1" x14ac:dyDescent="0.3">
      <c r="B310" s="70"/>
    </row>
    <row r="311" spans="2:2" ht="15.75" customHeight="1" x14ac:dyDescent="0.3">
      <c r="B311" s="70"/>
    </row>
    <row r="312" spans="2:2" ht="15.75" customHeight="1" x14ac:dyDescent="0.3">
      <c r="B312" s="70"/>
    </row>
    <row r="313" spans="2:2" ht="15.75" customHeight="1" x14ac:dyDescent="0.3">
      <c r="B313" s="70"/>
    </row>
    <row r="314" spans="2:2" ht="15.75" customHeight="1" x14ac:dyDescent="0.3">
      <c r="B314" s="70"/>
    </row>
    <row r="315" spans="2:2" ht="15.75" customHeight="1" x14ac:dyDescent="0.3">
      <c r="B315" s="70"/>
    </row>
    <row r="316" spans="2:2" ht="15.75" customHeight="1" x14ac:dyDescent="0.3">
      <c r="B316" s="70"/>
    </row>
    <row r="317" spans="2:2" ht="15.75" customHeight="1" x14ac:dyDescent="0.3">
      <c r="B317" s="70"/>
    </row>
    <row r="318" spans="2:2" ht="15.75" customHeight="1" x14ac:dyDescent="0.3">
      <c r="B318" s="70"/>
    </row>
    <row r="319" spans="2:2" ht="15.75" customHeight="1" x14ac:dyDescent="0.3">
      <c r="B319" s="70"/>
    </row>
    <row r="320" spans="2:2" ht="15.75" customHeight="1" x14ac:dyDescent="0.3">
      <c r="B320" s="70"/>
    </row>
    <row r="321" spans="2:2" ht="15.75" customHeight="1" x14ac:dyDescent="0.3">
      <c r="B321" s="70"/>
    </row>
    <row r="322" spans="2:2" ht="15.75" customHeight="1" x14ac:dyDescent="0.3">
      <c r="B322" s="70"/>
    </row>
    <row r="323" spans="2:2" ht="15.75" customHeight="1" x14ac:dyDescent="0.3">
      <c r="B323" s="70"/>
    </row>
    <row r="324" spans="2:2" ht="15.75" customHeight="1" x14ac:dyDescent="0.3">
      <c r="B324" s="70"/>
    </row>
    <row r="325" spans="2:2" ht="15.75" customHeight="1" x14ac:dyDescent="0.3">
      <c r="B325" s="70"/>
    </row>
    <row r="326" spans="2:2" ht="15.75" customHeight="1" x14ac:dyDescent="0.3">
      <c r="B326" s="70"/>
    </row>
    <row r="327" spans="2:2" ht="15.75" customHeight="1" x14ac:dyDescent="0.3">
      <c r="B327" s="70"/>
    </row>
    <row r="328" spans="2:2" ht="15.75" customHeight="1" x14ac:dyDescent="0.3">
      <c r="B328" s="70"/>
    </row>
    <row r="329" spans="2:2" ht="15.75" customHeight="1" x14ac:dyDescent="0.3">
      <c r="B329" s="70"/>
    </row>
    <row r="330" spans="2:2" ht="15.75" customHeight="1" x14ac:dyDescent="0.3">
      <c r="B330" s="70"/>
    </row>
    <row r="331" spans="2:2" ht="15.75" customHeight="1" x14ac:dyDescent="0.3">
      <c r="B331" s="70"/>
    </row>
    <row r="332" spans="2:2" ht="15.75" customHeight="1" x14ac:dyDescent="0.3">
      <c r="B332" s="70"/>
    </row>
    <row r="333" spans="2:2" ht="15.75" customHeight="1" x14ac:dyDescent="0.3">
      <c r="B333" s="70"/>
    </row>
    <row r="334" spans="2:2" ht="15.75" customHeight="1" x14ac:dyDescent="0.3">
      <c r="B334" s="70"/>
    </row>
    <row r="335" spans="2:2" ht="15.75" customHeight="1" x14ac:dyDescent="0.3">
      <c r="B335" s="70"/>
    </row>
    <row r="336" spans="2:2" ht="15.75" customHeight="1" x14ac:dyDescent="0.3">
      <c r="B336" s="70"/>
    </row>
    <row r="337" spans="2:2" ht="15.75" customHeight="1" x14ac:dyDescent="0.3">
      <c r="B337" s="70"/>
    </row>
    <row r="338" spans="2:2" ht="15.75" customHeight="1" x14ac:dyDescent="0.3">
      <c r="B338" s="70"/>
    </row>
    <row r="339" spans="2:2" ht="15.75" customHeight="1" x14ac:dyDescent="0.3">
      <c r="B339" s="70"/>
    </row>
    <row r="340" spans="2:2" ht="15.75" customHeight="1" x14ac:dyDescent="0.3">
      <c r="B340" s="70"/>
    </row>
    <row r="341" spans="2:2" ht="15.75" customHeight="1" x14ac:dyDescent="0.3">
      <c r="B341" s="70"/>
    </row>
    <row r="342" spans="2:2" ht="15.75" customHeight="1" x14ac:dyDescent="0.3">
      <c r="B342" s="70"/>
    </row>
    <row r="343" spans="2:2" ht="15.75" customHeight="1" x14ac:dyDescent="0.3">
      <c r="B343" s="70"/>
    </row>
    <row r="344" spans="2:2" ht="15.75" customHeight="1" x14ac:dyDescent="0.3">
      <c r="B344" s="70"/>
    </row>
    <row r="345" spans="2:2" ht="15.75" customHeight="1" x14ac:dyDescent="0.3">
      <c r="B345" s="70"/>
    </row>
    <row r="346" spans="2:2" ht="15.75" customHeight="1" x14ac:dyDescent="0.3">
      <c r="B346" s="70"/>
    </row>
    <row r="347" spans="2:2" ht="15.75" customHeight="1" x14ac:dyDescent="0.3">
      <c r="B347" s="70"/>
    </row>
    <row r="348" spans="2:2" ht="15.75" customHeight="1" x14ac:dyDescent="0.3">
      <c r="B348" s="70"/>
    </row>
    <row r="349" spans="2:2" ht="15.75" customHeight="1" x14ac:dyDescent="0.3">
      <c r="B349" s="70"/>
    </row>
    <row r="350" spans="2:2" ht="15.75" customHeight="1" x14ac:dyDescent="0.3">
      <c r="B350" s="70"/>
    </row>
    <row r="351" spans="2:2" ht="15.75" customHeight="1" x14ac:dyDescent="0.3">
      <c r="B351" s="70"/>
    </row>
    <row r="352" spans="2:2" ht="15.75" customHeight="1" x14ac:dyDescent="0.3">
      <c r="B352" s="70"/>
    </row>
    <row r="353" spans="2:2" ht="15.75" customHeight="1" x14ac:dyDescent="0.3">
      <c r="B353" s="70"/>
    </row>
    <row r="354" spans="2:2" ht="15.75" customHeight="1" x14ac:dyDescent="0.3">
      <c r="B354" s="70"/>
    </row>
    <row r="355" spans="2:2" ht="15.75" customHeight="1" x14ac:dyDescent="0.3">
      <c r="B355" s="70"/>
    </row>
    <row r="356" spans="2:2" ht="15.75" customHeight="1" x14ac:dyDescent="0.3">
      <c r="B356" s="70"/>
    </row>
    <row r="357" spans="2:2" ht="15.75" customHeight="1" x14ac:dyDescent="0.3">
      <c r="B357" s="70"/>
    </row>
    <row r="358" spans="2:2" ht="15.75" customHeight="1" x14ac:dyDescent="0.3">
      <c r="B358" s="70"/>
    </row>
    <row r="359" spans="2:2" ht="15.75" customHeight="1" x14ac:dyDescent="0.3">
      <c r="B359" s="70"/>
    </row>
    <row r="360" spans="2:2" ht="15.75" customHeight="1" x14ac:dyDescent="0.3">
      <c r="B360" s="70"/>
    </row>
    <row r="361" spans="2:2" ht="15.75" customHeight="1" x14ac:dyDescent="0.3">
      <c r="B361" s="70"/>
    </row>
    <row r="362" spans="2:2" ht="15.75" customHeight="1" x14ac:dyDescent="0.3">
      <c r="B362" s="70"/>
    </row>
    <row r="363" spans="2:2" ht="15.75" customHeight="1" x14ac:dyDescent="0.3">
      <c r="B363" s="70"/>
    </row>
    <row r="364" spans="2:2" ht="15.75" customHeight="1" x14ac:dyDescent="0.3">
      <c r="B364" s="70"/>
    </row>
    <row r="365" spans="2:2" ht="15.75" customHeight="1" x14ac:dyDescent="0.3">
      <c r="B365" s="70"/>
    </row>
    <row r="366" spans="2:2" ht="15.75" customHeight="1" x14ac:dyDescent="0.3">
      <c r="B366" s="70"/>
    </row>
    <row r="367" spans="2:2" ht="15.75" customHeight="1" x14ac:dyDescent="0.3">
      <c r="B367" s="70"/>
    </row>
    <row r="368" spans="2:2" ht="15.75" customHeight="1" x14ac:dyDescent="0.3">
      <c r="B368" s="70"/>
    </row>
    <row r="369" spans="2:2" ht="15.75" customHeight="1" x14ac:dyDescent="0.3">
      <c r="B369" s="70"/>
    </row>
    <row r="370" spans="2:2" ht="15.75" customHeight="1" x14ac:dyDescent="0.3">
      <c r="B370" s="70"/>
    </row>
    <row r="371" spans="2:2" ht="15.75" customHeight="1" x14ac:dyDescent="0.3">
      <c r="B371" s="70"/>
    </row>
    <row r="372" spans="2:2" ht="15.75" customHeight="1" x14ac:dyDescent="0.3">
      <c r="B372" s="70"/>
    </row>
    <row r="373" spans="2:2" ht="15.75" customHeight="1" x14ac:dyDescent="0.3">
      <c r="B373" s="70"/>
    </row>
    <row r="374" spans="2:2" ht="15.75" customHeight="1" x14ac:dyDescent="0.3">
      <c r="B374" s="70"/>
    </row>
    <row r="375" spans="2:2" ht="15.75" customHeight="1" x14ac:dyDescent="0.3">
      <c r="B375" s="70"/>
    </row>
    <row r="376" spans="2:2" ht="15.75" customHeight="1" x14ac:dyDescent="0.3">
      <c r="B376" s="70"/>
    </row>
    <row r="377" spans="2:2" ht="15.75" customHeight="1" x14ac:dyDescent="0.3">
      <c r="B377" s="70"/>
    </row>
    <row r="378" spans="2:2" ht="15.75" customHeight="1" x14ac:dyDescent="0.3">
      <c r="B378" s="70"/>
    </row>
    <row r="379" spans="2:2" ht="15.75" customHeight="1" x14ac:dyDescent="0.3">
      <c r="B379" s="70"/>
    </row>
    <row r="380" spans="2:2" ht="15.75" customHeight="1" x14ac:dyDescent="0.3">
      <c r="B380" s="70"/>
    </row>
    <row r="381" spans="2:2" ht="15.75" customHeight="1" x14ac:dyDescent="0.3">
      <c r="B381" s="70"/>
    </row>
    <row r="382" spans="2:2" ht="15.75" customHeight="1" x14ac:dyDescent="0.3">
      <c r="B382" s="70"/>
    </row>
    <row r="383" spans="2:2" ht="15.75" customHeight="1" x14ac:dyDescent="0.3">
      <c r="B383" s="70"/>
    </row>
    <row r="384" spans="2:2" ht="15.75" customHeight="1" x14ac:dyDescent="0.3">
      <c r="B384" s="70"/>
    </row>
    <row r="385" spans="2:2" ht="15.75" customHeight="1" x14ac:dyDescent="0.3">
      <c r="B385" s="70"/>
    </row>
    <row r="386" spans="2:2" ht="15.75" customHeight="1" x14ac:dyDescent="0.3">
      <c r="B386" s="70"/>
    </row>
    <row r="387" spans="2:2" ht="15.75" customHeight="1" x14ac:dyDescent="0.3">
      <c r="B387" s="70"/>
    </row>
    <row r="388" spans="2:2" ht="15.75" customHeight="1" x14ac:dyDescent="0.3">
      <c r="B388" s="70"/>
    </row>
    <row r="389" spans="2:2" ht="15.75" customHeight="1" x14ac:dyDescent="0.3">
      <c r="B389" s="70"/>
    </row>
    <row r="390" spans="2:2" ht="15.75" customHeight="1" x14ac:dyDescent="0.3">
      <c r="B390" s="70"/>
    </row>
    <row r="391" spans="2:2" ht="15.75" customHeight="1" x14ac:dyDescent="0.3">
      <c r="B391" s="70"/>
    </row>
    <row r="392" spans="2:2" ht="15.75" customHeight="1" x14ac:dyDescent="0.3">
      <c r="B392" s="70"/>
    </row>
    <row r="393" spans="2:2" ht="15.75" customHeight="1" x14ac:dyDescent="0.3">
      <c r="B393" s="70"/>
    </row>
    <row r="394" spans="2:2" ht="15.75" customHeight="1" x14ac:dyDescent="0.3">
      <c r="B394" s="70"/>
    </row>
    <row r="395" spans="2:2" ht="15.75" customHeight="1" x14ac:dyDescent="0.3">
      <c r="B395" s="70"/>
    </row>
    <row r="396" spans="2:2" ht="15.75" customHeight="1" x14ac:dyDescent="0.3">
      <c r="B396" s="70"/>
    </row>
    <row r="397" spans="2:2" ht="15.75" customHeight="1" x14ac:dyDescent="0.3">
      <c r="B397" s="70"/>
    </row>
    <row r="398" spans="2:2" ht="15.75" customHeight="1" x14ac:dyDescent="0.3">
      <c r="B398" s="70"/>
    </row>
    <row r="399" spans="2:2" ht="15.75" customHeight="1" x14ac:dyDescent="0.3">
      <c r="B399" s="70"/>
    </row>
    <row r="400" spans="2:2" ht="15.75" customHeight="1" x14ac:dyDescent="0.3">
      <c r="B400" s="70"/>
    </row>
    <row r="401" spans="2:2" ht="15.75" customHeight="1" x14ac:dyDescent="0.3">
      <c r="B401" s="70"/>
    </row>
    <row r="402" spans="2:2" ht="15.75" customHeight="1" x14ac:dyDescent="0.3">
      <c r="B402" s="70"/>
    </row>
    <row r="403" spans="2:2" ht="15.75" customHeight="1" x14ac:dyDescent="0.3">
      <c r="B403" s="70"/>
    </row>
    <row r="404" spans="2:2" ht="15.75" customHeight="1" x14ac:dyDescent="0.3">
      <c r="B404" s="70"/>
    </row>
    <row r="405" spans="2:2" ht="15.75" customHeight="1" x14ac:dyDescent="0.3">
      <c r="B405" s="70"/>
    </row>
    <row r="406" spans="2:2" ht="15.75" customHeight="1" x14ac:dyDescent="0.3">
      <c r="B406" s="70"/>
    </row>
    <row r="407" spans="2:2" ht="15.75" customHeight="1" x14ac:dyDescent="0.3">
      <c r="B407" s="70"/>
    </row>
    <row r="408" spans="2:2" ht="15.75" customHeight="1" x14ac:dyDescent="0.3">
      <c r="B408" s="70"/>
    </row>
    <row r="409" spans="2:2" ht="15.75" customHeight="1" x14ac:dyDescent="0.3">
      <c r="B409" s="70"/>
    </row>
    <row r="410" spans="2:2" ht="15.75" customHeight="1" x14ac:dyDescent="0.3">
      <c r="B410" s="70"/>
    </row>
    <row r="411" spans="2:2" ht="15.75" customHeight="1" x14ac:dyDescent="0.3">
      <c r="B411" s="70"/>
    </row>
    <row r="412" spans="2:2" ht="15.75" customHeight="1" x14ac:dyDescent="0.3">
      <c r="B412" s="70"/>
    </row>
    <row r="413" spans="2:2" ht="15.75" customHeight="1" x14ac:dyDescent="0.3">
      <c r="B413" s="70"/>
    </row>
    <row r="414" spans="2:2" ht="15.75" customHeight="1" x14ac:dyDescent="0.3">
      <c r="B414" s="70"/>
    </row>
    <row r="415" spans="2:2" ht="15.75" customHeight="1" x14ac:dyDescent="0.3">
      <c r="B415" s="70"/>
    </row>
    <row r="416" spans="2:2" ht="15.75" customHeight="1" x14ac:dyDescent="0.3">
      <c r="B416" s="70"/>
    </row>
    <row r="417" spans="2:2" ht="15.75" customHeight="1" x14ac:dyDescent="0.3">
      <c r="B417" s="70"/>
    </row>
    <row r="418" spans="2:2" ht="15.75" customHeight="1" x14ac:dyDescent="0.3">
      <c r="B418" s="70"/>
    </row>
    <row r="419" spans="2:2" ht="15.75" customHeight="1" x14ac:dyDescent="0.3">
      <c r="B419" s="70"/>
    </row>
    <row r="420" spans="2:2" ht="15.75" customHeight="1" x14ac:dyDescent="0.3">
      <c r="B420" s="70"/>
    </row>
    <row r="421" spans="2:2" ht="15.75" customHeight="1" x14ac:dyDescent="0.3">
      <c r="B421" s="70"/>
    </row>
    <row r="422" spans="2:2" ht="15.75" customHeight="1" x14ac:dyDescent="0.3">
      <c r="B422" s="70"/>
    </row>
    <row r="423" spans="2:2" ht="15.75" customHeight="1" x14ac:dyDescent="0.3">
      <c r="B423" s="70"/>
    </row>
    <row r="424" spans="2:2" ht="15.75" customHeight="1" x14ac:dyDescent="0.3">
      <c r="B424" s="70"/>
    </row>
    <row r="425" spans="2:2" ht="15.75" customHeight="1" x14ac:dyDescent="0.3">
      <c r="B425" s="70"/>
    </row>
    <row r="426" spans="2:2" ht="15.75" customHeight="1" x14ac:dyDescent="0.3">
      <c r="B426" s="70"/>
    </row>
    <row r="427" spans="2:2" ht="15.75" customHeight="1" x14ac:dyDescent="0.3">
      <c r="B427" s="70"/>
    </row>
    <row r="428" spans="2:2" ht="15.75" customHeight="1" x14ac:dyDescent="0.3">
      <c r="B428" s="70"/>
    </row>
    <row r="429" spans="2:2" ht="15.75" customHeight="1" x14ac:dyDescent="0.3">
      <c r="B429" s="70"/>
    </row>
    <row r="430" spans="2:2" ht="15.75" customHeight="1" x14ac:dyDescent="0.3">
      <c r="B430" s="70"/>
    </row>
    <row r="431" spans="2:2" ht="15.75" customHeight="1" x14ac:dyDescent="0.3">
      <c r="B431" s="70"/>
    </row>
    <row r="432" spans="2:2" ht="15.75" customHeight="1" x14ac:dyDescent="0.3">
      <c r="B432" s="70"/>
    </row>
    <row r="433" spans="2:2" ht="15.75" customHeight="1" x14ac:dyDescent="0.3">
      <c r="B433" s="70"/>
    </row>
    <row r="434" spans="2:2" ht="15.75" customHeight="1" x14ac:dyDescent="0.3">
      <c r="B434" s="70"/>
    </row>
    <row r="435" spans="2:2" ht="15.75" customHeight="1" x14ac:dyDescent="0.3">
      <c r="B435" s="70"/>
    </row>
    <row r="436" spans="2:2" ht="15.75" customHeight="1" x14ac:dyDescent="0.3">
      <c r="B436" s="70"/>
    </row>
    <row r="437" spans="2:2" ht="15.75" customHeight="1" x14ac:dyDescent="0.3">
      <c r="B437" s="70"/>
    </row>
    <row r="438" spans="2:2" ht="15.75" customHeight="1" x14ac:dyDescent="0.3">
      <c r="B438" s="70"/>
    </row>
    <row r="439" spans="2:2" ht="15.75" customHeight="1" x14ac:dyDescent="0.3">
      <c r="B439" s="70"/>
    </row>
    <row r="440" spans="2:2" ht="15.75" customHeight="1" x14ac:dyDescent="0.3">
      <c r="B440" s="70"/>
    </row>
    <row r="441" spans="2:2" ht="15.75" customHeight="1" x14ac:dyDescent="0.3">
      <c r="B441" s="70"/>
    </row>
    <row r="442" spans="2:2" ht="15.75" customHeight="1" x14ac:dyDescent="0.3">
      <c r="B442" s="70"/>
    </row>
    <row r="443" spans="2:2" ht="15.75" customHeight="1" x14ac:dyDescent="0.3">
      <c r="B443" s="70"/>
    </row>
    <row r="444" spans="2:2" ht="15.75" customHeight="1" x14ac:dyDescent="0.3">
      <c r="B444" s="70"/>
    </row>
    <row r="445" spans="2:2" ht="15.75" customHeight="1" x14ac:dyDescent="0.3">
      <c r="B445" s="70"/>
    </row>
    <row r="446" spans="2:2" ht="15.75" customHeight="1" x14ac:dyDescent="0.3">
      <c r="B446" s="70"/>
    </row>
    <row r="447" spans="2:2" ht="15.75" customHeight="1" x14ac:dyDescent="0.3">
      <c r="B447" s="70"/>
    </row>
    <row r="448" spans="2:2" ht="15.75" customHeight="1" x14ac:dyDescent="0.3">
      <c r="B448" s="70"/>
    </row>
    <row r="449" spans="2:2" ht="15.75" customHeight="1" x14ac:dyDescent="0.3">
      <c r="B449" s="70"/>
    </row>
    <row r="450" spans="2:2" ht="15.75" customHeight="1" x14ac:dyDescent="0.3">
      <c r="B450" s="70"/>
    </row>
    <row r="451" spans="2:2" ht="15.75" customHeight="1" x14ac:dyDescent="0.3">
      <c r="B451" s="70"/>
    </row>
    <row r="452" spans="2:2" ht="15.75" customHeight="1" x14ac:dyDescent="0.3">
      <c r="B452" s="70"/>
    </row>
    <row r="453" spans="2:2" ht="15.75" customHeight="1" x14ac:dyDescent="0.3">
      <c r="B453" s="70"/>
    </row>
    <row r="454" spans="2:2" ht="15.75" customHeight="1" x14ac:dyDescent="0.3">
      <c r="B454" s="70"/>
    </row>
    <row r="455" spans="2:2" ht="15.75" customHeight="1" x14ac:dyDescent="0.3">
      <c r="B455" s="70"/>
    </row>
    <row r="456" spans="2:2" ht="15.75" customHeight="1" x14ac:dyDescent="0.3">
      <c r="B456" s="70"/>
    </row>
    <row r="457" spans="2:2" ht="15.75" customHeight="1" x14ac:dyDescent="0.3">
      <c r="B457" s="70"/>
    </row>
    <row r="458" spans="2:2" ht="15.75" customHeight="1" x14ac:dyDescent="0.3">
      <c r="B458" s="70"/>
    </row>
    <row r="459" spans="2:2" ht="15.75" customHeight="1" x14ac:dyDescent="0.3">
      <c r="B459" s="70"/>
    </row>
    <row r="460" spans="2:2" ht="15.75" customHeight="1" x14ac:dyDescent="0.3">
      <c r="B460" s="70"/>
    </row>
    <row r="461" spans="2:2" ht="15.75" customHeight="1" x14ac:dyDescent="0.3">
      <c r="B461" s="70"/>
    </row>
    <row r="462" spans="2:2" ht="15.75" customHeight="1" x14ac:dyDescent="0.3">
      <c r="B462" s="70"/>
    </row>
    <row r="463" spans="2:2" ht="15.75" customHeight="1" x14ac:dyDescent="0.3">
      <c r="B463" s="70"/>
    </row>
    <row r="464" spans="2:2" ht="15.75" customHeight="1" x14ac:dyDescent="0.3">
      <c r="B464" s="70"/>
    </row>
    <row r="465" spans="2:2" ht="15.75" customHeight="1" x14ac:dyDescent="0.3">
      <c r="B465" s="70"/>
    </row>
    <row r="466" spans="2:2" ht="15.75" customHeight="1" x14ac:dyDescent="0.3">
      <c r="B466" s="70"/>
    </row>
    <row r="467" spans="2:2" ht="15.75" customHeight="1" x14ac:dyDescent="0.3">
      <c r="B467" s="70"/>
    </row>
    <row r="468" spans="2:2" ht="15.75" customHeight="1" x14ac:dyDescent="0.3">
      <c r="B468" s="70"/>
    </row>
    <row r="469" spans="2:2" ht="15.75" customHeight="1" x14ac:dyDescent="0.3">
      <c r="B469" s="70"/>
    </row>
    <row r="470" spans="2:2" ht="15.75" customHeight="1" x14ac:dyDescent="0.3">
      <c r="B470" s="70"/>
    </row>
    <row r="471" spans="2:2" ht="15.75" customHeight="1" x14ac:dyDescent="0.3">
      <c r="B471" s="70"/>
    </row>
    <row r="472" spans="2:2" ht="15.75" customHeight="1" x14ac:dyDescent="0.3">
      <c r="B472" s="70"/>
    </row>
    <row r="473" spans="2:2" ht="15.75" customHeight="1" x14ac:dyDescent="0.3">
      <c r="B473" s="70"/>
    </row>
    <row r="474" spans="2:2" ht="15.75" customHeight="1" x14ac:dyDescent="0.3">
      <c r="B474" s="70"/>
    </row>
    <row r="475" spans="2:2" ht="15.75" customHeight="1" x14ac:dyDescent="0.3">
      <c r="B475" s="70"/>
    </row>
    <row r="476" spans="2:2" ht="15.75" customHeight="1" x14ac:dyDescent="0.3">
      <c r="B476" s="70"/>
    </row>
    <row r="477" spans="2:2" ht="15.75" customHeight="1" x14ac:dyDescent="0.3">
      <c r="B477" s="70"/>
    </row>
    <row r="478" spans="2:2" ht="15.75" customHeight="1" x14ac:dyDescent="0.3">
      <c r="B478" s="70"/>
    </row>
    <row r="479" spans="2:2" ht="15.75" customHeight="1" x14ac:dyDescent="0.3">
      <c r="B479" s="70"/>
    </row>
    <row r="480" spans="2:2" ht="15.75" customHeight="1" x14ac:dyDescent="0.3">
      <c r="B480" s="70"/>
    </row>
    <row r="481" spans="2:2" ht="15.75" customHeight="1" x14ac:dyDescent="0.3">
      <c r="B481" s="70"/>
    </row>
    <row r="482" spans="2:2" ht="15.75" customHeight="1" x14ac:dyDescent="0.3">
      <c r="B482" s="70"/>
    </row>
    <row r="483" spans="2:2" ht="15.75" customHeight="1" x14ac:dyDescent="0.3">
      <c r="B483" s="70"/>
    </row>
    <row r="484" spans="2:2" ht="15.75" customHeight="1" x14ac:dyDescent="0.3">
      <c r="B484" s="70"/>
    </row>
    <row r="485" spans="2:2" ht="15.75" customHeight="1" x14ac:dyDescent="0.3">
      <c r="B485" s="70"/>
    </row>
    <row r="486" spans="2:2" ht="15.75" customHeight="1" x14ac:dyDescent="0.3">
      <c r="B486" s="70"/>
    </row>
    <row r="487" spans="2:2" ht="15.75" customHeight="1" x14ac:dyDescent="0.3">
      <c r="B487" s="70"/>
    </row>
    <row r="488" spans="2:2" ht="15.75" customHeight="1" x14ac:dyDescent="0.3">
      <c r="B488" s="70"/>
    </row>
    <row r="489" spans="2:2" ht="15.75" customHeight="1" x14ac:dyDescent="0.3">
      <c r="B489" s="70"/>
    </row>
    <row r="490" spans="2:2" ht="15.75" customHeight="1" x14ac:dyDescent="0.3">
      <c r="B490" s="70"/>
    </row>
    <row r="491" spans="2:2" ht="15.75" customHeight="1" x14ac:dyDescent="0.3">
      <c r="B491" s="70"/>
    </row>
    <row r="492" spans="2:2" ht="15.75" customHeight="1" x14ac:dyDescent="0.3">
      <c r="B492" s="70"/>
    </row>
    <row r="493" spans="2:2" ht="15.75" customHeight="1" x14ac:dyDescent="0.3">
      <c r="B493" s="70"/>
    </row>
    <row r="494" spans="2:2" ht="15.75" customHeight="1" x14ac:dyDescent="0.3">
      <c r="B494" s="70"/>
    </row>
    <row r="495" spans="2:2" ht="15.75" customHeight="1" x14ac:dyDescent="0.3">
      <c r="B495" s="70"/>
    </row>
    <row r="496" spans="2:2" ht="15.75" customHeight="1" x14ac:dyDescent="0.3">
      <c r="B496" s="70"/>
    </row>
    <row r="497" spans="2:2" ht="15.75" customHeight="1" x14ac:dyDescent="0.3">
      <c r="B497" s="70"/>
    </row>
    <row r="498" spans="2:2" ht="15.75" customHeight="1" x14ac:dyDescent="0.3">
      <c r="B498" s="70"/>
    </row>
    <row r="499" spans="2:2" ht="15.75" customHeight="1" x14ac:dyDescent="0.3">
      <c r="B499" s="70"/>
    </row>
    <row r="500" spans="2:2" ht="15.75" customHeight="1" x14ac:dyDescent="0.3">
      <c r="B500" s="70"/>
    </row>
    <row r="501" spans="2:2" ht="15.75" customHeight="1" x14ac:dyDescent="0.3">
      <c r="B501" s="70"/>
    </row>
    <row r="502" spans="2:2" ht="15.75" customHeight="1" x14ac:dyDescent="0.3">
      <c r="B502" s="70"/>
    </row>
    <row r="503" spans="2:2" ht="15.75" customHeight="1" x14ac:dyDescent="0.3">
      <c r="B503" s="70"/>
    </row>
    <row r="504" spans="2:2" ht="15.75" customHeight="1" x14ac:dyDescent="0.3">
      <c r="B504" s="70"/>
    </row>
    <row r="505" spans="2:2" ht="15.75" customHeight="1" x14ac:dyDescent="0.3">
      <c r="B505" s="70"/>
    </row>
    <row r="506" spans="2:2" ht="15.75" customHeight="1" x14ac:dyDescent="0.3">
      <c r="B506" s="70"/>
    </row>
    <row r="507" spans="2:2" ht="15.75" customHeight="1" x14ac:dyDescent="0.3">
      <c r="B507" s="70"/>
    </row>
    <row r="508" spans="2:2" ht="15.75" customHeight="1" x14ac:dyDescent="0.3">
      <c r="B508" s="70"/>
    </row>
    <row r="509" spans="2:2" ht="15.75" customHeight="1" x14ac:dyDescent="0.3">
      <c r="B509" s="70"/>
    </row>
    <row r="510" spans="2:2" ht="15.75" customHeight="1" x14ac:dyDescent="0.3">
      <c r="B510" s="70"/>
    </row>
    <row r="511" spans="2:2" ht="15.75" customHeight="1" x14ac:dyDescent="0.3">
      <c r="B511" s="70"/>
    </row>
    <row r="512" spans="2:2" ht="15.75" customHeight="1" x14ac:dyDescent="0.3">
      <c r="B512" s="70"/>
    </row>
    <row r="513" spans="2:2" ht="15.75" customHeight="1" x14ac:dyDescent="0.3">
      <c r="B513" s="70"/>
    </row>
    <row r="514" spans="2:2" ht="15.75" customHeight="1" x14ac:dyDescent="0.3">
      <c r="B514" s="70"/>
    </row>
    <row r="515" spans="2:2" ht="15.75" customHeight="1" x14ac:dyDescent="0.3">
      <c r="B515" s="70"/>
    </row>
    <row r="516" spans="2:2" ht="15.75" customHeight="1" x14ac:dyDescent="0.3">
      <c r="B516" s="70"/>
    </row>
    <row r="517" spans="2:2" ht="15.75" customHeight="1" x14ac:dyDescent="0.3">
      <c r="B517" s="70"/>
    </row>
    <row r="518" spans="2:2" ht="15.75" customHeight="1" x14ac:dyDescent="0.3">
      <c r="B518" s="70"/>
    </row>
    <row r="519" spans="2:2" ht="15.75" customHeight="1" x14ac:dyDescent="0.3">
      <c r="B519" s="70"/>
    </row>
    <row r="520" spans="2:2" ht="15.75" customHeight="1" x14ac:dyDescent="0.3">
      <c r="B520" s="70"/>
    </row>
    <row r="521" spans="2:2" ht="15.75" customHeight="1" x14ac:dyDescent="0.3">
      <c r="B521" s="70"/>
    </row>
    <row r="522" spans="2:2" ht="15.75" customHeight="1" x14ac:dyDescent="0.3">
      <c r="B522" s="70"/>
    </row>
    <row r="523" spans="2:2" ht="15.75" customHeight="1" x14ac:dyDescent="0.3">
      <c r="B523" s="70"/>
    </row>
    <row r="524" spans="2:2" ht="15.75" customHeight="1" x14ac:dyDescent="0.3">
      <c r="B524" s="70"/>
    </row>
    <row r="525" spans="2:2" ht="15.75" customHeight="1" x14ac:dyDescent="0.3">
      <c r="B525" s="70"/>
    </row>
    <row r="526" spans="2:2" ht="15.75" customHeight="1" x14ac:dyDescent="0.3">
      <c r="B526" s="70"/>
    </row>
    <row r="527" spans="2:2" ht="15.75" customHeight="1" x14ac:dyDescent="0.3">
      <c r="B527" s="70"/>
    </row>
    <row r="528" spans="2:2" ht="15.75" customHeight="1" x14ac:dyDescent="0.3">
      <c r="B528" s="70"/>
    </row>
    <row r="529" spans="2:2" ht="15.75" customHeight="1" x14ac:dyDescent="0.3">
      <c r="B529" s="70"/>
    </row>
    <row r="530" spans="2:2" ht="15.75" customHeight="1" x14ac:dyDescent="0.3">
      <c r="B530" s="70"/>
    </row>
    <row r="531" spans="2:2" ht="15.75" customHeight="1" x14ac:dyDescent="0.3">
      <c r="B531" s="70"/>
    </row>
    <row r="532" spans="2:2" ht="15.75" customHeight="1" x14ac:dyDescent="0.3">
      <c r="B532" s="70"/>
    </row>
    <row r="533" spans="2:2" ht="15.75" customHeight="1" x14ac:dyDescent="0.3">
      <c r="B533" s="70"/>
    </row>
    <row r="534" spans="2:2" ht="15.75" customHeight="1" x14ac:dyDescent="0.3">
      <c r="B534" s="70"/>
    </row>
    <row r="535" spans="2:2" ht="15.75" customHeight="1" x14ac:dyDescent="0.3">
      <c r="B535" s="70"/>
    </row>
    <row r="536" spans="2:2" ht="15.75" customHeight="1" x14ac:dyDescent="0.3">
      <c r="B536" s="70"/>
    </row>
    <row r="537" spans="2:2" ht="15.75" customHeight="1" x14ac:dyDescent="0.3">
      <c r="B537" s="70"/>
    </row>
    <row r="538" spans="2:2" ht="15.75" customHeight="1" x14ac:dyDescent="0.3">
      <c r="B538" s="70"/>
    </row>
    <row r="539" spans="2:2" ht="15.75" customHeight="1" x14ac:dyDescent="0.3">
      <c r="B539" s="70"/>
    </row>
    <row r="540" spans="2:2" ht="15.75" customHeight="1" x14ac:dyDescent="0.3">
      <c r="B540" s="70"/>
    </row>
    <row r="541" spans="2:2" ht="15.75" customHeight="1" x14ac:dyDescent="0.3">
      <c r="B541" s="70"/>
    </row>
    <row r="542" spans="2:2" ht="15.75" customHeight="1" x14ac:dyDescent="0.3">
      <c r="B542" s="70"/>
    </row>
    <row r="543" spans="2:2" ht="15.75" customHeight="1" x14ac:dyDescent="0.3">
      <c r="B543" s="70"/>
    </row>
    <row r="544" spans="2:2" ht="15.75" customHeight="1" x14ac:dyDescent="0.3">
      <c r="B544" s="70"/>
    </row>
    <row r="545" spans="2:2" ht="15.75" customHeight="1" x14ac:dyDescent="0.3">
      <c r="B545" s="70"/>
    </row>
    <row r="546" spans="2:2" ht="15.75" customHeight="1" x14ac:dyDescent="0.3">
      <c r="B546" s="70"/>
    </row>
    <row r="547" spans="2:2" ht="15.75" customHeight="1" x14ac:dyDescent="0.3">
      <c r="B547" s="70"/>
    </row>
    <row r="548" spans="2:2" ht="15.75" customHeight="1" x14ac:dyDescent="0.3">
      <c r="B548" s="70"/>
    </row>
    <row r="549" spans="2:2" ht="15.75" customHeight="1" x14ac:dyDescent="0.3">
      <c r="B549" s="70"/>
    </row>
    <row r="550" spans="2:2" ht="15.75" customHeight="1" x14ac:dyDescent="0.3">
      <c r="B550" s="70"/>
    </row>
    <row r="551" spans="2:2" ht="15.75" customHeight="1" x14ac:dyDescent="0.3">
      <c r="B551" s="70"/>
    </row>
    <row r="552" spans="2:2" ht="15.75" customHeight="1" x14ac:dyDescent="0.3">
      <c r="B552" s="70"/>
    </row>
    <row r="553" spans="2:2" ht="15.75" customHeight="1" x14ac:dyDescent="0.3">
      <c r="B553" s="70"/>
    </row>
    <row r="554" spans="2:2" ht="15.75" customHeight="1" x14ac:dyDescent="0.3">
      <c r="B554" s="70"/>
    </row>
    <row r="555" spans="2:2" ht="15.75" customHeight="1" x14ac:dyDescent="0.3">
      <c r="B555" s="70"/>
    </row>
    <row r="556" spans="2:2" ht="15.75" customHeight="1" x14ac:dyDescent="0.3">
      <c r="B556" s="70"/>
    </row>
    <row r="557" spans="2:2" ht="15.75" customHeight="1" x14ac:dyDescent="0.3">
      <c r="B557" s="70"/>
    </row>
    <row r="558" spans="2:2" ht="15.75" customHeight="1" x14ac:dyDescent="0.3">
      <c r="B558" s="70"/>
    </row>
    <row r="559" spans="2:2" ht="15.75" customHeight="1" x14ac:dyDescent="0.3">
      <c r="B559" s="70"/>
    </row>
    <row r="560" spans="2:2" ht="15.75" customHeight="1" x14ac:dyDescent="0.3">
      <c r="B560" s="70"/>
    </row>
    <row r="561" spans="2:2" ht="15.75" customHeight="1" x14ac:dyDescent="0.3">
      <c r="B561" s="70"/>
    </row>
    <row r="562" spans="2:2" ht="15.75" customHeight="1" x14ac:dyDescent="0.3">
      <c r="B562" s="70"/>
    </row>
    <row r="563" spans="2:2" ht="15.75" customHeight="1" x14ac:dyDescent="0.3">
      <c r="B563" s="70"/>
    </row>
    <row r="564" spans="2:2" ht="15.75" customHeight="1" x14ac:dyDescent="0.3">
      <c r="B564" s="70"/>
    </row>
    <row r="565" spans="2:2" ht="15.75" customHeight="1" x14ac:dyDescent="0.3">
      <c r="B565" s="70"/>
    </row>
    <row r="566" spans="2:2" ht="15.75" customHeight="1" x14ac:dyDescent="0.3">
      <c r="B566" s="70"/>
    </row>
    <row r="567" spans="2:2" ht="15.75" customHeight="1" x14ac:dyDescent="0.3">
      <c r="B567" s="70"/>
    </row>
    <row r="568" spans="2:2" ht="15.75" customHeight="1" x14ac:dyDescent="0.3">
      <c r="B568" s="70"/>
    </row>
    <row r="569" spans="2:2" ht="15.75" customHeight="1" x14ac:dyDescent="0.3">
      <c r="B569" s="70"/>
    </row>
    <row r="570" spans="2:2" ht="15.75" customHeight="1" x14ac:dyDescent="0.3">
      <c r="B570" s="70"/>
    </row>
    <row r="571" spans="2:2" ht="15.75" customHeight="1" x14ac:dyDescent="0.3">
      <c r="B571" s="70"/>
    </row>
    <row r="572" spans="2:2" ht="15.75" customHeight="1" x14ac:dyDescent="0.3">
      <c r="B572" s="70"/>
    </row>
    <row r="573" spans="2:2" ht="15.75" customHeight="1" x14ac:dyDescent="0.3">
      <c r="B573" s="70"/>
    </row>
    <row r="574" spans="2:2" ht="15.75" customHeight="1" x14ac:dyDescent="0.3">
      <c r="B574" s="70"/>
    </row>
    <row r="575" spans="2:2" ht="15.75" customHeight="1" x14ac:dyDescent="0.3">
      <c r="B575" s="70"/>
    </row>
    <row r="576" spans="2:2" ht="15.75" customHeight="1" x14ac:dyDescent="0.3">
      <c r="B576" s="70"/>
    </row>
    <row r="577" spans="2:2" ht="15.75" customHeight="1" x14ac:dyDescent="0.3">
      <c r="B577" s="70"/>
    </row>
    <row r="578" spans="2:2" ht="15.75" customHeight="1" x14ac:dyDescent="0.3">
      <c r="B578" s="70"/>
    </row>
    <row r="579" spans="2:2" ht="15.75" customHeight="1" x14ac:dyDescent="0.3">
      <c r="B579" s="70"/>
    </row>
    <row r="580" spans="2:2" ht="15.75" customHeight="1" x14ac:dyDescent="0.3">
      <c r="B580" s="70"/>
    </row>
    <row r="581" spans="2:2" ht="15.75" customHeight="1" x14ac:dyDescent="0.3">
      <c r="B581" s="70"/>
    </row>
    <row r="582" spans="2:2" ht="15.75" customHeight="1" x14ac:dyDescent="0.3">
      <c r="B582" s="70"/>
    </row>
    <row r="583" spans="2:2" ht="15.75" customHeight="1" x14ac:dyDescent="0.3">
      <c r="B583" s="70"/>
    </row>
    <row r="584" spans="2:2" ht="15.75" customHeight="1" x14ac:dyDescent="0.3">
      <c r="B584" s="70"/>
    </row>
    <row r="585" spans="2:2" ht="15.75" customHeight="1" x14ac:dyDescent="0.3">
      <c r="B585" s="70"/>
    </row>
    <row r="586" spans="2:2" ht="15.75" customHeight="1" x14ac:dyDescent="0.3">
      <c r="B586" s="70"/>
    </row>
    <row r="587" spans="2:2" ht="15.75" customHeight="1" x14ac:dyDescent="0.3">
      <c r="B587" s="70"/>
    </row>
    <row r="588" spans="2:2" ht="15.75" customHeight="1" x14ac:dyDescent="0.3">
      <c r="B588" s="70"/>
    </row>
    <row r="589" spans="2:2" ht="15.75" customHeight="1" x14ac:dyDescent="0.3">
      <c r="B589" s="70"/>
    </row>
    <row r="590" spans="2:2" ht="15.75" customHeight="1" x14ac:dyDescent="0.3">
      <c r="B590" s="70"/>
    </row>
    <row r="591" spans="2:2" ht="15.75" customHeight="1" x14ac:dyDescent="0.3">
      <c r="B591" s="70"/>
    </row>
    <row r="592" spans="2:2" ht="15.75" customHeight="1" x14ac:dyDescent="0.3">
      <c r="B592" s="70"/>
    </row>
    <row r="593" spans="2:2" ht="15.75" customHeight="1" x14ac:dyDescent="0.3">
      <c r="B593" s="70"/>
    </row>
    <row r="594" spans="2:2" ht="15.75" customHeight="1" x14ac:dyDescent="0.3">
      <c r="B594" s="70"/>
    </row>
    <row r="595" spans="2:2" ht="15.75" customHeight="1" x14ac:dyDescent="0.3">
      <c r="B595" s="70"/>
    </row>
    <row r="596" spans="2:2" ht="15.75" customHeight="1" x14ac:dyDescent="0.3">
      <c r="B596" s="70"/>
    </row>
    <row r="597" spans="2:2" ht="15.75" customHeight="1" x14ac:dyDescent="0.3">
      <c r="B597" s="70"/>
    </row>
    <row r="598" spans="2:2" ht="15.75" customHeight="1" x14ac:dyDescent="0.3">
      <c r="B598" s="70"/>
    </row>
    <row r="599" spans="2:2" ht="15.75" customHeight="1" x14ac:dyDescent="0.3">
      <c r="B599" s="70"/>
    </row>
    <row r="600" spans="2:2" ht="15.75" customHeight="1" x14ac:dyDescent="0.3">
      <c r="B600" s="70"/>
    </row>
    <row r="601" spans="2:2" ht="15.75" customHeight="1" x14ac:dyDescent="0.3">
      <c r="B601" s="70"/>
    </row>
    <row r="602" spans="2:2" ht="15.75" customHeight="1" x14ac:dyDescent="0.3">
      <c r="B602" s="70"/>
    </row>
    <row r="603" spans="2:2" ht="15.75" customHeight="1" x14ac:dyDescent="0.3">
      <c r="B603" s="70"/>
    </row>
    <row r="604" spans="2:2" ht="15.75" customHeight="1" x14ac:dyDescent="0.3">
      <c r="B604" s="70"/>
    </row>
    <row r="605" spans="2:2" ht="15.75" customHeight="1" x14ac:dyDescent="0.3">
      <c r="B605" s="70"/>
    </row>
    <row r="606" spans="2:2" ht="15.75" customHeight="1" x14ac:dyDescent="0.3">
      <c r="B606" s="70"/>
    </row>
    <row r="607" spans="2:2" ht="15.75" customHeight="1" x14ac:dyDescent="0.3">
      <c r="B607" s="70"/>
    </row>
    <row r="608" spans="2:2" ht="15.75" customHeight="1" x14ac:dyDescent="0.3">
      <c r="B608" s="70"/>
    </row>
    <row r="609" spans="2:2" ht="15.75" customHeight="1" x14ac:dyDescent="0.3">
      <c r="B609" s="70"/>
    </row>
    <row r="610" spans="2:2" ht="15.75" customHeight="1" x14ac:dyDescent="0.3">
      <c r="B610" s="70"/>
    </row>
    <row r="611" spans="2:2" ht="15.75" customHeight="1" x14ac:dyDescent="0.3">
      <c r="B611" s="70"/>
    </row>
    <row r="612" spans="2:2" ht="15.75" customHeight="1" x14ac:dyDescent="0.3">
      <c r="B612" s="70"/>
    </row>
    <row r="613" spans="2:2" ht="15.75" customHeight="1" x14ac:dyDescent="0.3">
      <c r="B613" s="70"/>
    </row>
    <row r="614" spans="2:2" ht="15.75" customHeight="1" x14ac:dyDescent="0.3">
      <c r="B614" s="70"/>
    </row>
    <row r="615" spans="2:2" ht="15.75" customHeight="1" x14ac:dyDescent="0.3">
      <c r="B615" s="70"/>
    </row>
    <row r="616" spans="2:2" ht="15.75" customHeight="1" x14ac:dyDescent="0.3">
      <c r="B616" s="70"/>
    </row>
    <row r="617" spans="2:2" ht="15.75" customHeight="1" x14ac:dyDescent="0.3">
      <c r="B617" s="70"/>
    </row>
    <row r="618" spans="2:2" ht="15.75" customHeight="1" x14ac:dyDescent="0.3">
      <c r="B618" s="70"/>
    </row>
    <row r="619" spans="2:2" ht="15.75" customHeight="1" x14ac:dyDescent="0.3">
      <c r="B619" s="70"/>
    </row>
    <row r="620" spans="2:2" ht="15.75" customHeight="1" x14ac:dyDescent="0.3">
      <c r="B620" s="70"/>
    </row>
    <row r="621" spans="2:2" ht="15.75" customHeight="1" x14ac:dyDescent="0.3">
      <c r="B621" s="70"/>
    </row>
    <row r="622" spans="2:2" ht="15.75" customHeight="1" x14ac:dyDescent="0.3">
      <c r="B622" s="70"/>
    </row>
    <row r="623" spans="2:2" ht="15.75" customHeight="1" x14ac:dyDescent="0.3">
      <c r="B623" s="70"/>
    </row>
    <row r="624" spans="2:2" ht="15.75" customHeight="1" x14ac:dyDescent="0.3">
      <c r="B624" s="70"/>
    </row>
    <row r="625" spans="2:2" ht="15.75" customHeight="1" x14ac:dyDescent="0.3">
      <c r="B625" s="70"/>
    </row>
    <row r="626" spans="2:2" ht="15.75" customHeight="1" x14ac:dyDescent="0.3">
      <c r="B626" s="70"/>
    </row>
    <row r="627" spans="2:2" ht="15.75" customHeight="1" x14ac:dyDescent="0.3">
      <c r="B627" s="70"/>
    </row>
    <row r="628" spans="2:2" ht="15.75" customHeight="1" x14ac:dyDescent="0.3">
      <c r="B628" s="70"/>
    </row>
    <row r="629" spans="2:2" ht="15.75" customHeight="1" x14ac:dyDescent="0.3">
      <c r="B629" s="70"/>
    </row>
    <row r="630" spans="2:2" ht="15.75" customHeight="1" x14ac:dyDescent="0.3">
      <c r="B630" s="70"/>
    </row>
    <row r="631" spans="2:2" ht="15.75" customHeight="1" x14ac:dyDescent="0.3">
      <c r="B631" s="70"/>
    </row>
    <row r="632" spans="2:2" ht="15.75" customHeight="1" x14ac:dyDescent="0.3">
      <c r="B632" s="70"/>
    </row>
    <row r="633" spans="2:2" ht="15.75" customHeight="1" x14ac:dyDescent="0.3">
      <c r="B633" s="70"/>
    </row>
    <row r="634" spans="2:2" ht="15.75" customHeight="1" x14ac:dyDescent="0.3">
      <c r="B634" s="70"/>
    </row>
    <row r="635" spans="2:2" ht="15.75" customHeight="1" x14ac:dyDescent="0.3">
      <c r="B635" s="70"/>
    </row>
    <row r="636" spans="2:2" ht="15.75" customHeight="1" x14ac:dyDescent="0.3">
      <c r="B636" s="70"/>
    </row>
    <row r="637" spans="2:2" ht="15.75" customHeight="1" x14ac:dyDescent="0.3">
      <c r="B637" s="70"/>
    </row>
    <row r="638" spans="2:2" ht="15.75" customHeight="1" x14ac:dyDescent="0.3">
      <c r="B638" s="70"/>
    </row>
    <row r="639" spans="2:2" ht="15.75" customHeight="1" x14ac:dyDescent="0.3">
      <c r="B639" s="70"/>
    </row>
    <row r="640" spans="2:2" ht="15.75" customHeight="1" x14ac:dyDescent="0.3">
      <c r="B640" s="70"/>
    </row>
    <row r="641" spans="2:2" ht="15.75" customHeight="1" x14ac:dyDescent="0.3">
      <c r="B641" s="70"/>
    </row>
    <row r="642" spans="2:2" ht="15.75" customHeight="1" x14ac:dyDescent="0.3">
      <c r="B642" s="70"/>
    </row>
    <row r="643" spans="2:2" ht="15.75" customHeight="1" x14ac:dyDescent="0.3">
      <c r="B643" s="70"/>
    </row>
    <row r="644" spans="2:2" ht="15.75" customHeight="1" x14ac:dyDescent="0.3">
      <c r="B644" s="70"/>
    </row>
    <row r="645" spans="2:2" ht="15.75" customHeight="1" x14ac:dyDescent="0.3">
      <c r="B645" s="70"/>
    </row>
    <row r="646" spans="2:2" ht="15.75" customHeight="1" x14ac:dyDescent="0.3">
      <c r="B646" s="70"/>
    </row>
    <row r="647" spans="2:2" ht="15.75" customHeight="1" x14ac:dyDescent="0.3">
      <c r="B647" s="70"/>
    </row>
    <row r="648" spans="2:2" ht="15.75" customHeight="1" x14ac:dyDescent="0.3">
      <c r="B648" s="70"/>
    </row>
    <row r="649" spans="2:2" ht="15.75" customHeight="1" x14ac:dyDescent="0.3">
      <c r="B649" s="70"/>
    </row>
    <row r="650" spans="2:2" ht="15.75" customHeight="1" x14ac:dyDescent="0.3">
      <c r="B650" s="70"/>
    </row>
    <row r="651" spans="2:2" ht="15.75" customHeight="1" x14ac:dyDescent="0.3">
      <c r="B651" s="70"/>
    </row>
    <row r="652" spans="2:2" ht="15.75" customHeight="1" x14ac:dyDescent="0.3">
      <c r="B652" s="70"/>
    </row>
    <row r="653" spans="2:2" ht="15.75" customHeight="1" x14ac:dyDescent="0.3">
      <c r="B653" s="70"/>
    </row>
    <row r="654" spans="2:2" ht="15.75" customHeight="1" x14ac:dyDescent="0.3">
      <c r="B654" s="70"/>
    </row>
    <row r="655" spans="2:2" ht="15.75" customHeight="1" x14ac:dyDescent="0.3">
      <c r="B655" s="70"/>
    </row>
    <row r="656" spans="2:2" ht="15.75" customHeight="1" x14ac:dyDescent="0.3">
      <c r="B656" s="70"/>
    </row>
    <row r="657" spans="2:2" ht="15.75" customHeight="1" x14ac:dyDescent="0.3">
      <c r="B657" s="70"/>
    </row>
    <row r="658" spans="2:2" ht="15.75" customHeight="1" x14ac:dyDescent="0.3">
      <c r="B658" s="70"/>
    </row>
    <row r="659" spans="2:2" ht="15.75" customHeight="1" x14ac:dyDescent="0.3">
      <c r="B659" s="70"/>
    </row>
    <row r="660" spans="2:2" ht="15.75" customHeight="1" x14ac:dyDescent="0.3">
      <c r="B660" s="70"/>
    </row>
    <row r="661" spans="2:2" ht="15.75" customHeight="1" x14ac:dyDescent="0.3">
      <c r="B661" s="70"/>
    </row>
    <row r="662" spans="2:2" ht="15.75" customHeight="1" x14ac:dyDescent="0.3">
      <c r="B662" s="70"/>
    </row>
    <row r="663" spans="2:2" ht="15.75" customHeight="1" x14ac:dyDescent="0.3">
      <c r="B663" s="70"/>
    </row>
    <row r="664" spans="2:2" ht="15.75" customHeight="1" x14ac:dyDescent="0.3">
      <c r="B664" s="70"/>
    </row>
    <row r="665" spans="2:2" ht="15.75" customHeight="1" x14ac:dyDescent="0.3">
      <c r="B665" s="70"/>
    </row>
    <row r="666" spans="2:2" ht="15.75" customHeight="1" x14ac:dyDescent="0.3">
      <c r="B666" s="70"/>
    </row>
    <row r="667" spans="2:2" ht="15.75" customHeight="1" x14ac:dyDescent="0.3">
      <c r="B667" s="70"/>
    </row>
    <row r="668" spans="2:2" ht="15.75" customHeight="1" x14ac:dyDescent="0.3">
      <c r="B668" s="70"/>
    </row>
    <row r="669" spans="2:2" ht="15.75" customHeight="1" x14ac:dyDescent="0.3">
      <c r="B669" s="70"/>
    </row>
    <row r="670" spans="2:2" ht="15.75" customHeight="1" x14ac:dyDescent="0.3">
      <c r="B670" s="70"/>
    </row>
    <row r="671" spans="2:2" ht="15.75" customHeight="1" x14ac:dyDescent="0.3">
      <c r="B671" s="70"/>
    </row>
    <row r="672" spans="2:2" ht="15.75" customHeight="1" x14ac:dyDescent="0.3">
      <c r="B672" s="70"/>
    </row>
    <row r="673" spans="2:2" ht="15.75" customHeight="1" x14ac:dyDescent="0.3">
      <c r="B673" s="70"/>
    </row>
    <row r="674" spans="2:2" ht="15.75" customHeight="1" x14ac:dyDescent="0.3">
      <c r="B674" s="70"/>
    </row>
    <row r="675" spans="2:2" ht="15.75" customHeight="1" x14ac:dyDescent="0.3">
      <c r="B675" s="70"/>
    </row>
    <row r="676" spans="2:2" ht="15.75" customHeight="1" x14ac:dyDescent="0.3">
      <c r="B676" s="70"/>
    </row>
    <row r="677" spans="2:2" ht="15.75" customHeight="1" x14ac:dyDescent="0.3">
      <c r="B677" s="70"/>
    </row>
    <row r="678" spans="2:2" ht="15.75" customHeight="1" x14ac:dyDescent="0.3">
      <c r="B678" s="70"/>
    </row>
    <row r="679" spans="2:2" ht="15.75" customHeight="1" x14ac:dyDescent="0.3">
      <c r="B679" s="70"/>
    </row>
    <row r="680" spans="2:2" ht="15.75" customHeight="1" x14ac:dyDescent="0.3">
      <c r="B680" s="70"/>
    </row>
    <row r="681" spans="2:2" ht="15.75" customHeight="1" x14ac:dyDescent="0.3">
      <c r="B681" s="70"/>
    </row>
    <row r="682" spans="2:2" ht="15.75" customHeight="1" x14ac:dyDescent="0.3">
      <c r="B682" s="70"/>
    </row>
    <row r="683" spans="2:2" ht="15.75" customHeight="1" x14ac:dyDescent="0.3">
      <c r="B683" s="70"/>
    </row>
    <row r="684" spans="2:2" ht="15.75" customHeight="1" x14ac:dyDescent="0.3">
      <c r="B684" s="70"/>
    </row>
    <row r="685" spans="2:2" ht="15.75" customHeight="1" x14ac:dyDescent="0.3">
      <c r="B685" s="70"/>
    </row>
    <row r="686" spans="2:2" ht="15.75" customHeight="1" x14ac:dyDescent="0.3">
      <c r="B686" s="70"/>
    </row>
    <row r="687" spans="2:2" ht="15.75" customHeight="1" x14ac:dyDescent="0.3">
      <c r="B687" s="70"/>
    </row>
    <row r="688" spans="2:2" ht="15.75" customHeight="1" x14ac:dyDescent="0.3">
      <c r="B688" s="70"/>
    </row>
    <row r="689" spans="2:2" ht="15.75" customHeight="1" x14ac:dyDescent="0.3">
      <c r="B689" s="70"/>
    </row>
    <row r="690" spans="2:2" ht="15.75" customHeight="1" x14ac:dyDescent="0.3">
      <c r="B690" s="70"/>
    </row>
    <row r="691" spans="2:2" ht="15.75" customHeight="1" x14ac:dyDescent="0.3">
      <c r="B691" s="70"/>
    </row>
    <row r="692" spans="2:2" ht="15.75" customHeight="1" x14ac:dyDescent="0.3">
      <c r="B692" s="70"/>
    </row>
    <row r="693" spans="2:2" ht="15.75" customHeight="1" x14ac:dyDescent="0.3">
      <c r="B693" s="70"/>
    </row>
    <row r="694" spans="2:2" ht="15.75" customHeight="1" x14ac:dyDescent="0.3">
      <c r="B694" s="70"/>
    </row>
    <row r="695" spans="2:2" ht="15.75" customHeight="1" x14ac:dyDescent="0.3">
      <c r="B695" s="70"/>
    </row>
    <row r="696" spans="2:2" ht="15.75" customHeight="1" x14ac:dyDescent="0.3">
      <c r="B696" s="70"/>
    </row>
    <row r="697" spans="2:2" ht="15.75" customHeight="1" x14ac:dyDescent="0.3">
      <c r="B697" s="70"/>
    </row>
    <row r="698" spans="2:2" ht="15.75" customHeight="1" x14ac:dyDescent="0.3">
      <c r="B698" s="70"/>
    </row>
    <row r="699" spans="2:2" ht="15.75" customHeight="1" x14ac:dyDescent="0.3">
      <c r="B699" s="70"/>
    </row>
    <row r="700" spans="2:2" ht="15.75" customHeight="1" x14ac:dyDescent="0.3">
      <c r="B700" s="70"/>
    </row>
    <row r="701" spans="2:2" ht="15.75" customHeight="1" x14ac:dyDescent="0.3">
      <c r="B701" s="70"/>
    </row>
    <row r="702" spans="2:2" ht="15.75" customHeight="1" x14ac:dyDescent="0.3">
      <c r="B702" s="70"/>
    </row>
    <row r="703" spans="2:2" ht="15.75" customHeight="1" x14ac:dyDescent="0.3">
      <c r="B703" s="70"/>
    </row>
    <row r="704" spans="2:2" ht="15.75" customHeight="1" x14ac:dyDescent="0.3">
      <c r="B704" s="70"/>
    </row>
    <row r="705" spans="2:2" ht="15.75" customHeight="1" x14ac:dyDescent="0.3">
      <c r="B705" s="70"/>
    </row>
    <row r="706" spans="2:2" ht="15.75" customHeight="1" x14ac:dyDescent="0.3">
      <c r="B706" s="70"/>
    </row>
    <row r="707" spans="2:2" ht="15.75" customHeight="1" x14ac:dyDescent="0.3">
      <c r="B707" s="70"/>
    </row>
    <row r="708" spans="2:2" ht="15.75" customHeight="1" x14ac:dyDescent="0.3">
      <c r="B708" s="70"/>
    </row>
    <row r="709" spans="2:2" ht="15.75" customHeight="1" x14ac:dyDescent="0.3">
      <c r="B709" s="70"/>
    </row>
    <row r="710" spans="2:2" ht="15.75" customHeight="1" x14ac:dyDescent="0.3">
      <c r="B710" s="70"/>
    </row>
    <row r="711" spans="2:2" ht="15.75" customHeight="1" x14ac:dyDescent="0.3">
      <c r="B711" s="70"/>
    </row>
    <row r="712" spans="2:2" ht="15.75" customHeight="1" x14ac:dyDescent="0.3">
      <c r="B712" s="70"/>
    </row>
    <row r="713" spans="2:2" ht="15.75" customHeight="1" x14ac:dyDescent="0.3">
      <c r="B713" s="70"/>
    </row>
    <row r="714" spans="2:2" ht="15.75" customHeight="1" x14ac:dyDescent="0.3">
      <c r="B714" s="70"/>
    </row>
    <row r="715" spans="2:2" ht="15.75" customHeight="1" x14ac:dyDescent="0.3">
      <c r="B715" s="70"/>
    </row>
    <row r="716" spans="2:2" ht="15.75" customHeight="1" x14ac:dyDescent="0.3">
      <c r="B716" s="70"/>
    </row>
    <row r="717" spans="2:2" ht="15.75" customHeight="1" x14ac:dyDescent="0.3">
      <c r="B717" s="70"/>
    </row>
    <row r="718" spans="2:2" ht="15.75" customHeight="1" x14ac:dyDescent="0.3">
      <c r="B718" s="70"/>
    </row>
    <row r="719" spans="2:2" ht="15.75" customHeight="1" x14ac:dyDescent="0.3">
      <c r="B719" s="70"/>
    </row>
    <row r="720" spans="2:2" ht="15.75" customHeight="1" x14ac:dyDescent="0.3">
      <c r="B720" s="70"/>
    </row>
    <row r="721" spans="2:2" ht="15.75" customHeight="1" x14ac:dyDescent="0.3">
      <c r="B721" s="70"/>
    </row>
    <row r="722" spans="2:2" ht="15.75" customHeight="1" x14ac:dyDescent="0.3">
      <c r="B722" s="70"/>
    </row>
    <row r="723" spans="2:2" ht="15.75" customHeight="1" x14ac:dyDescent="0.3">
      <c r="B723" s="70"/>
    </row>
    <row r="724" spans="2:2" ht="15.75" customHeight="1" x14ac:dyDescent="0.3">
      <c r="B724" s="70"/>
    </row>
    <row r="725" spans="2:2" ht="15.75" customHeight="1" x14ac:dyDescent="0.3">
      <c r="B725" s="70"/>
    </row>
    <row r="726" spans="2:2" ht="15.75" customHeight="1" x14ac:dyDescent="0.3">
      <c r="B726" s="70"/>
    </row>
    <row r="727" spans="2:2" ht="15.75" customHeight="1" x14ac:dyDescent="0.3">
      <c r="B727" s="70"/>
    </row>
    <row r="728" spans="2:2" ht="15.75" customHeight="1" x14ac:dyDescent="0.3">
      <c r="B728" s="70"/>
    </row>
    <row r="729" spans="2:2" ht="15.75" customHeight="1" x14ac:dyDescent="0.3">
      <c r="B729" s="70"/>
    </row>
    <row r="730" spans="2:2" ht="15.75" customHeight="1" x14ac:dyDescent="0.3">
      <c r="B730" s="70"/>
    </row>
    <row r="731" spans="2:2" ht="15.75" customHeight="1" x14ac:dyDescent="0.3">
      <c r="B731" s="70"/>
    </row>
    <row r="732" spans="2:2" ht="15.75" customHeight="1" x14ac:dyDescent="0.3">
      <c r="B732" s="70"/>
    </row>
    <row r="733" spans="2:2" ht="15.75" customHeight="1" x14ac:dyDescent="0.3">
      <c r="B733" s="70"/>
    </row>
    <row r="734" spans="2:2" ht="15.75" customHeight="1" x14ac:dyDescent="0.3">
      <c r="B734" s="70"/>
    </row>
    <row r="735" spans="2:2" ht="15.75" customHeight="1" x14ac:dyDescent="0.3">
      <c r="B735" s="70"/>
    </row>
    <row r="736" spans="2:2" ht="15.75" customHeight="1" x14ac:dyDescent="0.3">
      <c r="B736" s="70"/>
    </row>
    <row r="737" spans="2:2" ht="15.75" customHeight="1" x14ac:dyDescent="0.3">
      <c r="B737" s="70"/>
    </row>
    <row r="738" spans="2:2" ht="15.75" customHeight="1" x14ac:dyDescent="0.3">
      <c r="B738" s="70"/>
    </row>
    <row r="739" spans="2:2" ht="15.75" customHeight="1" x14ac:dyDescent="0.3">
      <c r="B739" s="70"/>
    </row>
    <row r="740" spans="2:2" ht="15.75" customHeight="1" x14ac:dyDescent="0.3">
      <c r="B740" s="70"/>
    </row>
    <row r="741" spans="2:2" ht="15.75" customHeight="1" x14ac:dyDescent="0.3">
      <c r="B741" s="70"/>
    </row>
    <row r="742" spans="2:2" ht="15.75" customHeight="1" x14ac:dyDescent="0.3">
      <c r="B742" s="70"/>
    </row>
    <row r="743" spans="2:2" ht="15.75" customHeight="1" x14ac:dyDescent="0.3">
      <c r="B743" s="70"/>
    </row>
    <row r="744" spans="2:2" ht="15.75" customHeight="1" x14ac:dyDescent="0.3">
      <c r="B744" s="70"/>
    </row>
    <row r="745" spans="2:2" ht="15.75" customHeight="1" x14ac:dyDescent="0.3">
      <c r="B745" s="70"/>
    </row>
    <row r="746" spans="2:2" ht="15.75" customHeight="1" x14ac:dyDescent="0.3">
      <c r="B746" s="70"/>
    </row>
    <row r="747" spans="2:2" ht="15.75" customHeight="1" x14ac:dyDescent="0.3">
      <c r="B747" s="70"/>
    </row>
    <row r="748" spans="2:2" ht="15.75" customHeight="1" x14ac:dyDescent="0.3">
      <c r="B748" s="70"/>
    </row>
    <row r="749" spans="2:2" ht="15.75" customHeight="1" x14ac:dyDescent="0.3">
      <c r="B749" s="70"/>
    </row>
    <row r="750" spans="2:2" ht="15.75" customHeight="1" x14ac:dyDescent="0.3">
      <c r="B750" s="70"/>
    </row>
    <row r="751" spans="2:2" ht="15.75" customHeight="1" x14ac:dyDescent="0.3">
      <c r="B751" s="70"/>
    </row>
    <row r="752" spans="2:2" ht="15.75" customHeight="1" x14ac:dyDescent="0.3">
      <c r="B752" s="70"/>
    </row>
    <row r="753" spans="2:2" ht="15.75" customHeight="1" x14ac:dyDescent="0.3">
      <c r="B753" s="70"/>
    </row>
    <row r="754" spans="2:2" ht="15.75" customHeight="1" x14ac:dyDescent="0.3">
      <c r="B754" s="70"/>
    </row>
    <row r="755" spans="2:2" ht="15.75" customHeight="1" x14ac:dyDescent="0.3">
      <c r="B755" s="70"/>
    </row>
    <row r="756" spans="2:2" ht="15.75" customHeight="1" x14ac:dyDescent="0.3">
      <c r="B756" s="70"/>
    </row>
    <row r="757" spans="2:2" ht="15.75" customHeight="1" x14ac:dyDescent="0.3">
      <c r="B757" s="70"/>
    </row>
    <row r="758" spans="2:2" ht="15.75" customHeight="1" x14ac:dyDescent="0.3">
      <c r="B758" s="70"/>
    </row>
    <row r="759" spans="2:2" ht="15.75" customHeight="1" x14ac:dyDescent="0.3">
      <c r="B759" s="70"/>
    </row>
    <row r="760" spans="2:2" ht="15.75" customHeight="1" x14ac:dyDescent="0.3">
      <c r="B760" s="70"/>
    </row>
    <row r="761" spans="2:2" ht="15.75" customHeight="1" x14ac:dyDescent="0.3">
      <c r="B761" s="70"/>
    </row>
    <row r="762" spans="2:2" ht="15.75" customHeight="1" x14ac:dyDescent="0.3">
      <c r="B762" s="70"/>
    </row>
    <row r="763" spans="2:2" ht="15.75" customHeight="1" x14ac:dyDescent="0.3">
      <c r="B763" s="70"/>
    </row>
    <row r="764" spans="2:2" ht="15.75" customHeight="1" x14ac:dyDescent="0.3">
      <c r="B764" s="70"/>
    </row>
    <row r="765" spans="2:2" ht="15.75" customHeight="1" x14ac:dyDescent="0.3">
      <c r="B765" s="70"/>
    </row>
    <row r="766" spans="2:2" ht="15.75" customHeight="1" x14ac:dyDescent="0.3">
      <c r="B766" s="70"/>
    </row>
    <row r="767" spans="2:2" ht="15.75" customHeight="1" x14ac:dyDescent="0.3">
      <c r="B767" s="70"/>
    </row>
    <row r="768" spans="2:2" ht="15.75" customHeight="1" x14ac:dyDescent="0.3">
      <c r="B768" s="70"/>
    </row>
    <row r="769" spans="2:2" ht="15.75" customHeight="1" x14ac:dyDescent="0.3">
      <c r="B769" s="70"/>
    </row>
    <row r="770" spans="2:2" ht="15.75" customHeight="1" x14ac:dyDescent="0.3">
      <c r="B770" s="70"/>
    </row>
    <row r="771" spans="2:2" ht="15.75" customHeight="1" x14ac:dyDescent="0.3">
      <c r="B771" s="70"/>
    </row>
    <row r="772" spans="2:2" ht="15.75" customHeight="1" x14ac:dyDescent="0.3">
      <c r="B772" s="70"/>
    </row>
    <row r="773" spans="2:2" ht="15.75" customHeight="1" x14ac:dyDescent="0.3">
      <c r="B773" s="70"/>
    </row>
    <row r="774" spans="2:2" ht="15.75" customHeight="1" x14ac:dyDescent="0.3">
      <c r="B774" s="70"/>
    </row>
    <row r="775" spans="2:2" ht="15.75" customHeight="1" x14ac:dyDescent="0.3">
      <c r="B775" s="70"/>
    </row>
    <row r="776" spans="2:2" ht="15.75" customHeight="1" x14ac:dyDescent="0.3">
      <c r="B776" s="70"/>
    </row>
    <row r="777" spans="2:2" ht="15.75" customHeight="1" x14ac:dyDescent="0.3">
      <c r="B777" s="70"/>
    </row>
    <row r="778" spans="2:2" ht="15.75" customHeight="1" x14ac:dyDescent="0.3">
      <c r="B778" s="70"/>
    </row>
    <row r="779" spans="2:2" ht="15.75" customHeight="1" x14ac:dyDescent="0.3">
      <c r="B779" s="70"/>
    </row>
    <row r="780" spans="2:2" ht="15.75" customHeight="1" x14ac:dyDescent="0.3">
      <c r="B780" s="70"/>
    </row>
    <row r="781" spans="2:2" ht="15.75" customHeight="1" x14ac:dyDescent="0.3">
      <c r="B781" s="70"/>
    </row>
    <row r="782" spans="2:2" ht="15.75" customHeight="1" x14ac:dyDescent="0.3">
      <c r="B782" s="70"/>
    </row>
    <row r="783" spans="2:2" ht="15.75" customHeight="1" x14ac:dyDescent="0.3">
      <c r="B783" s="70"/>
    </row>
    <row r="784" spans="2:2" ht="15.75" customHeight="1" x14ac:dyDescent="0.3">
      <c r="B784" s="70"/>
    </row>
    <row r="785" spans="2:2" ht="15.75" customHeight="1" x14ac:dyDescent="0.3">
      <c r="B785" s="70"/>
    </row>
    <row r="786" spans="2:2" ht="15.75" customHeight="1" x14ac:dyDescent="0.3">
      <c r="B786" s="70"/>
    </row>
    <row r="787" spans="2:2" ht="15.75" customHeight="1" x14ac:dyDescent="0.3">
      <c r="B787" s="70"/>
    </row>
    <row r="788" spans="2:2" ht="15.75" customHeight="1" x14ac:dyDescent="0.3">
      <c r="B788" s="70"/>
    </row>
    <row r="789" spans="2:2" ht="15.75" customHeight="1" x14ac:dyDescent="0.3">
      <c r="B789" s="70"/>
    </row>
    <row r="790" spans="2:2" ht="15.75" customHeight="1" x14ac:dyDescent="0.3">
      <c r="B790" s="70"/>
    </row>
    <row r="791" spans="2:2" ht="15.75" customHeight="1" x14ac:dyDescent="0.3">
      <c r="B791" s="70"/>
    </row>
    <row r="792" spans="2:2" ht="15.75" customHeight="1" x14ac:dyDescent="0.3">
      <c r="B792" s="70"/>
    </row>
    <row r="793" spans="2:2" ht="15.75" customHeight="1" x14ac:dyDescent="0.3">
      <c r="B793" s="70"/>
    </row>
    <row r="794" spans="2:2" ht="15.75" customHeight="1" x14ac:dyDescent="0.3">
      <c r="B794" s="70"/>
    </row>
    <row r="795" spans="2:2" ht="15.75" customHeight="1" x14ac:dyDescent="0.3">
      <c r="B795" s="70"/>
    </row>
    <row r="796" spans="2:2" ht="15.75" customHeight="1" x14ac:dyDescent="0.3">
      <c r="B796" s="70"/>
    </row>
    <row r="797" spans="2:2" ht="15.75" customHeight="1" x14ac:dyDescent="0.3">
      <c r="B797" s="70"/>
    </row>
    <row r="798" spans="2:2" ht="15.75" customHeight="1" x14ac:dyDescent="0.3">
      <c r="B798" s="70"/>
    </row>
    <row r="799" spans="2:2" ht="15.75" customHeight="1" x14ac:dyDescent="0.3">
      <c r="B799" s="70"/>
    </row>
    <row r="800" spans="2:2" ht="15.75" customHeight="1" x14ac:dyDescent="0.3">
      <c r="B800" s="70"/>
    </row>
    <row r="801" spans="2:2" ht="15.75" customHeight="1" x14ac:dyDescent="0.3">
      <c r="B801" s="70"/>
    </row>
    <row r="802" spans="2:2" ht="15.75" customHeight="1" x14ac:dyDescent="0.3">
      <c r="B802" s="70"/>
    </row>
    <row r="803" spans="2:2" ht="15.75" customHeight="1" x14ac:dyDescent="0.3">
      <c r="B803" s="70"/>
    </row>
    <row r="804" spans="2:2" ht="15.75" customHeight="1" x14ac:dyDescent="0.3">
      <c r="B804" s="70"/>
    </row>
    <row r="805" spans="2:2" ht="15.75" customHeight="1" x14ac:dyDescent="0.3">
      <c r="B805" s="70"/>
    </row>
    <row r="806" spans="2:2" ht="15.75" customHeight="1" x14ac:dyDescent="0.3">
      <c r="B806" s="70"/>
    </row>
    <row r="807" spans="2:2" ht="15.75" customHeight="1" x14ac:dyDescent="0.3">
      <c r="B807" s="70"/>
    </row>
    <row r="808" spans="2:2" ht="15.75" customHeight="1" x14ac:dyDescent="0.3">
      <c r="B808" s="70"/>
    </row>
    <row r="809" spans="2:2" ht="15.75" customHeight="1" x14ac:dyDescent="0.3">
      <c r="B809" s="70"/>
    </row>
    <row r="810" spans="2:2" ht="15.75" customHeight="1" x14ac:dyDescent="0.3">
      <c r="B810" s="70"/>
    </row>
    <row r="811" spans="2:2" ht="15.75" customHeight="1" x14ac:dyDescent="0.3">
      <c r="B811" s="70"/>
    </row>
    <row r="812" spans="2:2" ht="15.75" customHeight="1" x14ac:dyDescent="0.3">
      <c r="B812" s="70"/>
    </row>
    <row r="813" spans="2:2" ht="15.75" customHeight="1" x14ac:dyDescent="0.3">
      <c r="B813" s="70"/>
    </row>
    <row r="814" spans="2:2" ht="15.75" customHeight="1" x14ac:dyDescent="0.3">
      <c r="B814" s="70"/>
    </row>
    <row r="815" spans="2:2" ht="15.75" customHeight="1" x14ac:dyDescent="0.3">
      <c r="B815" s="70"/>
    </row>
    <row r="816" spans="2:2" ht="15.75" customHeight="1" x14ac:dyDescent="0.3">
      <c r="B816" s="70"/>
    </row>
    <row r="817" spans="2:2" ht="15.75" customHeight="1" x14ac:dyDescent="0.3">
      <c r="B817" s="70"/>
    </row>
    <row r="818" spans="2:2" ht="15.75" customHeight="1" x14ac:dyDescent="0.3">
      <c r="B818" s="70"/>
    </row>
    <row r="819" spans="2:2" ht="15.75" customHeight="1" x14ac:dyDescent="0.3">
      <c r="B819" s="70"/>
    </row>
    <row r="820" spans="2:2" ht="15.75" customHeight="1" x14ac:dyDescent="0.3">
      <c r="B820" s="70"/>
    </row>
    <row r="821" spans="2:2" ht="15.75" customHeight="1" x14ac:dyDescent="0.3">
      <c r="B821" s="70"/>
    </row>
    <row r="822" spans="2:2" ht="15.75" customHeight="1" x14ac:dyDescent="0.3">
      <c r="B822" s="70"/>
    </row>
    <row r="823" spans="2:2" ht="15.75" customHeight="1" x14ac:dyDescent="0.3">
      <c r="B823" s="70"/>
    </row>
    <row r="824" spans="2:2" ht="15.75" customHeight="1" x14ac:dyDescent="0.3">
      <c r="B824" s="70"/>
    </row>
    <row r="825" spans="2:2" ht="15.75" customHeight="1" x14ac:dyDescent="0.3">
      <c r="B825" s="70"/>
    </row>
    <row r="826" spans="2:2" ht="15.75" customHeight="1" x14ac:dyDescent="0.3">
      <c r="B826" s="70"/>
    </row>
    <row r="827" spans="2:2" ht="15.75" customHeight="1" x14ac:dyDescent="0.3">
      <c r="B827" s="70"/>
    </row>
    <row r="828" spans="2:2" ht="15.75" customHeight="1" x14ac:dyDescent="0.3">
      <c r="B828" s="70"/>
    </row>
    <row r="829" spans="2:2" ht="15.75" customHeight="1" x14ac:dyDescent="0.3">
      <c r="B829" s="70"/>
    </row>
    <row r="830" spans="2:2" ht="15.75" customHeight="1" x14ac:dyDescent="0.3">
      <c r="B830" s="70"/>
    </row>
    <row r="831" spans="2:2" ht="15.75" customHeight="1" x14ac:dyDescent="0.3">
      <c r="B831" s="70"/>
    </row>
    <row r="832" spans="2:2" ht="15.75" customHeight="1" x14ac:dyDescent="0.3">
      <c r="B832" s="70"/>
    </row>
    <row r="833" spans="2:2" ht="15.75" customHeight="1" x14ac:dyDescent="0.3">
      <c r="B833" s="70"/>
    </row>
    <row r="834" spans="2:2" ht="15.75" customHeight="1" x14ac:dyDescent="0.3">
      <c r="B834" s="70"/>
    </row>
    <row r="835" spans="2:2" ht="15.75" customHeight="1" x14ac:dyDescent="0.3">
      <c r="B835" s="70"/>
    </row>
    <row r="836" spans="2:2" ht="15.75" customHeight="1" x14ac:dyDescent="0.3">
      <c r="B836" s="70"/>
    </row>
    <row r="837" spans="2:2" ht="15.75" customHeight="1" x14ac:dyDescent="0.3">
      <c r="B837" s="70"/>
    </row>
    <row r="838" spans="2:2" ht="15.75" customHeight="1" x14ac:dyDescent="0.3">
      <c r="B838" s="70"/>
    </row>
    <row r="839" spans="2:2" ht="15.75" customHeight="1" x14ac:dyDescent="0.3">
      <c r="B839" s="70"/>
    </row>
    <row r="840" spans="2:2" ht="15.75" customHeight="1" x14ac:dyDescent="0.3">
      <c r="B840" s="70"/>
    </row>
    <row r="841" spans="2:2" ht="15.75" customHeight="1" x14ac:dyDescent="0.3">
      <c r="B841" s="70"/>
    </row>
    <row r="842" spans="2:2" ht="15.75" customHeight="1" x14ac:dyDescent="0.3">
      <c r="B842" s="70"/>
    </row>
    <row r="843" spans="2:2" ht="15.75" customHeight="1" x14ac:dyDescent="0.3">
      <c r="B843" s="70"/>
    </row>
    <row r="844" spans="2:2" ht="15.75" customHeight="1" x14ac:dyDescent="0.3">
      <c r="B844" s="70"/>
    </row>
    <row r="845" spans="2:2" ht="15.75" customHeight="1" x14ac:dyDescent="0.3">
      <c r="B845" s="70"/>
    </row>
    <row r="846" spans="2:2" ht="15.75" customHeight="1" x14ac:dyDescent="0.3">
      <c r="B846" s="70"/>
    </row>
    <row r="847" spans="2:2" ht="15.75" customHeight="1" x14ac:dyDescent="0.3">
      <c r="B847" s="70"/>
    </row>
    <row r="848" spans="2:2" ht="15.75" customHeight="1" x14ac:dyDescent="0.3">
      <c r="B848" s="70"/>
    </row>
    <row r="849" spans="2:2" ht="15.75" customHeight="1" x14ac:dyDescent="0.3">
      <c r="B849" s="70"/>
    </row>
    <row r="850" spans="2:2" ht="15.75" customHeight="1" x14ac:dyDescent="0.3">
      <c r="B850" s="70"/>
    </row>
    <row r="851" spans="2:2" ht="15.75" customHeight="1" x14ac:dyDescent="0.3">
      <c r="B851" s="70"/>
    </row>
    <row r="852" spans="2:2" ht="15.75" customHeight="1" x14ac:dyDescent="0.3">
      <c r="B852" s="70"/>
    </row>
    <row r="853" spans="2:2" ht="15.75" customHeight="1" x14ac:dyDescent="0.3">
      <c r="B853" s="70"/>
    </row>
    <row r="854" spans="2:2" ht="15.75" customHeight="1" x14ac:dyDescent="0.3">
      <c r="B854" s="70"/>
    </row>
    <row r="855" spans="2:2" ht="15.75" customHeight="1" x14ac:dyDescent="0.3">
      <c r="B855" s="70"/>
    </row>
    <row r="856" spans="2:2" ht="15.75" customHeight="1" x14ac:dyDescent="0.3">
      <c r="B856" s="70"/>
    </row>
    <row r="857" spans="2:2" ht="15.75" customHeight="1" x14ac:dyDescent="0.3">
      <c r="B857" s="70"/>
    </row>
    <row r="858" spans="2:2" ht="15.75" customHeight="1" x14ac:dyDescent="0.3">
      <c r="B858" s="70"/>
    </row>
    <row r="859" spans="2:2" ht="15.75" customHeight="1" x14ac:dyDescent="0.3">
      <c r="B859" s="70"/>
    </row>
    <row r="860" spans="2:2" ht="15.75" customHeight="1" x14ac:dyDescent="0.3">
      <c r="B860" s="70"/>
    </row>
    <row r="861" spans="2:2" ht="15.75" customHeight="1" x14ac:dyDescent="0.3">
      <c r="B861" s="70"/>
    </row>
    <row r="862" spans="2:2" ht="15.75" customHeight="1" x14ac:dyDescent="0.3">
      <c r="B862" s="70"/>
    </row>
    <row r="863" spans="2:2" ht="15.75" customHeight="1" x14ac:dyDescent="0.3">
      <c r="B863" s="70"/>
    </row>
    <row r="864" spans="2:2" ht="15.75" customHeight="1" x14ac:dyDescent="0.3">
      <c r="B864" s="70"/>
    </row>
    <row r="865" spans="2:2" ht="15.75" customHeight="1" x14ac:dyDescent="0.3">
      <c r="B865" s="70"/>
    </row>
    <row r="866" spans="2:2" ht="15.75" customHeight="1" x14ac:dyDescent="0.3">
      <c r="B866" s="70"/>
    </row>
    <row r="867" spans="2:2" ht="15.75" customHeight="1" x14ac:dyDescent="0.3">
      <c r="B867" s="70"/>
    </row>
    <row r="868" spans="2:2" ht="15.75" customHeight="1" x14ac:dyDescent="0.3">
      <c r="B868" s="70"/>
    </row>
    <row r="869" spans="2:2" ht="15.75" customHeight="1" x14ac:dyDescent="0.3">
      <c r="B869" s="70"/>
    </row>
    <row r="870" spans="2:2" ht="15.75" customHeight="1" x14ac:dyDescent="0.3">
      <c r="B870" s="70"/>
    </row>
    <row r="871" spans="2:2" ht="15.75" customHeight="1" x14ac:dyDescent="0.3">
      <c r="B871" s="70"/>
    </row>
    <row r="872" spans="2:2" ht="15.75" customHeight="1" x14ac:dyDescent="0.3">
      <c r="B872" s="70"/>
    </row>
    <row r="873" spans="2:2" ht="15.75" customHeight="1" x14ac:dyDescent="0.3">
      <c r="B873" s="70"/>
    </row>
    <row r="874" spans="2:2" ht="15.75" customHeight="1" x14ac:dyDescent="0.3">
      <c r="B874" s="70"/>
    </row>
    <row r="875" spans="2:2" ht="15.75" customHeight="1" x14ac:dyDescent="0.3">
      <c r="B875" s="70"/>
    </row>
    <row r="876" spans="2:2" ht="15.75" customHeight="1" x14ac:dyDescent="0.3">
      <c r="B876" s="70"/>
    </row>
    <row r="877" spans="2:2" ht="15.75" customHeight="1" x14ac:dyDescent="0.3">
      <c r="B877" s="70"/>
    </row>
    <row r="878" spans="2:2" ht="15.75" customHeight="1" x14ac:dyDescent="0.3">
      <c r="B878" s="70"/>
    </row>
    <row r="879" spans="2:2" ht="15.75" customHeight="1" x14ac:dyDescent="0.3">
      <c r="B879" s="70"/>
    </row>
    <row r="880" spans="2:2" ht="15.75" customHeight="1" x14ac:dyDescent="0.3">
      <c r="B880" s="70"/>
    </row>
    <row r="881" spans="2:2" ht="15.75" customHeight="1" x14ac:dyDescent="0.3">
      <c r="B881" s="70"/>
    </row>
    <row r="882" spans="2:2" ht="15.75" customHeight="1" x14ac:dyDescent="0.3">
      <c r="B882" s="70"/>
    </row>
    <row r="883" spans="2:2" ht="15.75" customHeight="1" x14ac:dyDescent="0.3">
      <c r="B883" s="70"/>
    </row>
    <row r="884" spans="2:2" ht="15.75" customHeight="1" x14ac:dyDescent="0.3">
      <c r="B884" s="70"/>
    </row>
    <row r="885" spans="2:2" ht="15.75" customHeight="1" x14ac:dyDescent="0.3">
      <c r="B885" s="70"/>
    </row>
    <row r="886" spans="2:2" ht="15.75" customHeight="1" x14ac:dyDescent="0.3">
      <c r="B886" s="70"/>
    </row>
    <row r="887" spans="2:2" ht="15.75" customHeight="1" x14ac:dyDescent="0.3">
      <c r="B887" s="70"/>
    </row>
    <row r="888" spans="2:2" ht="15.75" customHeight="1" x14ac:dyDescent="0.3">
      <c r="B888" s="70"/>
    </row>
    <row r="889" spans="2:2" ht="15.75" customHeight="1" x14ac:dyDescent="0.3">
      <c r="B889" s="70"/>
    </row>
    <row r="890" spans="2:2" ht="15.75" customHeight="1" x14ac:dyDescent="0.3">
      <c r="B890" s="70"/>
    </row>
    <row r="891" spans="2:2" ht="15.75" customHeight="1" x14ac:dyDescent="0.3">
      <c r="B891" s="70"/>
    </row>
    <row r="892" spans="2:2" ht="15.75" customHeight="1" x14ac:dyDescent="0.3">
      <c r="B892" s="70"/>
    </row>
    <row r="893" spans="2:2" ht="15.75" customHeight="1" x14ac:dyDescent="0.3">
      <c r="B893" s="70"/>
    </row>
    <row r="894" spans="2:2" ht="15.75" customHeight="1" x14ac:dyDescent="0.3">
      <c r="B894" s="70"/>
    </row>
    <row r="895" spans="2:2" ht="15.75" customHeight="1" x14ac:dyDescent="0.3">
      <c r="B895" s="70"/>
    </row>
    <row r="896" spans="2:2" ht="15.75" customHeight="1" x14ac:dyDescent="0.3">
      <c r="B896" s="70"/>
    </row>
    <row r="897" spans="2:2" ht="15.75" customHeight="1" x14ac:dyDescent="0.3">
      <c r="B897" s="70"/>
    </row>
    <row r="898" spans="2:2" ht="15.75" customHeight="1" x14ac:dyDescent="0.3">
      <c r="B898" s="70"/>
    </row>
    <row r="899" spans="2:2" ht="15.75" customHeight="1" x14ac:dyDescent="0.3">
      <c r="B899" s="70"/>
    </row>
    <row r="900" spans="2:2" ht="15.75" customHeight="1" x14ac:dyDescent="0.3">
      <c r="B900" s="70"/>
    </row>
    <row r="901" spans="2:2" ht="15.75" customHeight="1" x14ac:dyDescent="0.3">
      <c r="B901" s="70"/>
    </row>
    <row r="902" spans="2:2" ht="15.75" customHeight="1" x14ac:dyDescent="0.3">
      <c r="B902" s="70"/>
    </row>
    <row r="903" spans="2:2" ht="15.75" customHeight="1" x14ac:dyDescent="0.3">
      <c r="B903" s="70"/>
    </row>
    <row r="904" spans="2:2" ht="15.75" customHeight="1" x14ac:dyDescent="0.3">
      <c r="B904" s="70"/>
    </row>
    <row r="905" spans="2:2" ht="15.75" customHeight="1" x14ac:dyDescent="0.3">
      <c r="B905" s="70"/>
    </row>
    <row r="906" spans="2:2" ht="15.75" customHeight="1" x14ac:dyDescent="0.3">
      <c r="B906" s="70"/>
    </row>
    <row r="907" spans="2:2" ht="15.75" customHeight="1" x14ac:dyDescent="0.3">
      <c r="B907" s="70"/>
    </row>
    <row r="908" spans="2:2" ht="15.75" customHeight="1" x14ac:dyDescent="0.3">
      <c r="B908" s="70"/>
    </row>
    <row r="909" spans="2:2" ht="15.75" customHeight="1" x14ac:dyDescent="0.3">
      <c r="B909" s="70"/>
    </row>
    <row r="910" spans="2:2" ht="15.75" customHeight="1" x14ac:dyDescent="0.3">
      <c r="B910" s="70"/>
    </row>
    <row r="911" spans="2:2" ht="15.75" customHeight="1" x14ac:dyDescent="0.3">
      <c r="B911" s="70"/>
    </row>
    <row r="912" spans="2:2" ht="15.75" customHeight="1" x14ac:dyDescent="0.3">
      <c r="B912" s="70"/>
    </row>
    <row r="913" spans="2:2" ht="15.75" customHeight="1" x14ac:dyDescent="0.3">
      <c r="B913" s="70"/>
    </row>
    <row r="914" spans="2:2" ht="15.75" customHeight="1" x14ac:dyDescent="0.3">
      <c r="B914" s="70"/>
    </row>
    <row r="915" spans="2:2" ht="15.75" customHeight="1" x14ac:dyDescent="0.3">
      <c r="B915" s="70"/>
    </row>
    <row r="916" spans="2:2" ht="15.75" customHeight="1" x14ac:dyDescent="0.3">
      <c r="B916" s="70"/>
    </row>
    <row r="917" spans="2:2" ht="15.75" customHeight="1" x14ac:dyDescent="0.3">
      <c r="B917" s="70"/>
    </row>
    <row r="918" spans="2:2" ht="15.75" customHeight="1" x14ac:dyDescent="0.3">
      <c r="B918" s="70"/>
    </row>
    <row r="919" spans="2:2" ht="15.75" customHeight="1" x14ac:dyDescent="0.3">
      <c r="B919" s="70"/>
    </row>
    <row r="920" spans="2:2" ht="15.75" customHeight="1" x14ac:dyDescent="0.3">
      <c r="B920" s="70"/>
    </row>
    <row r="921" spans="2:2" ht="15.75" customHeight="1" x14ac:dyDescent="0.3">
      <c r="B921" s="70"/>
    </row>
    <row r="922" spans="2:2" ht="15.75" customHeight="1" x14ac:dyDescent="0.3">
      <c r="B922" s="70"/>
    </row>
    <row r="923" spans="2:2" ht="15.75" customHeight="1" x14ac:dyDescent="0.3">
      <c r="B923" s="70"/>
    </row>
    <row r="924" spans="2:2" ht="15.75" customHeight="1" x14ac:dyDescent="0.3">
      <c r="B924" s="70"/>
    </row>
    <row r="925" spans="2:2" ht="15.75" customHeight="1" x14ac:dyDescent="0.3">
      <c r="B925" s="70"/>
    </row>
    <row r="926" spans="2:2" ht="15.75" customHeight="1" x14ac:dyDescent="0.3">
      <c r="B926" s="70"/>
    </row>
    <row r="927" spans="2:2" ht="15.75" customHeight="1" x14ac:dyDescent="0.3">
      <c r="B927" s="70"/>
    </row>
    <row r="928" spans="2:2" ht="15.75" customHeight="1" x14ac:dyDescent="0.3">
      <c r="B928" s="70"/>
    </row>
    <row r="929" spans="2:2" ht="15.75" customHeight="1" x14ac:dyDescent="0.3">
      <c r="B929" s="70"/>
    </row>
    <row r="930" spans="2:2" ht="15.75" customHeight="1" x14ac:dyDescent="0.3">
      <c r="B930" s="70"/>
    </row>
    <row r="931" spans="2:2" ht="15.75" customHeight="1" x14ac:dyDescent="0.3">
      <c r="B931" s="70"/>
    </row>
    <row r="932" spans="2:2" ht="15.75" customHeight="1" x14ac:dyDescent="0.3">
      <c r="B932" s="70"/>
    </row>
    <row r="933" spans="2:2" ht="15.75" customHeight="1" x14ac:dyDescent="0.3">
      <c r="B933" s="70"/>
    </row>
    <row r="934" spans="2:2" ht="15.75" customHeight="1" x14ac:dyDescent="0.3">
      <c r="B934" s="70"/>
    </row>
    <row r="935" spans="2:2" ht="15.75" customHeight="1" x14ac:dyDescent="0.3">
      <c r="B935" s="70"/>
    </row>
    <row r="936" spans="2:2" ht="15.75" customHeight="1" x14ac:dyDescent="0.3">
      <c r="B936" s="70"/>
    </row>
    <row r="937" spans="2:2" ht="15.75" customHeight="1" x14ac:dyDescent="0.3">
      <c r="B937" s="70"/>
    </row>
    <row r="938" spans="2:2" ht="15.75" customHeight="1" x14ac:dyDescent="0.3">
      <c r="B938" s="70"/>
    </row>
    <row r="939" spans="2:2" ht="15.75" customHeight="1" x14ac:dyDescent="0.3">
      <c r="B939" s="70"/>
    </row>
    <row r="940" spans="2:2" ht="15.75" customHeight="1" x14ac:dyDescent="0.3">
      <c r="B940" s="70"/>
    </row>
    <row r="941" spans="2:2" ht="15.75" customHeight="1" x14ac:dyDescent="0.3">
      <c r="B941" s="70"/>
    </row>
    <row r="942" spans="2:2" ht="15.75" customHeight="1" x14ac:dyDescent="0.3">
      <c r="B942" s="70"/>
    </row>
    <row r="943" spans="2:2" ht="15.75" customHeight="1" x14ac:dyDescent="0.3">
      <c r="B943" s="70"/>
    </row>
    <row r="944" spans="2:2" ht="15.75" customHeight="1" x14ac:dyDescent="0.3">
      <c r="B944" s="70"/>
    </row>
    <row r="945" spans="2:2" ht="15.75" customHeight="1" x14ac:dyDescent="0.3">
      <c r="B945" s="70"/>
    </row>
    <row r="946" spans="2:2" ht="15.75" customHeight="1" x14ac:dyDescent="0.3">
      <c r="B946" s="70"/>
    </row>
    <row r="947" spans="2:2" ht="15.75" customHeight="1" x14ac:dyDescent="0.3">
      <c r="B947" s="70"/>
    </row>
    <row r="948" spans="2:2" ht="15.75" customHeight="1" x14ac:dyDescent="0.3">
      <c r="B948" s="70"/>
    </row>
    <row r="949" spans="2:2" ht="15.75" customHeight="1" x14ac:dyDescent="0.3">
      <c r="B949" s="70"/>
    </row>
    <row r="950" spans="2:2" ht="15.75" customHeight="1" x14ac:dyDescent="0.3">
      <c r="B950" s="70"/>
    </row>
    <row r="951" spans="2:2" ht="15.75" customHeight="1" x14ac:dyDescent="0.3">
      <c r="B951" s="70"/>
    </row>
    <row r="952" spans="2:2" ht="15.75" customHeight="1" x14ac:dyDescent="0.3">
      <c r="B952" s="70"/>
    </row>
    <row r="953" spans="2:2" ht="15.75" customHeight="1" x14ac:dyDescent="0.3">
      <c r="B953" s="70"/>
    </row>
    <row r="954" spans="2:2" ht="15.75" customHeight="1" x14ac:dyDescent="0.3">
      <c r="B954" s="70"/>
    </row>
    <row r="955" spans="2:2" ht="15.75" customHeight="1" x14ac:dyDescent="0.3">
      <c r="B955" s="70"/>
    </row>
    <row r="956" spans="2:2" ht="15.75" customHeight="1" x14ac:dyDescent="0.3">
      <c r="B956" s="70"/>
    </row>
    <row r="957" spans="2:2" ht="15.75" customHeight="1" x14ac:dyDescent="0.3">
      <c r="B957" s="70"/>
    </row>
    <row r="958" spans="2:2" ht="15.75" customHeight="1" x14ac:dyDescent="0.3">
      <c r="B958" s="70"/>
    </row>
    <row r="959" spans="2:2" ht="15.75" customHeight="1" x14ac:dyDescent="0.3">
      <c r="B959" s="70"/>
    </row>
    <row r="960" spans="2:2" ht="15.75" customHeight="1" x14ac:dyDescent="0.3">
      <c r="B960" s="70"/>
    </row>
    <row r="961" spans="2:2" ht="15.75" customHeight="1" x14ac:dyDescent="0.3">
      <c r="B961" s="70"/>
    </row>
    <row r="962" spans="2:2" ht="15.75" customHeight="1" x14ac:dyDescent="0.3">
      <c r="B962" s="70"/>
    </row>
    <row r="963" spans="2:2" ht="15.75" customHeight="1" x14ac:dyDescent="0.3">
      <c r="B963" s="70"/>
    </row>
    <row r="964" spans="2:2" ht="15.75" customHeight="1" x14ac:dyDescent="0.3">
      <c r="B964" s="70"/>
    </row>
    <row r="965" spans="2:2" ht="15.75" customHeight="1" x14ac:dyDescent="0.3">
      <c r="B965" s="70"/>
    </row>
    <row r="966" spans="2:2" ht="15.75" customHeight="1" x14ac:dyDescent="0.3">
      <c r="B966" s="70"/>
    </row>
    <row r="967" spans="2:2" ht="15.75" customHeight="1" x14ac:dyDescent="0.3">
      <c r="B967" s="70"/>
    </row>
    <row r="968" spans="2:2" ht="15.75" customHeight="1" x14ac:dyDescent="0.3">
      <c r="B968" s="70"/>
    </row>
    <row r="969" spans="2:2" ht="15.75" customHeight="1" x14ac:dyDescent="0.3">
      <c r="B969" s="70"/>
    </row>
    <row r="970" spans="2:2" ht="15.75" customHeight="1" x14ac:dyDescent="0.3">
      <c r="B970" s="70"/>
    </row>
    <row r="971" spans="2:2" ht="15.75" customHeight="1" x14ac:dyDescent="0.3">
      <c r="B971" s="70"/>
    </row>
    <row r="972" spans="2:2" ht="15.75" customHeight="1" x14ac:dyDescent="0.3">
      <c r="B972" s="70"/>
    </row>
    <row r="973" spans="2:2" ht="15.75" customHeight="1" x14ac:dyDescent="0.3">
      <c r="B973" s="70"/>
    </row>
    <row r="974" spans="2:2" ht="15.75" customHeight="1" x14ac:dyDescent="0.3">
      <c r="B974" s="70"/>
    </row>
    <row r="975" spans="2:2" ht="15.75" customHeight="1" x14ac:dyDescent="0.3">
      <c r="B975" s="70"/>
    </row>
    <row r="976" spans="2:2" ht="15.75" customHeight="1" x14ac:dyDescent="0.3">
      <c r="B976" s="70"/>
    </row>
    <row r="977" spans="2:2" ht="15.75" customHeight="1" x14ac:dyDescent="0.3">
      <c r="B977" s="70"/>
    </row>
    <row r="978" spans="2:2" ht="15.75" customHeight="1" x14ac:dyDescent="0.3">
      <c r="B978" s="70"/>
    </row>
    <row r="979" spans="2:2" ht="15.75" customHeight="1" x14ac:dyDescent="0.3">
      <c r="B979" s="70"/>
    </row>
    <row r="980" spans="2:2" ht="15.75" customHeight="1" x14ac:dyDescent="0.3">
      <c r="B980" s="70"/>
    </row>
    <row r="981" spans="2:2" ht="15.75" customHeight="1" x14ac:dyDescent="0.3">
      <c r="B981" s="70"/>
    </row>
    <row r="982" spans="2:2" ht="15.75" customHeight="1" x14ac:dyDescent="0.3">
      <c r="B982" s="70"/>
    </row>
    <row r="983" spans="2:2" ht="15.75" customHeight="1" x14ac:dyDescent="0.3">
      <c r="B983" s="70"/>
    </row>
    <row r="984" spans="2:2" ht="15.75" customHeight="1" x14ac:dyDescent="0.3">
      <c r="B984" s="70"/>
    </row>
    <row r="985" spans="2:2" ht="15.75" customHeight="1" x14ac:dyDescent="0.3">
      <c r="B985" s="70"/>
    </row>
    <row r="986" spans="2:2" ht="15.75" customHeight="1" x14ac:dyDescent="0.3">
      <c r="B986" s="70"/>
    </row>
    <row r="987" spans="2:2" ht="15.75" customHeight="1" x14ac:dyDescent="0.3">
      <c r="B987" s="70"/>
    </row>
    <row r="988" spans="2:2" ht="15.75" customHeight="1" x14ac:dyDescent="0.3">
      <c r="B988" s="70"/>
    </row>
    <row r="989" spans="2:2" ht="15.75" customHeight="1" x14ac:dyDescent="0.3">
      <c r="B989" s="70"/>
    </row>
    <row r="990" spans="2:2" ht="15.75" customHeight="1" x14ac:dyDescent="0.3">
      <c r="B990" s="70"/>
    </row>
    <row r="991" spans="2:2" ht="15.75" customHeight="1" x14ac:dyDescent="0.3">
      <c r="B991" s="70"/>
    </row>
    <row r="992" spans="2:2" ht="15.75" customHeight="1" x14ac:dyDescent="0.3">
      <c r="B992" s="70"/>
    </row>
    <row r="993" spans="2:2" ht="15.75" customHeight="1" x14ac:dyDescent="0.3">
      <c r="B993" s="70"/>
    </row>
    <row r="994" spans="2:2" ht="15.75" customHeight="1" x14ac:dyDescent="0.3">
      <c r="B994" s="70"/>
    </row>
    <row r="995" spans="2:2" ht="15.75" customHeight="1" x14ac:dyDescent="0.3">
      <c r="B995" s="70"/>
    </row>
    <row r="996" spans="2:2" ht="15.75" customHeight="1" x14ac:dyDescent="0.3">
      <c r="B996" s="70"/>
    </row>
    <row r="997" spans="2:2" ht="15.75" customHeight="1" x14ac:dyDescent="0.3">
      <c r="B997" s="70"/>
    </row>
    <row r="998" spans="2:2" ht="15.75" customHeight="1" x14ac:dyDescent="0.3">
      <c r="B998" s="70"/>
    </row>
    <row r="999" spans="2:2" ht="15.75" customHeight="1" x14ac:dyDescent="0.3">
      <c r="B999" s="70"/>
    </row>
    <row r="1000" spans="2:2" ht="15.75" customHeight="1" x14ac:dyDescent="0.3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opLeftCell="A5" zoomScaleNormal="100" workbookViewId="0">
      <selection activeCell="B20" sqref="B20:D21"/>
    </sheetView>
  </sheetViews>
  <sheetFormatPr baseColWidth="10" defaultRowHeight="14.4" x14ac:dyDescent="0.3"/>
  <cols>
    <col min="1" max="1" width="26.5546875" customWidth="1"/>
    <col min="2" max="2" width="12.33203125" customWidth="1"/>
    <col min="3" max="3" width="18.6640625" customWidth="1"/>
    <col min="4" max="4" width="42.88671875" customWidth="1"/>
    <col min="5" max="5" width="13.5546875" customWidth="1"/>
    <col min="7" max="7" width="13.44140625" bestFit="1" customWidth="1"/>
    <col min="8" max="8" width="16" customWidth="1"/>
    <col min="10" max="10" width="16.88671875" customWidth="1"/>
    <col min="11" max="11" width="18.33203125" customWidth="1"/>
  </cols>
  <sheetData>
    <row r="1" spans="1:24" x14ac:dyDescent="0.3">
      <c r="A1" s="854" t="s">
        <v>1610</v>
      </c>
      <c r="B1" s="854"/>
      <c r="C1" s="12" t="s">
        <v>963</v>
      </c>
      <c r="D1" s="12">
        <v>119.96</v>
      </c>
      <c r="E1" s="12" t="s">
        <v>698</v>
      </c>
    </row>
    <row r="2" spans="1:24" x14ac:dyDescent="0.3">
      <c r="A2" s="859">
        <f>41868000000/(1000000000000000)</f>
        <v>4.1868E-5</v>
      </c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3" spans="1:24" x14ac:dyDescent="0.3">
      <c r="A3" s="854" t="s">
        <v>1611</v>
      </c>
      <c r="J3" s="825" t="s">
        <v>1575</v>
      </c>
      <c r="K3">
        <v>8.33</v>
      </c>
      <c r="L3" s="818" t="s">
        <v>1576</v>
      </c>
    </row>
    <row r="4" spans="1:24" x14ac:dyDescent="0.3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1577</v>
      </c>
      <c r="M4" s="818" t="s">
        <v>1578</v>
      </c>
      <c r="O4" s="14" t="s">
        <v>509</v>
      </c>
      <c r="P4" s="818" t="s">
        <v>1579</v>
      </c>
    </row>
    <row r="5" spans="1:24" ht="54" x14ac:dyDescent="0.3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1574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1573</v>
      </c>
    </row>
    <row r="6" spans="1:24" x14ac:dyDescent="0.3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3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1593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1014"/>
      <c r="U7" s="1013" t="s">
        <v>1573</v>
      </c>
      <c r="V7" s="1013"/>
      <c r="W7" s="827"/>
      <c r="X7" s="827"/>
    </row>
    <row r="8" spans="1:24" x14ac:dyDescent="0.3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1594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1015"/>
      <c r="U8" s="828" t="s">
        <v>1580</v>
      </c>
      <c r="V8" s="828" t="s">
        <v>577</v>
      </c>
      <c r="W8" s="829" t="s">
        <v>689</v>
      </c>
      <c r="X8" s="828" t="s">
        <v>1581</v>
      </c>
    </row>
    <row r="9" spans="1:24" x14ac:dyDescent="0.3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1594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1584</v>
      </c>
      <c r="T9" s="828" t="s">
        <v>1119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3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1594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1583</v>
      </c>
      <c r="T10" s="828" t="s">
        <v>1118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3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1594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1582</v>
      </c>
      <c r="T11" s="828" t="s">
        <v>1117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3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1594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3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1594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3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1594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3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1594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3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1594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3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1594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3">
      <c r="A18" s="70" t="s">
        <v>1605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3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3">
      <c r="B20" s="854" t="s">
        <v>963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3">
      <c r="B21" s="854" t="s">
        <v>963</v>
      </c>
      <c r="C21">
        <f>+C20/1000</f>
        <v>0.1201</v>
      </c>
      <c r="D21" s="854" t="s">
        <v>1624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3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" x14ac:dyDescent="0.35">
      <c r="D29" s="832" t="s">
        <v>1585</v>
      </c>
      <c r="S29" s="832"/>
    </row>
    <row r="30" spans="1:19" x14ac:dyDescent="0.3">
      <c r="C30" s="866"/>
    </row>
    <row r="31" spans="1:19" x14ac:dyDescent="0.3">
      <c r="C31" s="853" t="s">
        <v>934</v>
      </c>
      <c r="D31" s="818" t="s">
        <v>1586</v>
      </c>
      <c r="E31">
        <v>20</v>
      </c>
      <c r="F31" s="818" t="s">
        <v>1581</v>
      </c>
    </row>
    <row r="32" spans="1:19" x14ac:dyDescent="0.3">
      <c r="C32" s="853" t="s">
        <v>920</v>
      </c>
      <c r="D32" s="818" t="s">
        <v>1587</v>
      </c>
      <c r="E32" s="833">
        <v>0.3</v>
      </c>
    </row>
    <row r="33" spans="3:10" x14ac:dyDescent="0.3">
      <c r="C33" s="866"/>
      <c r="G33" s="838"/>
      <c r="H33" s="838" t="s">
        <v>1580</v>
      </c>
      <c r="I33" s="838" t="s">
        <v>1577</v>
      </c>
      <c r="J33" s="838" t="s">
        <v>577</v>
      </c>
    </row>
    <row r="34" spans="3:10" x14ac:dyDescent="0.3">
      <c r="C34" s="866"/>
      <c r="D34" s="849" t="s">
        <v>1590</v>
      </c>
      <c r="G34" s="838" t="s">
        <v>1581</v>
      </c>
      <c r="H34" s="838" t="s">
        <v>1588</v>
      </c>
      <c r="I34" s="838" t="s">
        <v>689</v>
      </c>
      <c r="J34" s="838" t="s">
        <v>1589</v>
      </c>
    </row>
    <row r="35" spans="3:10" x14ac:dyDescent="0.3">
      <c r="C35" s="866"/>
      <c r="D35" s="818" t="s">
        <v>831</v>
      </c>
      <c r="E35" s="833">
        <v>0.3</v>
      </c>
      <c r="G35" s="839">
        <f>+X9</f>
        <v>46.232114566966032</v>
      </c>
      <c r="H35" s="838">
        <v>30</v>
      </c>
      <c r="I35" s="840">
        <f>+(141.5/(G35+131.5))*$K$4</f>
        <v>278.5382378452905</v>
      </c>
      <c r="J35" s="842">
        <f>+I35*H35</f>
        <v>8356.1471353587149</v>
      </c>
    </row>
    <row r="36" spans="3:10" x14ac:dyDescent="0.3">
      <c r="C36" s="866"/>
      <c r="D36" s="818" t="s">
        <v>833</v>
      </c>
      <c r="E36" s="841">
        <f>+H36/100</f>
        <v>0</v>
      </c>
      <c r="G36" s="839">
        <f>+X10</f>
        <v>22.068612719099065</v>
      </c>
      <c r="H36" s="839">
        <v>0</v>
      </c>
      <c r="I36" s="840">
        <f>+(141.5/(G36+131.5))*$K$4</f>
        <v>322.36528756402009</v>
      </c>
      <c r="J36" s="842">
        <f>+I36*H36</f>
        <v>0</v>
      </c>
    </row>
    <row r="37" spans="3:10" x14ac:dyDescent="0.3">
      <c r="C37" s="866"/>
      <c r="D37" s="818" t="s">
        <v>835</v>
      </c>
      <c r="E37" s="841">
        <f>+H37/100</f>
        <v>0.70983175746414107</v>
      </c>
      <c r="G37" s="839">
        <f>+X11</f>
        <v>12.986528564073609</v>
      </c>
      <c r="H37" s="839">
        <v>70.983175746414105</v>
      </c>
      <c r="I37" s="840">
        <f t="shared" ref="I37" si="6">+(141.5/(G37+131.5))*$K$4</f>
        <v>342.62841312604837</v>
      </c>
      <c r="J37" s="842">
        <f>+I37*H37</f>
        <v>24320.852864641271</v>
      </c>
    </row>
    <row r="38" spans="3:10" x14ac:dyDescent="0.3">
      <c r="C38" s="866"/>
      <c r="E38" s="835">
        <f>+SUM(E35:E37)</f>
        <v>1.0098317574641411</v>
      </c>
      <c r="G38" s="838">
        <f>+(141.5/(I38/K4)-131.5)</f>
        <v>20</v>
      </c>
      <c r="H38" s="839">
        <f>+SUM(H35:H37)</f>
        <v>100.9831757464141</v>
      </c>
      <c r="I38" s="840">
        <f>+(141.5/(G39+131.5))*$K$4</f>
        <v>326.7669306930693</v>
      </c>
      <c r="J38" s="843">
        <f>+SUM(J35:J37)</f>
        <v>32676.999999999985</v>
      </c>
    </row>
    <row r="39" spans="3:10" x14ac:dyDescent="0.3">
      <c r="C39" s="866"/>
      <c r="G39" s="844">
        <f>+E31</f>
        <v>20</v>
      </c>
      <c r="H39" s="844"/>
      <c r="I39" s="844"/>
      <c r="J39" s="845">
        <f>+I38*H38</f>
        <v>32997.962390294531</v>
      </c>
    </row>
    <row r="41" spans="3:10" x14ac:dyDescent="0.3">
      <c r="C41" s="853" t="s">
        <v>923</v>
      </c>
      <c r="D41" s="849" t="s">
        <v>1591</v>
      </c>
      <c r="G41" s="838"/>
      <c r="H41" s="838" t="s">
        <v>1580</v>
      </c>
      <c r="I41" s="838" t="s">
        <v>1577</v>
      </c>
      <c r="J41" s="838" t="s">
        <v>577</v>
      </c>
    </row>
    <row r="42" spans="3:10" x14ac:dyDescent="0.3">
      <c r="D42" s="818" t="s">
        <v>831</v>
      </c>
      <c r="E42" s="833">
        <v>0.15</v>
      </c>
      <c r="G42" s="838" t="s">
        <v>1581</v>
      </c>
      <c r="H42" s="838" t="s">
        <v>1588</v>
      </c>
      <c r="I42" s="838" t="s">
        <v>689</v>
      </c>
      <c r="J42" s="838" t="s">
        <v>1589</v>
      </c>
    </row>
    <row r="43" spans="3:10" x14ac:dyDescent="0.3">
      <c r="D43" s="818" t="s">
        <v>833</v>
      </c>
      <c r="E43" s="841">
        <v>0.25</v>
      </c>
      <c r="G43" s="839">
        <f>+G35</f>
        <v>46.232114566966032</v>
      </c>
      <c r="H43" s="838">
        <v>30</v>
      </c>
      <c r="I43" s="840">
        <f>+(141.5/(G43+131.5))*$K$4</f>
        <v>278.5382378452905</v>
      </c>
      <c r="J43" s="842">
        <f>+I43*H43</f>
        <v>8356.1471353587149</v>
      </c>
    </row>
    <row r="44" spans="3:10" x14ac:dyDescent="0.3">
      <c r="D44" s="818" t="s">
        <v>835</v>
      </c>
      <c r="E44" s="841">
        <v>0.6</v>
      </c>
      <c r="G44" s="839">
        <f>+G36</f>
        <v>22.068612719099065</v>
      </c>
      <c r="H44" s="839">
        <v>0</v>
      </c>
      <c r="I44" s="840">
        <f>+(141.5/(G44+131.5))*$K$4</f>
        <v>322.36528756402009</v>
      </c>
      <c r="J44" s="842">
        <f>+I44*H44</f>
        <v>0</v>
      </c>
    </row>
    <row r="45" spans="3:10" x14ac:dyDescent="0.3">
      <c r="E45" s="835">
        <f>+SUM(E42:E44)</f>
        <v>1</v>
      </c>
      <c r="G45" s="839">
        <f>+G37</f>
        <v>12.986528564073609</v>
      </c>
      <c r="H45" s="839">
        <v>70</v>
      </c>
      <c r="I45" s="840">
        <f t="shared" ref="I45" si="7">+(141.5/(G45+131.5))*$K$4</f>
        <v>342.62841312604837</v>
      </c>
      <c r="J45" s="842">
        <f>+I45*H45</f>
        <v>23983.988918823386</v>
      </c>
    </row>
    <row r="46" spans="3:10" x14ac:dyDescent="0.3">
      <c r="G46" s="838">
        <f>+(141.5/(I46/K4)-131.5)</f>
        <v>20</v>
      </c>
      <c r="H46" s="839">
        <f>+SUM(H43:H45)</f>
        <v>100</v>
      </c>
      <c r="I46" s="840">
        <f>+(141.5/(G47+131.5))*$K$4</f>
        <v>326.7669306930693</v>
      </c>
      <c r="J46" s="843">
        <f>+SUM(J43:J45)</f>
        <v>32340.136054182101</v>
      </c>
    </row>
    <row r="47" spans="3:10" x14ac:dyDescent="0.3">
      <c r="G47" s="844">
        <f>+E31</f>
        <v>20</v>
      </c>
      <c r="H47" s="844"/>
      <c r="I47" s="844"/>
      <c r="J47" s="845">
        <f>+I46*H46</f>
        <v>32676.69306930693</v>
      </c>
    </row>
    <row r="49" spans="3:6" x14ac:dyDescent="0.3">
      <c r="D49" s="848" t="s">
        <v>536</v>
      </c>
    </row>
    <row r="50" spans="3:6" x14ac:dyDescent="0.3">
      <c r="D50" s="818" t="s">
        <v>1598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6" x14ac:dyDescent="0.3">
      <c r="D51" s="837" t="s">
        <v>1592</v>
      </c>
      <c r="E51" s="847">
        <f>+E50*($C$8/1000)</f>
        <v>1.6802426854852597E-2</v>
      </c>
      <c r="F51" s="837" t="s">
        <v>1595</v>
      </c>
    </row>
    <row r="52" spans="3:6" x14ac:dyDescent="0.3">
      <c r="D52" s="837" t="s">
        <v>1592</v>
      </c>
      <c r="E52" s="847">
        <f>+E51*1000</f>
        <v>16.802426854852598</v>
      </c>
      <c r="F52" s="837" t="s">
        <v>1596</v>
      </c>
    </row>
    <row r="53" spans="3:6" x14ac:dyDescent="0.3">
      <c r="D53" s="837" t="s">
        <v>1592</v>
      </c>
      <c r="E53" s="847">
        <f>+E52</f>
        <v>16.802426854852598</v>
      </c>
      <c r="F53" s="837" t="s">
        <v>1597</v>
      </c>
    </row>
    <row r="56" spans="3:6" ht="18" x14ac:dyDescent="0.35">
      <c r="D56" s="832" t="s">
        <v>1599</v>
      </c>
    </row>
    <row r="58" spans="3:6" x14ac:dyDescent="0.3">
      <c r="D58" s="848" t="s">
        <v>1638</v>
      </c>
    </row>
    <row r="59" spans="3:6" x14ac:dyDescent="0.3">
      <c r="C59" s="70" t="s">
        <v>1604</v>
      </c>
      <c r="D59" s="18" t="s">
        <v>1029</v>
      </c>
      <c r="E59" s="12">
        <v>165</v>
      </c>
      <c r="F59" s="365" t="s">
        <v>513</v>
      </c>
    </row>
    <row r="60" spans="3:6" x14ac:dyDescent="0.3">
      <c r="C60" s="70" t="s">
        <v>1603</v>
      </c>
      <c r="D60" s="18" t="s">
        <v>1031</v>
      </c>
      <c r="E60" s="12">
        <v>155</v>
      </c>
      <c r="F60" s="365" t="s">
        <v>513</v>
      </c>
    </row>
    <row r="61" spans="3:6" x14ac:dyDescent="0.3">
      <c r="C61" s="850"/>
      <c r="D61" s="18" t="s">
        <v>1601</v>
      </c>
      <c r="E61" s="275">
        <f>+E59*365*C8/1000</f>
        <v>366.60006424428417</v>
      </c>
      <c r="F61" s="365" t="s">
        <v>288</v>
      </c>
    </row>
    <row r="62" spans="3:6" x14ac:dyDescent="0.3">
      <c r="C62" s="850"/>
      <c r="D62" s="18" t="s">
        <v>1602</v>
      </c>
      <c r="E62" s="275">
        <f>+E60*365*C9/1000</f>
        <v>344.3818785325094</v>
      </c>
      <c r="F62" s="365" t="s">
        <v>288</v>
      </c>
    </row>
    <row r="63" spans="3:6" x14ac:dyDescent="0.3">
      <c r="C63" s="850"/>
      <c r="D63" s="18"/>
      <c r="E63" s="275"/>
      <c r="F63" s="365"/>
    </row>
    <row r="64" spans="3:6" x14ac:dyDescent="0.3">
      <c r="C64" s="70" t="s">
        <v>1641</v>
      </c>
      <c r="D64" s="18" t="s">
        <v>1636</v>
      </c>
      <c r="E64" s="865">
        <f>+E60/E59</f>
        <v>0.93939393939393945</v>
      </c>
      <c r="F64" s="365"/>
    </row>
    <row r="65" spans="1:9" x14ac:dyDescent="0.3">
      <c r="C65" s="70" t="s">
        <v>1640</v>
      </c>
      <c r="D65" s="18" t="s">
        <v>1637</v>
      </c>
      <c r="E65" s="865">
        <v>0.95</v>
      </c>
      <c r="F65" s="365"/>
    </row>
    <row r="66" spans="1:9" x14ac:dyDescent="0.3">
      <c r="C66" s="850"/>
      <c r="D66" s="18"/>
      <c r="E66" s="865"/>
      <c r="F66" s="365"/>
    </row>
    <row r="67" spans="1:9" x14ac:dyDescent="0.3">
      <c r="C67" s="70" t="s">
        <v>1643</v>
      </c>
      <c r="D67" s="18" t="s">
        <v>1639</v>
      </c>
      <c r="E67" s="868">
        <v>4.8099999999999996</v>
      </c>
      <c r="F67" s="867" t="s">
        <v>1642</v>
      </c>
    </row>
    <row r="68" spans="1:9" x14ac:dyDescent="0.3">
      <c r="A68" s="869">
        <v>8.2176851262728707</v>
      </c>
      <c r="C68" s="850"/>
      <c r="D68" s="18" t="s">
        <v>1644</v>
      </c>
      <c r="E68" s="868">
        <f>+E67/A68</f>
        <v>0.58532298647241721</v>
      </c>
      <c r="F68" s="867" t="s">
        <v>773</v>
      </c>
    </row>
    <row r="70" spans="1:9" x14ac:dyDescent="0.3">
      <c r="D70" s="848" t="s">
        <v>1600</v>
      </c>
    </row>
    <row r="71" spans="1:9" x14ac:dyDescent="0.3">
      <c r="E71" s="860" t="s">
        <v>586</v>
      </c>
      <c r="F71" s="286" t="s">
        <v>59</v>
      </c>
    </row>
    <row r="72" spans="1:9" x14ac:dyDescent="0.3">
      <c r="C72" s="853" t="s">
        <v>1604</v>
      </c>
      <c r="D72" s="854" t="s">
        <v>1615</v>
      </c>
      <c r="E72" s="809">
        <f>0.035+0.043</f>
        <v>7.8E-2</v>
      </c>
      <c r="F72" s="836">
        <f>+E72*365*C21</f>
        <v>3.4192469999999999</v>
      </c>
      <c r="H72">
        <f>E72/E59</f>
        <v>4.7272727272727272E-4</v>
      </c>
    </row>
    <row r="73" spans="1:9" x14ac:dyDescent="0.3">
      <c r="C73" s="853" t="s">
        <v>1604</v>
      </c>
      <c r="D73" s="854" t="s">
        <v>1614</v>
      </c>
      <c r="E73">
        <v>33.799999999999997</v>
      </c>
      <c r="F73" s="836">
        <f>+(E73*C17/1000)*365</f>
        <v>12.365388545948255</v>
      </c>
      <c r="I73" s="854"/>
    </row>
    <row r="74" spans="1:9" x14ac:dyDescent="0.3">
      <c r="C74" s="853" t="s">
        <v>1613</v>
      </c>
      <c r="D74" s="854" t="s">
        <v>1616</v>
      </c>
      <c r="E74" s="836">
        <f>+G79-E73</f>
        <v>37.977777777777774</v>
      </c>
      <c r="F74" s="836">
        <f>+(E74*C7/1000)*365</f>
        <v>13.994371732299081</v>
      </c>
    </row>
    <row r="75" spans="1:9" x14ac:dyDescent="0.3">
      <c r="C75" s="853" t="s">
        <v>1606</v>
      </c>
      <c r="D75" s="818" t="s">
        <v>782</v>
      </c>
      <c r="E75" s="855">
        <v>0</v>
      </c>
      <c r="F75" s="855">
        <v>0</v>
      </c>
    </row>
    <row r="76" spans="1:9" x14ac:dyDescent="0.3">
      <c r="C76" s="853" t="s">
        <v>1607</v>
      </c>
      <c r="D76" s="970" t="s">
        <v>1784</v>
      </c>
      <c r="E76">
        <v>347</v>
      </c>
      <c r="F76" s="809">
        <f>+(E76/E14)/1000</f>
        <v>0.51374637610155072</v>
      </c>
    </row>
    <row r="77" spans="1:9" x14ac:dyDescent="0.3">
      <c r="C77" s="853"/>
      <c r="D77" s="818"/>
    </row>
    <row r="79" spans="1:9" x14ac:dyDescent="0.3">
      <c r="C79" s="853" t="s">
        <v>1612</v>
      </c>
      <c r="D79" s="854" t="s">
        <v>1608</v>
      </c>
      <c r="E79" s="836">
        <v>165</v>
      </c>
      <c r="F79" s="854" t="s">
        <v>1609</v>
      </c>
      <c r="G79" s="857">
        <f>+SLOPE(G80:G81,E80:E81)*E79+INTERCEPT(G80:G81,E80:E81)</f>
        <v>71.777777777777771</v>
      </c>
      <c r="H79" s="854" t="s">
        <v>538</v>
      </c>
    </row>
    <row r="80" spans="1:9" x14ac:dyDescent="0.3">
      <c r="A80" s="852"/>
      <c r="C80" s="853" t="s">
        <v>1604</v>
      </c>
      <c r="D80" s="854" t="s">
        <v>1608</v>
      </c>
      <c r="E80">
        <v>200</v>
      </c>
      <c r="F80" s="854" t="s">
        <v>1609</v>
      </c>
      <c r="G80">
        <v>78</v>
      </c>
      <c r="H80" s="858" t="s">
        <v>538</v>
      </c>
      <c r="I80" s="818"/>
    </row>
    <row r="81" spans="1:13" x14ac:dyDescent="0.3">
      <c r="A81" s="809"/>
      <c r="B81" s="819"/>
      <c r="C81" s="853" t="s">
        <v>1604</v>
      </c>
      <c r="D81" s="854" t="s">
        <v>1608</v>
      </c>
      <c r="E81">
        <v>245</v>
      </c>
      <c r="F81" s="854" t="s">
        <v>1609</v>
      </c>
      <c r="G81" s="856">
        <v>86</v>
      </c>
      <c r="H81" s="854" t="s">
        <v>538</v>
      </c>
    </row>
    <row r="82" spans="1:13" x14ac:dyDescent="0.3">
      <c r="A82" s="809"/>
      <c r="B82" s="819"/>
      <c r="C82" s="818"/>
      <c r="D82" s="818"/>
      <c r="E82" s="809"/>
      <c r="F82" s="818"/>
    </row>
    <row r="83" spans="1:13" x14ac:dyDescent="0.3">
      <c r="A83" s="809"/>
      <c r="B83" s="836"/>
      <c r="C83" s="818"/>
      <c r="D83" s="848" t="s">
        <v>1618</v>
      </c>
      <c r="E83" s="809"/>
      <c r="F83" s="818"/>
    </row>
    <row r="84" spans="1:13" x14ac:dyDescent="0.3">
      <c r="G84" s="971" t="s">
        <v>1787</v>
      </c>
      <c r="H84" s="971" t="s">
        <v>1790</v>
      </c>
      <c r="I84" s="974" t="s">
        <v>1786</v>
      </c>
    </row>
    <row r="85" spans="1:13" x14ac:dyDescent="0.3">
      <c r="D85" s="854" t="s">
        <v>1619</v>
      </c>
      <c r="E85" s="804">
        <f>+F72/E61</f>
        <v>9.3269132591356635E-3</v>
      </c>
      <c r="F85" s="854" t="s">
        <v>533</v>
      </c>
      <c r="G85" s="972">
        <f>E85*E61</f>
        <v>3.4192469999999999</v>
      </c>
      <c r="H85" s="972">
        <f>G85/C21</f>
        <v>28.47</v>
      </c>
      <c r="I85" s="977">
        <f>H85/(E59*365)</f>
        <v>4.7272727272727272E-4</v>
      </c>
      <c r="J85" s="970" t="s">
        <v>1788</v>
      </c>
      <c r="K85" s="808">
        <f>I85*1000</f>
        <v>0.47272727272727272</v>
      </c>
      <c r="L85" s="978" t="s">
        <v>1596</v>
      </c>
      <c r="M85" s="970"/>
    </row>
    <row r="86" spans="1:13" x14ac:dyDescent="0.3">
      <c r="D86" s="854" t="s">
        <v>1620</v>
      </c>
      <c r="E86">
        <f>+F73/E61</f>
        <v>3.372991374521029E-2</v>
      </c>
      <c r="F86" s="854" t="s">
        <v>533</v>
      </c>
      <c r="G86" s="973">
        <f>E86*E61</f>
        <v>12.365388545948257</v>
      </c>
      <c r="H86" s="972">
        <f>G86/(C17/1000)</f>
        <v>12337.000000000002</v>
      </c>
      <c r="I86" s="975">
        <f>H86/(E59*365)</f>
        <v>0.20484848484848489</v>
      </c>
      <c r="J86" s="970" t="s">
        <v>1789</v>
      </c>
    </row>
    <row r="87" spans="1:13" x14ac:dyDescent="0.3">
      <c r="D87" s="854" t="s">
        <v>1621</v>
      </c>
      <c r="E87">
        <f>+F74/E61</f>
        <v>3.8173402290987937E-2</v>
      </c>
      <c r="F87" s="854" t="s">
        <v>533</v>
      </c>
      <c r="G87" s="972">
        <f>E87*E61</f>
        <v>13.994371732299083</v>
      </c>
      <c r="H87" s="972">
        <f>G87/(C7/1000)</f>
        <v>13861.888888888892</v>
      </c>
      <c r="I87" s="975">
        <f>H87/(E59*365)</f>
        <v>0.23016835016835022</v>
      </c>
      <c r="J87" s="970" t="s">
        <v>1789</v>
      </c>
    </row>
    <row r="88" spans="1:13" x14ac:dyDescent="0.3">
      <c r="D88" s="854" t="s">
        <v>1622</v>
      </c>
      <c r="E88" s="855">
        <v>0</v>
      </c>
      <c r="G88" s="972"/>
      <c r="H88" s="972"/>
      <c r="I88" s="975"/>
    </row>
    <row r="89" spans="1:13" x14ac:dyDescent="0.3">
      <c r="D89" s="854" t="s">
        <v>1623</v>
      </c>
      <c r="E89">
        <f>+F76/E62</f>
        <v>1.4917927107278191E-3</v>
      </c>
      <c r="F89" s="854" t="s">
        <v>533</v>
      </c>
      <c r="G89" s="972">
        <f>E89*E61</f>
        <v>0.54689130359197335</v>
      </c>
      <c r="H89" s="972">
        <f>G89/(C14/1000)</f>
        <v>134.82629032258063</v>
      </c>
      <c r="I89" s="976">
        <f>H89/(E59*365)</f>
        <v>2.2387096774193547E-3</v>
      </c>
      <c r="J89" s="970" t="s">
        <v>1791</v>
      </c>
      <c r="K89" s="809">
        <f>I89*1000</f>
        <v>2.2387096774193549</v>
      </c>
      <c r="L89" s="970" t="s">
        <v>1792</v>
      </c>
    </row>
    <row r="90" spans="1:13" x14ac:dyDescent="0.3">
      <c r="E90" s="861">
        <f>+SUM(E85:E89)</f>
        <v>8.2722022006061699E-2</v>
      </c>
      <c r="F90" s="854" t="s">
        <v>533</v>
      </c>
    </row>
    <row r="91" spans="1:13" x14ac:dyDescent="0.3">
      <c r="J91" s="809">
        <f>+E90*$E$62</f>
        <v>28.487965334455112</v>
      </c>
      <c r="K91" s="879" t="s">
        <v>59</v>
      </c>
    </row>
    <row r="93" spans="1:13" ht="18" x14ac:dyDescent="0.35">
      <c r="D93" s="832" t="s">
        <v>1625</v>
      </c>
    </row>
    <row r="95" spans="1:13" x14ac:dyDescent="0.3">
      <c r="E95" s="391"/>
      <c r="F95" s="392" t="s">
        <v>586</v>
      </c>
      <c r="G95" s="392" t="s">
        <v>992</v>
      </c>
    </row>
    <row r="96" spans="1:13" x14ac:dyDescent="0.3">
      <c r="B96" s="853" t="s">
        <v>1628</v>
      </c>
      <c r="C96" s="853" t="s">
        <v>1627</v>
      </c>
      <c r="E96" s="393" t="s">
        <v>1043</v>
      </c>
      <c r="F96" s="394">
        <f>394.77/299.7</f>
        <v>1.3172172172172172</v>
      </c>
      <c r="G96" s="395">
        <f>+F96</f>
        <v>1.3172172172172172</v>
      </c>
      <c r="H96" s="12" t="s">
        <v>1044</v>
      </c>
    </row>
    <row r="97" spans="2:8" x14ac:dyDescent="0.3">
      <c r="B97" s="853"/>
      <c r="C97" s="853"/>
      <c r="E97" s="393"/>
      <c r="F97" s="394"/>
      <c r="G97" s="395"/>
      <c r="H97" s="12"/>
    </row>
    <row r="99" spans="2:8" ht="18" x14ac:dyDescent="0.35">
      <c r="D99" s="832" t="s">
        <v>1626</v>
      </c>
    </row>
    <row r="101" spans="2:8" x14ac:dyDescent="0.3">
      <c r="E101" s="862" t="s">
        <v>586</v>
      </c>
      <c r="F101" s="862" t="s">
        <v>992</v>
      </c>
      <c r="H101" s="854" t="s">
        <v>1654</v>
      </c>
    </row>
    <row r="102" spans="2:8" x14ac:dyDescent="0.3">
      <c r="C102" s="853" t="s">
        <v>1604</v>
      </c>
      <c r="D102" s="854" t="s">
        <v>1630</v>
      </c>
      <c r="E102" s="863">
        <f>+E103+E104+E105+E106+E107</f>
        <v>160.5</v>
      </c>
      <c r="F102" s="836">
        <f>+SUM(F103:F108)</f>
        <v>331.52912709130356</v>
      </c>
      <c r="G102" s="854" t="s">
        <v>59</v>
      </c>
    </row>
    <row r="103" spans="2:8" x14ac:dyDescent="0.3">
      <c r="C103" s="853" t="s">
        <v>1604</v>
      </c>
      <c r="D103" s="854" t="s">
        <v>958</v>
      </c>
      <c r="E103">
        <f>36.8+12.6</f>
        <v>49.4</v>
      </c>
      <c r="F103" s="836">
        <f>+E103*365*C11/1000</f>
        <v>96.121435081229123</v>
      </c>
      <c r="G103" s="854" t="s">
        <v>59</v>
      </c>
      <c r="H103" s="841">
        <f>+F103/SUM($F$103:$F$108)</f>
        <v>0.28993360530508427</v>
      </c>
    </row>
    <row r="104" spans="2:8" x14ac:dyDescent="0.3">
      <c r="C104" s="853" t="s">
        <v>1604</v>
      </c>
      <c r="D104" s="854" t="s">
        <v>1019</v>
      </c>
      <c r="E104">
        <v>94</v>
      </c>
      <c r="F104" s="836">
        <f>+E104*365*C12/1000</f>
        <v>194.56685801250259</v>
      </c>
      <c r="G104" s="854" t="s">
        <v>59</v>
      </c>
      <c r="H104" s="841">
        <f t="shared" ref="H104:H107" si="8">+F104/SUM($F$103:$F$108)</f>
        <v>0.58687711610605675</v>
      </c>
    </row>
    <row r="105" spans="2:8" x14ac:dyDescent="0.3">
      <c r="C105" s="853" t="s">
        <v>1604</v>
      </c>
      <c r="D105" s="854" t="s">
        <v>1629</v>
      </c>
      <c r="E105">
        <v>10.199999999999999</v>
      </c>
      <c r="F105" s="836">
        <f>+E105*365*C13/1000</f>
        <v>17.542012028306285</v>
      </c>
      <c r="G105" s="854" t="s">
        <v>59</v>
      </c>
      <c r="H105" s="841">
        <f t="shared" si="8"/>
        <v>5.2912430899247027E-2</v>
      </c>
    </row>
    <row r="106" spans="2:8" x14ac:dyDescent="0.3">
      <c r="C106" s="853" t="s">
        <v>1604</v>
      </c>
      <c r="D106" s="854" t="s">
        <v>782</v>
      </c>
      <c r="E106">
        <v>1.4</v>
      </c>
      <c r="F106" s="836">
        <f>+E106*365*C15/1000</f>
        <v>2.7904793352524089</v>
      </c>
      <c r="G106" s="854" t="s">
        <v>59</v>
      </c>
      <c r="H106" s="841">
        <f t="shared" si="8"/>
        <v>8.4169959959020657E-3</v>
      </c>
    </row>
    <row r="107" spans="2:8" x14ac:dyDescent="0.3">
      <c r="C107" s="853" t="s">
        <v>1604</v>
      </c>
      <c r="D107" s="854" t="s">
        <v>22</v>
      </c>
      <c r="E107" s="854">
        <v>5.5</v>
      </c>
      <c r="F107" s="836">
        <f>+E107*365*C14/1000</f>
        <v>8.1429540880649238</v>
      </c>
      <c r="G107" s="854" t="s">
        <v>59</v>
      </c>
      <c r="H107" s="841">
        <f t="shared" si="8"/>
        <v>2.4561805955053667E-2</v>
      </c>
    </row>
    <row r="108" spans="2:8" x14ac:dyDescent="0.3">
      <c r="C108" s="853" t="s">
        <v>1633</v>
      </c>
      <c r="D108" s="854" t="s">
        <v>1632</v>
      </c>
      <c r="E108">
        <f>+F108*E17</f>
        <v>33.799999999999997</v>
      </c>
      <c r="F108" s="836">
        <f>+F73</f>
        <v>12.365388545948255</v>
      </c>
      <c r="G108" s="854" t="s">
        <v>59</v>
      </c>
      <c r="H108" s="841">
        <f>+F108/SUM($F$103:$F$108)</f>
        <v>3.7298045738656353E-2</v>
      </c>
    </row>
    <row r="109" spans="2:8" x14ac:dyDescent="0.3">
      <c r="H109" s="833">
        <f>+SUM(H103:H108)</f>
        <v>1</v>
      </c>
    </row>
    <row r="111" spans="2:8" x14ac:dyDescent="0.3">
      <c r="D111" s="848" t="s">
        <v>1631</v>
      </c>
    </row>
    <row r="112" spans="2:8" x14ac:dyDescent="0.3">
      <c r="D112" s="854" t="s">
        <v>958</v>
      </c>
      <c r="E112" s="808">
        <f>+F103/$E$61</f>
        <v>0.26219699464421958</v>
      </c>
      <c r="F112" s="854" t="s">
        <v>533</v>
      </c>
    </row>
    <row r="113" spans="1:6" x14ac:dyDescent="0.3">
      <c r="D113" s="854" t="s">
        <v>1019</v>
      </c>
      <c r="E113" s="808">
        <f t="shared" ref="E113:E117" si="9">+F104/$E$61</f>
        <v>0.53073328945968989</v>
      </c>
      <c r="F113" s="854" t="s">
        <v>533</v>
      </c>
    </row>
    <row r="114" spans="1:6" x14ac:dyDescent="0.3">
      <c r="D114" s="854" t="s">
        <v>1629</v>
      </c>
      <c r="E114" s="808">
        <f t="shared" si="9"/>
        <v>4.7850542700988603E-2</v>
      </c>
      <c r="F114" s="854" t="s">
        <v>533</v>
      </c>
    </row>
    <row r="115" spans="1:6" x14ac:dyDescent="0.3">
      <c r="D115" s="854" t="s">
        <v>782</v>
      </c>
      <c r="E115" s="808">
        <f t="shared" si="9"/>
        <v>7.611780813527003E-3</v>
      </c>
      <c r="F115" s="854" t="s">
        <v>533</v>
      </c>
    </row>
    <row r="116" spans="1:6" x14ac:dyDescent="0.3">
      <c r="D116" s="854" t="s">
        <v>22</v>
      </c>
      <c r="E116" s="808">
        <f t="shared" si="9"/>
        <v>2.2212091274045335E-2</v>
      </c>
      <c r="F116" s="854" t="s">
        <v>533</v>
      </c>
    </row>
    <row r="117" spans="1:6" x14ac:dyDescent="0.3">
      <c r="D117" s="854" t="s">
        <v>1632</v>
      </c>
      <c r="E117" s="808">
        <f t="shared" si="9"/>
        <v>3.372991374521029E-2</v>
      </c>
      <c r="F117" s="854" t="s">
        <v>533</v>
      </c>
    </row>
    <row r="119" spans="1:6" x14ac:dyDescent="0.3">
      <c r="C119" s="853" t="s">
        <v>1645</v>
      </c>
      <c r="D119" s="854" t="s">
        <v>1634</v>
      </c>
      <c r="E119" s="864">
        <f>+F102/E61</f>
        <v>0.90433461263768067</v>
      </c>
      <c r="F119" s="854"/>
    </row>
    <row r="120" spans="1:6" x14ac:dyDescent="0.3">
      <c r="C120" s="853"/>
    </row>
    <row r="124" spans="1:6" x14ac:dyDescent="0.3">
      <c r="A124" s="327" t="s">
        <v>270</v>
      </c>
      <c r="B124" s="1"/>
      <c r="C124" s="1"/>
      <c r="D124" s="1"/>
      <c r="E124" s="1"/>
      <c r="F124" s="1"/>
    </row>
    <row r="125" spans="1:6" x14ac:dyDescent="0.3">
      <c r="A125" s="331" t="s">
        <v>271</v>
      </c>
      <c r="B125" s="332" t="s">
        <v>42</v>
      </c>
      <c r="C125" s="332" t="s">
        <v>272</v>
      </c>
      <c r="D125" s="332" t="s">
        <v>273</v>
      </c>
      <c r="E125" s="332" t="s">
        <v>274</v>
      </c>
      <c r="F125" s="333" t="s">
        <v>275</v>
      </c>
    </row>
    <row r="126" spans="1:6" x14ac:dyDescent="0.3">
      <c r="A126" s="1" t="s">
        <v>289</v>
      </c>
      <c r="B126" s="1"/>
      <c r="C126" s="17" t="s">
        <v>974</v>
      </c>
      <c r="D126" s="1" t="s">
        <v>975</v>
      </c>
      <c r="E126" s="1" t="s">
        <v>59</v>
      </c>
      <c r="F126" s="1" t="s">
        <v>288</v>
      </c>
    </row>
    <row r="127" spans="1:6" x14ac:dyDescent="0.3">
      <c r="A127" s="1"/>
      <c r="B127" s="1"/>
      <c r="C127" s="338" t="s">
        <v>978</v>
      </c>
      <c r="D127" s="328" t="s">
        <v>979</v>
      </c>
      <c r="E127" s="1" t="s">
        <v>59</v>
      </c>
      <c r="F127" s="1" t="s">
        <v>288</v>
      </c>
    </row>
    <row r="128" spans="1:6" x14ac:dyDescent="0.3">
      <c r="A128" s="1"/>
      <c r="B128" s="1"/>
      <c r="C128" s="342" t="s">
        <v>980</v>
      </c>
      <c r="D128" s="328" t="s">
        <v>981</v>
      </c>
      <c r="E128" s="1" t="s">
        <v>59</v>
      </c>
      <c r="F128" s="1" t="s">
        <v>288</v>
      </c>
    </row>
    <row r="129" spans="1:6" x14ac:dyDescent="0.3">
      <c r="A129" s="1"/>
      <c r="B129" s="1"/>
      <c r="C129" s="17" t="s">
        <v>982</v>
      </c>
      <c r="D129" s="328" t="s">
        <v>983</v>
      </c>
      <c r="E129" s="1" t="s">
        <v>59</v>
      </c>
      <c r="F129" s="1" t="s">
        <v>288</v>
      </c>
    </row>
    <row r="130" spans="1:6" x14ac:dyDescent="0.3">
      <c r="A130" s="328"/>
      <c r="B130" s="328"/>
      <c r="C130" s="18" t="s">
        <v>984</v>
      </c>
      <c r="D130" s="12" t="s">
        <v>985</v>
      </c>
      <c r="E130" s="1" t="s">
        <v>59</v>
      </c>
      <c r="F130" s="1" t="s">
        <v>288</v>
      </c>
    </row>
    <row r="131" spans="1:6" x14ac:dyDescent="0.3">
      <c r="A131" s="328"/>
      <c r="B131" s="328"/>
      <c r="C131" s="18" t="s">
        <v>986</v>
      </c>
      <c r="D131" s="12" t="s">
        <v>987</v>
      </c>
      <c r="E131" s="12" t="s">
        <v>59</v>
      </c>
      <c r="F131" s="344" t="s">
        <v>288</v>
      </c>
    </row>
    <row r="132" spans="1:6" x14ac:dyDescent="0.3">
      <c r="A132" s="328"/>
      <c r="B132" s="328"/>
      <c r="C132" s="18" t="s">
        <v>988</v>
      </c>
      <c r="D132" s="328" t="s">
        <v>989</v>
      </c>
      <c r="E132" s="328" t="s">
        <v>59</v>
      </c>
      <c r="F132" s="344" t="s">
        <v>288</v>
      </c>
    </row>
    <row r="133" spans="1:6" ht="15.75" customHeight="1" x14ac:dyDescent="0.3">
      <c r="A133" s="328"/>
      <c r="B133" s="328"/>
      <c r="C133" s="1" t="s">
        <v>1646</v>
      </c>
      <c r="D133" s="1" t="s">
        <v>1647</v>
      </c>
      <c r="E133" s="328" t="s">
        <v>59</v>
      </c>
      <c r="F133" s="344" t="s">
        <v>288</v>
      </c>
    </row>
    <row r="134" spans="1:6" x14ac:dyDescent="0.3">
      <c r="A134" s="328"/>
      <c r="B134" s="328"/>
      <c r="C134" s="1" t="s">
        <v>1648</v>
      </c>
      <c r="D134" s="1" t="s">
        <v>1649</v>
      </c>
      <c r="E134" s="328" t="s">
        <v>59</v>
      </c>
      <c r="F134" s="344" t="s">
        <v>288</v>
      </c>
    </row>
    <row r="135" spans="1:6" x14ac:dyDescent="0.3">
      <c r="A135" s="328"/>
      <c r="B135" s="328"/>
      <c r="F135" s="1"/>
    </row>
    <row r="136" spans="1:6" x14ac:dyDescent="0.3">
      <c r="A136" s="328"/>
      <c r="B136" s="328"/>
      <c r="F136" s="328"/>
    </row>
    <row r="137" spans="1:6" x14ac:dyDescent="0.3">
      <c r="A137" s="328"/>
      <c r="B137" s="328"/>
      <c r="C137" s="328"/>
      <c r="D137" s="328"/>
      <c r="E137" s="328"/>
      <c r="F137" s="328"/>
    </row>
    <row r="138" spans="1:6" x14ac:dyDescent="0.3">
      <c r="A138" s="348" t="s">
        <v>40</v>
      </c>
      <c r="B138" s="348"/>
      <c r="C138" s="349"/>
      <c r="D138" s="349"/>
      <c r="E138" s="349"/>
      <c r="F138" s="328"/>
    </row>
    <row r="139" spans="1:6" x14ac:dyDescent="0.3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3">
      <c r="A140" s="350" t="s">
        <v>58</v>
      </c>
      <c r="B140" s="350"/>
      <c r="C140" s="1" t="s">
        <v>976</v>
      </c>
      <c r="D140" s="1" t="s">
        <v>998</v>
      </c>
      <c r="E140" s="1" t="s">
        <v>59</v>
      </c>
      <c r="F140" s="328"/>
    </row>
    <row r="141" spans="1:6" x14ac:dyDescent="0.3">
      <c r="A141" s="1"/>
      <c r="B141" s="1"/>
      <c r="C141" s="12" t="s">
        <v>1001</v>
      </c>
      <c r="D141" s="12" t="s">
        <v>1002</v>
      </c>
      <c r="E141" s="12" t="s">
        <v>59</v>
      </c>
      <c r="F141" s="328"/>
    </row>
    <row r="142" spans="1:6" x14ac:dyDescent="0.3">
      <c r="A142" s="1"/>
      <c r="B142" s="328"/>
      <c r="C142" s="12" t="s">
        <v>1003</v>
      </c>
      <c r="D142" s="12" t="s">
        <v>1004</v>
      </c>
      <c r="E142" s="12" t="s">
        <v>59</v>
      </c>
      <c r="F142" s="328"/>
    </row>
    <row r="143" spans="1:6" x14ac:dyDescent="0.3">
      <c r="A143" s="1"/>
      <c r="B143" s="328"/>
      <c r="C143" s="18" t="s">
        <v>1005</v>
      </c>
      <c r="D143" s="12" t="s">
        <v>1006</v>
      </c>
      <c r="E143" s="12" t="s">
        <v>59</v>
      </c>
      <c r="F143" s="328"/>
    </row>
    <row r="144" spans="1:6" x14ac:dyDescent="0.3">
      <c r="C144" s="18" t="s">
        <v>1008</v>
      </c>
      <c r="D144" s="18" t="s">
        <v>1009</v>
      </c>
      <c r="E144" s="344" t="s">
        <v>59</v>
      </c>
    </row>
    <row r="145" spans="1:7" x14ac:dyDescent="0.3">
      <c r="A145" s="1"/>
      <c r="B145" s="1"/>
      <c r="C145" s="18" t="s">
        <v>1010</v>
      </c>
      <c r="D145" s="18" t="s">
        <v>1011</v>
      </c>
      <c r="E145" s="344" t="s">
        <v>59</v>
      </c>
    </row>
    <row r="146" spans="1:7" x14ac:dyDescent="0.3">
      <c r="A146" s="1"/>
      <c r="B146" s="1"/>
      <c r="C146" s="18" t="s">
        <v>1650</v>
      </c>
      <c r="D146" s="854" t="s">
        <v>1652</v>
      </c>
      <c r="E146" s="344" t="s">
        <v>59</v>
      </c>
      <c r="F146" s="328"/>
    </row>
    <row r="147" spans="1:7" x14ac:dyDescent="0.3">
      <c r="A147" s="1"/>
      <c r="B147" s="1"/>
      <c r="C147" s="1" t="s">
        <v>1651</v>
      </c>
      <c r="D147" s="1" t="s">
        <v>1653</v>
      </c>
      <c r="E147" s="344" t="s">
        <v>59</v>
      </c>
      <c r="F147" s="328"/>
    </row>
    <row r="148" spans="1:7" x14ac:dyDescent="0.3">
      <c r="A148" s="874"/>
      <c r="B148" s="874"/>
      <c r="C148" s="874"/>
      <c r="D148" s="874"/>
      <c r="E148" s="874"/>
      <c r="F148" s="328"/>
    </row>
    <row r="149" spans="1:7" x14ac:dyDescent="0.3">
      <c r="A149" s="336" t="s">
        <v>804</v>
      </c>
      <c r="B149" s="328"/>
      <c r="C149" s="1"/>
      <c r="D149" s="1"/>
    </row>
    <row r="150" spans="1:7" x14ac:dyDescent="0.3">
      <c r="A150" s="360" t="s">
        <v>272</v>
      </c>
      <c r="B150" s="360" t="s">
        <v>805</v>
      </c>
      <c r="C150" s="360" t="s">
        <v>806</v>
      </c>
      <c r="D150" s="360" t="s">
        <v>854</v>
      </c>
    </row>
    <row r="151" spans="1:7" x14ac:dyDescent="0.3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3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3">
      <c r="A153" s="810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3">
      <c r="A154" s="810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" x14ac:dyDescent="0.35">
      <c r="C157" s="832" t="s">
        <v>1585</v>
      </c>
    </row>
    <row r="160" spans="1:7" x14ac:dyDescent="0.3">
      <c r="C160" s="329" t="s">
        <v>804</v>
      </c>
      <c r="D160" s="1"/>
      <c r="E160" s="1"/>
      <c r="F160" s="1"/>
      <c r="G160" s="1"/>
    </row>
    <row r="161" spans="3:11" x14ac:dyDescent="0.3">
      <c r="C161" s="334" t="s">
        <v>272</v>
      </c>
      <c r="D161" s="209" t="s">
        <v>805</v>
      </c>
      <c r="E161" s="209" t="s">
        <v>806</v>
      </c>
      <c r="F161" s="209" t="s">
        <v>973</v>
      </c>
      <c r="G161" s="335" t="s">
        <v>854</v>
      </c>
    </row>
    <row r="162" spans="3:11" x14ac:dyDescent="0.3">
      <c r="C162" s="16" t="str">
        <f>+C126</f>
        <v>MIX-OIL-REF1</v>
      </c>
      <c r="D162" s="16" t="s">
        <v>13</v>
      </c>
      <c r="E162" s="16" t="s">
        <v>976</v>
      </c>
      <c r="F162" s="292">
        <f>+E42</f>
        <v>0.15</v>
      </c>
      <c r="G162" s="322">
        <v>1</v>
      </c>
    </row>
    <row r="163" spans="3:11" x14ac:dyDescent="0.3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3">
      <c r="D164" s="16" t="s">
        <v>17</v>
      </c>
      <c r="E164" s="214"/>
      <c r="F164" s="295">
        <f>+E43</f>
        <v>0.25</v>
      </c>
      <c r="G164" s="214"/>
    </row>
    <row r="166" spans="3:11" x14ac:dyDescent="0.3">
      <c r="C166" s="336"/>
      <c r="D166" s="207"/>
      <c r="E166" s="207"/>
    </row>
    <row r="167" spans="3:11" x14ac:dyDescent="0.3">
      <c r="C167" s="337"/>
      <c r="D167" s="337"/>
      <c r="E167" s="337"/>
    </row>
    <row r="168" spans="3:11" x14ac:dyDescent="0.3">
      <c r="C168" s="339"/>
      <c r="D168" s="340"/>
      <c r="E168" s="341"/>
    </row>
    <row r="171" spans="3:11" ht="18" x14ac:dyDescent="0.35">
      <c r="C171" s="832" t="s">
        <v>1599</v>
      </c>
    </row>
    <row r="174" spans="3:11" x14ac:dyDescent="0.3">
      <c r="C174" s="336" t="s">
        <v>1007</v>
      </c>
      <c r="D174" s="328"/>
      <c r="E174" s="1"/>
      <c r="G174" s="283" t="s">
        <v>910</v>
      </c>
    </row>
    <row r="175" spans="3:11" ht="15" thickBot="1" x14ac:dyDescent="0.35">
      <c r="C175" s="354" t="s">
        <v>272</v>
      </c>
      <c r="D175" s="355" t="s">
        <v>805</v>
      </c>
      <c r="E175" s="356" t="s">
        <v>898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" thickBot="1" x14ac:dyDescent="0.35">
      <c r="C176" s="357" t="s">
        <v>978</v>
      </c>
      <c r="D176" s="1" t="str">
        <f>+E162</f>
        <v>OIL-REF1</v>
      </c>
      <c r="E176" s="876">
        <f>1/(1+SUM($E$85:$E$89))</f>
        <v>0.92359809782681368</v>
      </c>
      <c r="G176" s="211" t="s">
        <v>859</v>
      </c>
      <c r="H176" s="212" t="s">
        <v>480</v>
      </c>
      <c r="I176" s="212" t="s">
        <v>480</v>
      </c>
      <c r="J176" s="212" t="s">
        <v>480</v>
      </c>
      <c r="K176" s="212" t="s">
        <v>480</v>
      </c>
    </row>
    <row r="177" spans="3:11" s="871" customFormat="1" x14ac:dyDescent="0.3">
      <c r="C177" s="16"/>
      <c r="D177" s="870" t="str">
        <f>+C142</f>
        <v>H2-REF1</v>
      </c>
      <c r="E177" s="876">
        <f>E85/(1+SUM($E$85:$E$89))</f>
        <v>8.6143193447333864E-3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871" customFormat="1" x14ac:dyDescent="0.3">
      <c r="C178" s="1"/>
      <c r="D178" s="872" t="str">
        <f>+C151</f>
        <v>GAS-REF1</v>
      </c>
      <c r="E178" s="876">
        <f>E87/(1+SUM($E$85:$E$89))</f>
        <v>3.5256881743534189E-2</v>
      </c>
    </row>
    <row r="179" spans="3:11" s="871" customFormat="1" x14ac:dyDescent="0.3">
      <c r="C179" s="1"/>
      <c r="D179" s="873" t="str">
        <f>+C154</f>
        <v>RFG1-REF1</v>
      </c>
      <c r="E179" s="876">
        <f>E86/(1+SUM($E$85:$E$89))</f>
        <v>3.1152884174938722E-2</v>
      </c>
      <c r="G179" s="875"/>
    </row>
    <row r="180" spans="3:11" s="871" customFormat="1" x14ac:dyDescent="0.3">
      <c r="D180" s="871" t="str">
        <f>+C153</f>
        <v>LPG-REF1</v>
      </c>
      <c r="E180" s="876">
        <f>E89/(1+SUM($E$85:$E$89))</f>
        <v>1.3778169099801197E-3</v>
      </c>
    </row>
    <row r="183" spans="3:11" ht="18" x14ac:dyDescent="0.35">
      <c r="C183" s="832" t="s">
        <v>1625</v>
      </c>
    </row>
    <row r="185" spans="3:11" x14ac:dyDescent="0.3">
      <c r="C185" s="329" t="s">
        <v>804</v>
      </c>
      <c r="D185" s="1"/>
      <c r="E185" s="1"/>
      <c r="F185" s="397"/>
      <c r="G185" s="1"/>
    </row>
    <row r="186" spans="3:11" x14ac:dyDescent="0.3">
      <c r="C186" s="355" t="s">
        <v>272</v>
      </c>
      <c r="D186" s="355" t="s">
        <v>852</v>
      </c>
      <c r="E186" s="355" t="s">
        <v>1037</v>
      </c>
      <c r="F186" s="355" t="s">
        <v>897</v>
      </c>
      <c r="G186" s="398" t="s">
        <v>898</v>
      </c>
    </row>
    <row r="187" spans="3:11" x14ac:dyDescent="0.3">
      <c r="C187" s="389" t="str">
        <f>+C128</f>
        <v>SMR-REF1</v>
      </c>
      <c r="D187" s="389" t="s">
        <v>1038</v>
      </c>
      <c r="E187" s="16">
        <v>2019</v>
      </c>
      <c r="F187" s="399"/>
      <c r="G187" s="389"/>
    </row>
    <row r="188" spans="3:11" x14ac:dyDescent="0.3">
      <c r="C188" s="389" t="str">
        <f>+C187</f>
        <v>SMR-REF1</v>
      </c>
      <c r="D188" s="16" t="s">
        <v>854</v>
      </c>
      <c r="E188" s="16">
        <v>2019</v>
      </c>
      <c r="F188" s="1"/>
      <c r="G188" s="400">
        <f>1/G96</f>
        <v>0.75917622919674754</v>
      </c>
    </row>
    <row r="189" spans="3:11" x14ac:dyDescent="0.3">
      <c r="C189" s="1"/>
      <c r="D189" s="1"/>
      <c r="E189" s="1"/>
      <c r="F189" s="1"/>
      <c r="G189" s="1"/>
    </row>
    <row r="190" spans="3:11" x14ac:dyDescent="0.3">
      <c r="C190" s="1"/>
      <c r="D190" s="1"/>
      <c r="E190" s="1"/>
      <c r="F190" s="1"/>
      <c r="G190" s="1"/>
    </row>
    <row r="191" spans="3:11" x14ac:dyDescent="0.3">
      <c r="C191" s="336" t="s">
        <v>804</v>
      </c>
      <c r="D191" s="328"/>
      <c r="E191" s="1"/>
      <c r="F191" s="1"/>
      <c r="G191" s="1"/>
    </row>
    <row r="192" spans="3:11" x14ac:dyDescent="0.3">
      <c r="C192" s="355" t="s">
        <v>272</v>
      </c>
      <c r="D192" s="355" t="s">
        <v>805</v>
      </c>
      <c r="E192" s="355" t="s">
        <v>806</v>
      </c>
      <c r="F192" s="1"/>
      <c r="G192" s="1"/>
    </row>
    <row r="193" spans="3:7" x14ac:dyDescent="0.3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" x14ac:dyDescent="0.35">
      <c r="C196" s="832" t="s">
        <v>1626</v>
      </c>
    </row>
    <row r="198" spans="3:7" x14ac:dyDescent="0.3">
      <c r="C198" s="336" t="s">
        <v>1024</v>
      </c>
      <c r="D198" s="269"/>
      <c r="E198" s="207"/>
    </row>
    <row r="199" spans="3:7" x14ac:dyDescent="0.3">
      <c r="C199" s="334" t="s">
        <v>272</v>
      </c>
      <c r="D199" s="371" t="s">
        <v>806</v>
      </c>
      <c r="E199" s="372" t="s">
        <v>897</v>
      </c>
    </row>
    <row r="200" spans="3:7" x14ac:dyDescent="0.3">
      <c r="C200" s="349" t="s">
        <v>978</v>
      </c>
      <c r="D200" s="1" t="s">
        <v>8</v>
      </c>
      <c r="E200" s="266">
        <f>+H103</f>
        <v>0.28993360530508427</v>
      </c>
    </row>
    <row r="201" spans="3:7" x14ac:dyDescent="0.3">
      <c r="C201" s="1"/>
      <c r="D201" s="1" t="s">
        <v>14</v>
      </c>
      <c r="E201" s="266">
        <f>+H104</f>
        <v>0.58687711610605675</v>
      </c>
    </row>
    <row r="202" spans="3:7" x14ac:dyDescent="0.3">
      <c r="C202" s="1"/>
      <c r="D202" s="1" t="s">
        <v>18</v>
      </c>
      <c r="E202" s="266">
        <f>+H105</f>
        <v>5.2912430899247027E-2</v>
      </c>
    </row>
    <row r="203" spans="3:7" x14ac:dyDescent="0.3">
      <c r="C203" s="1"/>
      <c r="D203" s="1" t="s">
        <v>22</v>
      </c>
      <c r="E203" s="266">
        <f>+H107</f>
        <v>2.4561805955053667E-2</v>
      </c>
    </row>
    <row r="204" spans="3:7" x14ac:dyDescent="0.3">
      <c r="C204" s="1"/>
      <c r="D204" s="1" t="s">
        <v>26</v>
      </c>
      <c r="E204" s="266">
        <f>+H106</f>
        <v>8.4169959959020657E-3</v>
      </c>
    </row>
    <row r="205" spans="3:7" x14ac:dyDescent="0.3">
      <c r="C205" s="1"/>
      <c r="D205" s="1" t="s">
        <v>121</v>
      </c>
      <c r="E205" s="877">
        <f>+H108</f>
        <v>3.7298045738656353E-2</v>
      </c>
    </row>
    <row r="206" spans="3:7" x14ac:dyDescent="0.3">
      <c r="D206" s="1"/>
      <c r="E206" s="266"/>
    </row>
    <row r="207" spans="3:7" x14ac:dyDescent="0.3">
      <c r="E207" s="374">
        <v>1</v>
      </c>
    </row>
    <row r="211" spans="3:7" ht="18" x14ac:dyDescent="0.35">
      <c r="C211" s="832" t="s">
        <v>1635</v>
      </c>
    </row>
    <row r="213" spans="3:7" x14ac:dyDescent="0.3">
      <c r="C213" s="381" t="s">
        <v>804</v>
      </c>
      <c r="D213" s="16"/>
      <c r="E213" s="16"/>
      <c r="F213" s="336"/>
      <c r="G213" s="16"/>
    </row>
    <row r="214" spans="3:7" x14ac:dyDescent="0.3">
      <c r="C214" s="354" t="s">
        <v>272</v>
      </c>
      <c r="D214" s="355" t="s">
        <v>852</v>
      </c>
      <c r="E214" s="355" t="s">
        <v>1037</v>
      </c>
      <c r="F214" s="355" t="s">
        <v>897</v>
      </c>
      <c r="G214" s="382" t="s">
        <v>898</v>
      </c>
    </row>
    <row r="215" spans="3:7" x14ac:dyDescent="0.3">
      <c r="C215" s="384" t="s">
        <v>978</v>
      </c>
      <c r="D215" s="385" t="s">
        <v>1038</v>
      </c>
      <c r="E215" s="16">
        <v>2019</v>
      </c>
      <c r="F215" s="386">
        <f>+E64*E61*E119</f>
        <v>311.43645272213371</v>
      </c>
    </row>
    <row r="216" spans="3:7" x14ac:dyDescent="0.3">
      <c r="C216" s="388" t="s">
        <v>978</v>
      </c>
      <c r="D216" s="214" t="s">
        <v>1038</v>
      </c>
      <c r="E216" s="878">
        <v>2020</v>
      </c>
      <c r="F216" s="386">
        <f>+E61*E65*E119</f>
        <v>314.95267073673836</v>
      </c>
      <c r="G216" s="16"/>
    </row>
    <row r="217" spans="3:7" x14ac:dyDescent="0.3">
      <c r="C217" s="384" t="s">
        <v>978</v>
      </c>
      <c r="D217" s="389" t="s">
        <v>854</v>
      </c>
      <c r="E217" s="16">
        <v>2019</v>
      </c>
      <c r="F217" s="16"/>
      <c r="G217" s="322">
        <f>+E119*E176</f>
        <v>0.8352417280311103</v>
      </c>
    </row>
    <row r="218" spans="3:7" x14ac:dyDescent="0.3">
      <c r="C218" s="357" t="s">
        <v>978</v>
      </c>
      <c r="D218" s="16" t="s">
        <v>1039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77" type="noConversion"/>
  <conditionalFormatting sqref="K7:K14 L7:L22 K6:L6">
    <cfRule type="containsText" dxfId="94" priority="1" operator="containsText" text="Oil and Gas">
      <formula>NOT(ISERROR(SEARCH(("Oil and Gas"),(K6))))</formula>
    </cfRule>
  </conditionalFormatting>
  <conditionalFormatting sqref="K7:K14 L7:L22 K6:L6">
    <cfRule type="containsText" dxfId="93" priority="2" operator="containsText" text="Gas">
      <formula>NOT(ISERROR(SEARCH(("Gas"),(K6))))</formula>
    </cfRule>
  </conditionalFormatting>
  <conditionalFormatting sqref="K7:K14 L7:L22 K6:L6">
    <cfRule type="containsText" dxfId="92" priority="3" operator="containsText" text="Oil">
      <formula>NOT(ISERROR(SEARCH(("Oil"),(K6))))</formula>
    </cfRule>
  </conditionalFormatting>
  <conditionalFormatting sqref="K15:K22">
    <cfRule type="containsText" dxfId="91" priority="4" operator="containsText" text="Oil and Gas">
      <formula>NOT(ISERROR(SEARCH(("Oil and Gas"),(K15))))</formula>
    </cfRule>
  </conditionalFormatting>
  <conditionalFormatting sqref="K15:K22">
    <cfRule type="containsText" dxfId="90" priority="5" operator="containsText" text="Gas">
      <formula>NOT(ISERROR(SEARCH(("Gas"),(K15))))</formula>
    </cfRule>
  </conditionalFormatting>
  <conditionalFormatting sqref="K15:K22">
    <cfRule type="containsText" dxfId="89" priority="6" operator="containsText" text="Oil">
      <formula>NOT(ISERROR(SEARCH(("Oil"),(K15))))</formula>
    </cfRule>
  </conditionalFormatting>
  <conditionalFormatting sqref="O6:P22">
    <cfRule type="cellIs" dxfId="88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996B-37E1-4D7F-AC69-C44C30B7FD48}">
  <dimension ref="A1:X223"/>
  <sheetViews>
    <sheetView showGridLines="0" topLeftCell="A190" zoomScaleNormal="100" workbookViewId="0">
      <selection activeCell="E108" sqref="E108"/>
    </sheetView>
  </sheetViews>
  <sheetFormatPr baseColWidth="10" defaultRowHeight="14.4" x14ac:dyDescent="0.3"/>
  <cols>
    <col min="1" max="1" width="26.5546875" customWidth="1"/>
    <col min="2" max="2" width="12.33203125" customWidth="1"/>
    <col min="3" max="3" width="18.6640625" customWidth="1"/>
    <col min="4" max="4" width="42.88671875" customWidth="1"/>
    <col min="5" max="5" width="13.5546875" customWidth="1"/>
    <col min="10" max="10" width="16.88671875" customWidth="1"/>
    <col min="11" max="11" width="18.33203125" customWidth="1"/>
  </cols>
  <sheetData>
    <row r="1" spans="1:24" x14ac:dyDescent="0.3">
      <c r="A1" s="854" t="s">
        <v>1610</v>
      </c>
      <c r="B1" s="854"/>
      <c r="C1" s="12" t="s">
        <v>963</v>
      </c>
      <c r="D1" s="12">
        <v>119.96</v>
      </c>
      <c r="E1" s="12" t="s">
        <v>698</v>
      </c>
    </row>
    <row r="2" spans="1:24" x14ac:dyDescent="0.3">
      <c r="A2" s="859">
        <f>41868000000/(1000000000000000)</f>
        <v>4.1868E-5</v>
      </c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3" spans="1:24" x14ac:dyDescent="0.3">
      <c r="A3" s="854" t="s">
        <v>1611</v>
      </c>
      <c r="J3" s="825" t="s">
        <v>1575</v>
      </c>
      <c r="K3">
        <v>8.33</v>
      </c>
      <c r="L3" s="818" t="s">
        <v>1576</v>
      </c>
    </row>
    <row r="4" spans="1:24" x14ac:dyDescent="0.3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1577</v>
      </c>
      <c r="M4" s="818" t="s">
        <v>1578</v>
      </c>
      <c r="O4" s="14" t="s">
        <v>509</v>
      </c>
      <c r="P4" s="818" t="s">
        <v>1579</v>
      </c>
    </row>
    <row r="5" spans="1:24" ht="54" x14ac:dyDescent="0.3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1574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1573</v>
      </c>
    </row>
    <row r="6" spans="1:24" x14ac:dyDescent="0.3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3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1593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1014"/>
      <c r="U7" s="1013" t="s">
        <v>1573</v>
      </c>
      <c r="V7" s="1013"/>
      <c r="W7" s="827"/>
      <c r="X7" s="827"/>
    </row>
    <row r="8" spans="1:24" x14ac:dyDescent="0.3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1594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1015"/>
      <c r="U8" s="828" t="s">
        <v>1580</v>
      </c>
      <c r="V8" s="828" t="s">
        <v>577</v>
      </c>
      <c r="W8" s="829" t="s">
        <v>689</v>
      </c>
      <c r="X8" s="828" t="s">
        <v>1581</v>
      </c>
    </row>
    <row r="9" spans="1:24" x14ac:dyDescent="0.3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1594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1584</v>
      </c>
      <c r="T9" s="828" t="s">
        <v>1119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3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1594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1583</v>
      </c>
      <c r="T10" s="828" t="s">
        <v>1118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3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1594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1582</v>
      </c>
      <c r="T11" s="828" t="s">
        <v>1117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3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1594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3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1594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3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1594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3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1594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3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1594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3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1594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3">
      <c r="A18" s="70" t="s">
        <v>1605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3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3">
      <c r="B20" s="854" t="s">
        <v>963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3">
      <c r="B21" s="854" t="s">
        <v>963</v>
      </c>
      <c r="C21">
        <f>+C20/1000</f>
        <v>0.1201</v>
      </c>
      <c r="D21" s="854" t="s">
        <v>1624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3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" x14ac:dyDescent="0.35">
      <c r="D29" s="832" t="s">
        <v>1585</v>
      </c>
      <c r="S29" s="832"/>
    </row>
    <row r="30" spans="1:19" x14ac:dyDescent="0.3">
      <c r="C30" s="866"/>
    </row>
    <row r="31" spans="1:19" x14ac:dyDescent="0.3">
      <c r="C31" s="853" t="s">
        <v>934</v>
      </c>
      <c r="D31" s="818" t="s">
        <v>1586</v>
      </c>
      <c r="E31">
        <v>24</v>
      </c>
      <c r="F31" s="818" t="s">
        <v>1581</v>
      </c>
    </row>
    <row r="32" spans="1:19" x14ac:dyDescent="0.3">
      <c r="C32" s="853" t="s">
        <v>920</v>
      </c>
      <c r="D32" s="880" t="s">
        <v>1655</v>
      </c>
      <c r="E32" s="833">
        <v>0.3</v>
      </c>
    </row>
    <row r="33" spans="3:10" x14ac:dyDescent="0.3">
      <c r="C33" s="866"/>
      <c r="G33" s="838"/>
      <c r="H33" s="838" t="s">
        <v>1580</v>
      </c>
      <c r="I33" s="838" t="s">
        <v>1577</v>
      </c>
      <c r="J33" s="838" t="s">
        <v>577</v>
      </c>
    </row>
    <row r="34" spans="3:10" x14ac:dyDescent="0.3">
      <c r="C34" s="866"/>
      <c r="D34" s="849" t="s">
        <v>1590</v>
      </c>
      <c r="G34" s="838" t="s">
        <v>1581</v>
      </c>
      <c r="H34" s="838" t="s">
        <v>1588</v>
      </c>
      <c r="I34" s="838" t="s">
        <v>689</v>
      </c>
      <c r="J34" s="838" t="s">
        <v>1589</v>
      </c>
    </row>
    <row r="35" spans="3:10" x14ac:dyDescent="0.3">
      <c r="C35" s="866"/>
      <c r="D35" s="818" t="s">
        <v>831</v>
      </c>
      <c r="E35" s="841">
        <f>+H35/100</f>
        <v>0.23009135447964041</v>
      </c>
      <c r="G35" s="839">
        <f>+X9</f>
        <v>46.232114566966032</v>
      </c>
      <c r="H35" s="840">
        <v>23.009135447964042</v>
      </c>
      <c r="I35" s="840">
        <f>+(141.5/(G35+131.5))*$K$4</f>
        <v>278.5382378452905</v>
      </c>
      <c r="J35" s="842">
        <f>+I35*H35</f>
        <v>6408.9240420195129</v>
      </c>
    </row>
    <row r="36" spans="3:10" x14ac:dyDescent="0.3">
      <c r="C36" s="866"/>
      <c r="D36" s="818" t="s">
        <v>833</v>
      </c>
      <c r="E36" s="841">
        <f>+H36/100</f>
        <v>0.46990864552035966</v>
      </c>
      <c r="G36" s="839">
        <f>+X10</f>
        <v>22.068612719099065</v>
      </c>
      <c r="H36" s="840">
        <v>46.990864552035966</v>
      </c>
      <c r="I36" s="840">
        <f>+(141.5/(G36+131.5))*$K$4</f>
        <v>322.36528756402009</v>
      </c>
      <c r="J36" s="842">
        <f>+I36*H36</f>
        <v>15148.223564198992</v>
      </c>
    </row>
    <row r="37" spans="3:10" x14ac:dyDescent="0.3">
      <c r="C37" s="866"/>
      <c r="D37" s="818" t="s">
        <v>835</v>
      </c>
      <c r="E37" s="841">
        <v>0.3</v>
      </c>
      <c r="G37" s="839">
        <f>+X11</f>
        <v>12.986528564073609</v>
      </c>
      <c r="H37" s="840">
        <v>30</v>
      </c>
      <c r="I37" s="840">
        <f>+(141.5/(G37+131.5))*$K$4</f>
        <v>342.62841312604837</v>
      </c>
      <c r="J37" s="842">
        <f>+I37*H37</f>
        <v>10278.852393781452</v>
      </c>
    </row>
    <row r="38" spans="3:10" x14ac:dyDescent="0.3">
      <c r="C38" s="866"/>
      <c r="E38" s="835">
        <f>+SUM(E35:E37)</f>
        <v>1</v>
      </c>
      <c r="G38" s="838">
        <f>+(141.5/(I38/K4)-131.5)</f>
        <v>24</v>
      </c>
      <c r="H38" s="839">
        <f>+SUM(H35:H37)</f>
        <v>100</v>
      </c>
      <c r="I38" s="840">
        <f>+(141.5/(G39+131.5))*$K$4</f>
        <v>318.36135048231512</v>
      </c>
      <c r="J38" s="843">
        <f>+SUM(J35:J37)</f>
        <v>31835.999999999956</v>
      </c>
    </row>
    <row r="39" spans="3:10" x14ac:dyDescent="0.3">
      <c r="C39" s="866"/>
      <c r="G39" s="844">
        <f>+E31</f>
        <v>24</v>
      </c>
      <c r="H39" s="844"/>
      <c r="I39" s="844"/>
      <c r="J39" s="845">
        <f>+I38*100</f>
        <v>31836.13504823151</v>
      </c>
    </row>
    <row r="41" spans="3:10" hidden="1" x14ac:dyDescent="0.3">
      <c r="C41" s="893" t="s">
        <v>923</v>
      </c>
      <c r="D41" s="881" t="s">
        <v>1656</v>
      </c>
      <c r="E41" s="882"/>
      <c r="F41" s="882"/>
      <c r="G41" s="883"/>
      <c r="H41" s="883" t="s">
        <v>1580</v>
      </c>
      <c r="I41" s="883" t="s">
        <v>1577</v>
      </c>
      <c r="J41" s="883" t="s">
        <v>577</v>
      </c>
    </row>
    <row r="42" spans="3:10" hidden="1" x14ac:dyDescent="0.3">
      <c r="D42" s="882" t="s">
        <v>831</v>
      </c>
      <c r="E42" s="884">
        <v>0.15</v>
      </c>
      <c r="F42" s="882"/>
      <c r="G42" s="883" t="s">
        <v>1581</v>
      </c>
      <c r="H42" s="883" t="s">
        <v>1588</v>
      </c>
      <c r="I42" s="883" t="s">
        <v>689</v>
      </c>
      <c r="J42" s="883" t="s">
        <v>1589</v>
      </c>
    </row>
    <row r="43" spans="3:10" hidden="1" x14ac:dyDescent="0.3">
      <c r="D43" s="882" t="s">
        <v>833</v>
      </c>
      <c r="E43" s="885">
        <v>0.25</v>
      </c>
      <c r="F43" s="882"/>
      <c r="G43" s="886">
        <f>+G35</f>
        <v>46.232114566966032</v>
      </c>
      <c r="H43" s="883">
        <v>30</v>
      </c>
      <c r="I43" s="887">
        <f>+(141.5/(G43+131.5))*$K$4</f>
        <v>278.5382378452905</v>
      </c>
      <c r="J43" s="888">
        <f>+I43*H43</f>
        <v>8356.1471353587149</v>
      </c>
    </row>
    <row r="44" spans="3:10" hidden="1" x14ac:dyDescent="0.3">
      <c r="D44" s="882" t="s">
        <v>835</v>
      </c>
      <c r="E44" s="885">
        <v>0.6</v>
      </c>
      <c r="F44" s="882"/>
      <c r="G44" s="886">
        <f>+G36</f>
        <v>22.068612719099065</v>
      </c>
      <c r="H44" s="886">
        <v>0</v>
      </c>
      <c r="I44" s="887">
        <f>+(141.5/(G44+131.5))*$K$4</f>
        <v>322.36528756402009</v>
      </c>
      <c r="J44" s="888">
        <f>+I44*H44</f>
        <v>0</v>
      </c>
    </row>
    <row r="45" spans="3:10" hidden="1" x14ac:dyDescent="0.3">
      <c r="D45" s="882"/>
      <c r="E45" s="889">
        <f>+SUM(E42:E44)</f>
        <v>1</v>
      </c>
      <c r="F45" s="882"/>
      <c r="G45" s="886">
        <f>+G37</f>
        <v>12.986528564073609</v>
      </c>
      <c r="H45" s="886">
        <v>70</v>
      </c>
      <c r="I45" s="887">
        <f t="shared" ref="I45" si="6">+(141.5/(G45+131.5))*$K$4</f>
        <v>342.62841312604837</v>
      </c>
      <c r="J45" s="888">
        <f>+I45*H45</f>
        <v>23983.988918823386</v>
      </c>
    </row>
    <row r="46" spans="3:10" hidden="1" x14ac:dyDescent="0.3">
      <c r="D46" s="882"/>
      <c r="E46" s="882"/>
      <c r="F46" s="882"/>
      <c r="G46" s="883">
        <f>+(141.5/(I46/K4)-131.5)</f>
        <v>24</v>
      </c>
      <c r="H46" s="886">
        <f>+SUM(H43:H45)</f>
        <v>100</v>
      </c>
      <c r="I46" s="887">
        <f>+(141.5/(G47+131.5))*$K$4</f>
        <v>318.36135048231512</v>
      </c>
      <c r="J46" s="890">
        <f>+SUM(J43:J45)</f>
        <v>32340.136054182101</v>
      </c>
    </row>
    <row r="47" spans="3:10" hidden="1" x14ac:dyDescent="0.3">
      <c r="D47" s="882"/>
      <c r="E47" s="882"/>
      <c r="F47" s="882"/>
      <c r="G47" s="891">
        <f>+E31</f>
        <v>24</v>
      </c>
      <c r="H47" s="891"/>
      <c r="I47" s="891"/>
      <c r="J47" s="892">
        <f>+I46*H46</f>
        <v>31836.13504823151</v>
      </c>
    </row>
    <row r="48" spans="3:10" hidden="1" x14ac:dyDescent="0.3"/>
    <row r="49" spans="3:11" hidden="1" x14ac:dyDescent="0.3">
      <c r="D49" s="848" t="s">
        <v>536</v>
      </c>
    </row>
    <row r="50" spans="3:11" hidden="1" x14ac:dyDescent="0.3">
      <c r="D50" s="818" t="s">
        <v>1598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11" hidden="1" x14ac:dyDescent="0.3">
      <c r="D51" s="837" t="s">
        <v>1592</v>
      </c>
      <c r="E51" s="847">
        <f>+E50*($C$8/1000)</f>
        <v>1.6802426854852597E-2</v>
      </c>
      <c r="F51" s="837" t="s">
        <v>1595</v>
      </c>
    </row>
    <row r="52" spans="3:11" hidden="1" x14ac:dyDescent="0.3">
      <c r="D52" s="837" t="s">
        <v>1592</v>
      </c>
      <c r="E52" s="847">
        <f>+E51*1000</f>
        <v>16.802426854852598</v>
      </c>
      <c r="F52" s="837" t="s">
        <v>1596</v>
      </c>
    </row>
    <row r="53" spans="3:11" hidden="1" x14ac:dyDescent="0.3">
      <c r="D53" s="837" t="s">
        <v>1592</v>
      </c>
      <c r="E53" s="847">
        <f>+E52</f>
        <v>16.802426854852598</v>
      </c>
      <c r="F53" s="837" t="s">
        <v>1597</v>
      </c>
    </row>
    <row r="54" spans="3:11" hidden="1" x14ac:dyDescent="0.3"/>
    <row r="56" spans="3:11" ht="18" x14ac:dyDescent="0.35">
      <c r="D56" s="832" t="s">
        <v>1599</v>
      </c>
    </row>
    <row r="58" spans="3:11" x14ac:dyDescent="0.3">
      <c r="D58" s="848" t="s">
        <v>1638</v>
      </c>
      <c r="H58" s="970" t="s">
        <v>1793</v>
      </c>
      <c r="J58" s="836">
        <f>+J61/J59</f>
        <v>22.376810491959233</v>
      </c>
      <c r="K58" s="880" t="s">
        <v>480</v>
      </c>
    </row>
    <row r="59" spans="3:11" x14ac:dyDescent="0.3">
      <c r="C59" s="853" t="s">
        <v>934</v>
      </c>
      <c r="D59" s="18" t="s">
        <v>1029</v>
      </c>
      <c r="E59" s="12">
        <v>250</v>
      </c>
      <c r="F59" s="365" t="s">
        <v>513</v>
      </c>
      <c r="H59" s="880" t="s">
        <v>1659</v>
      </c>
      <c r="J59" s="836">
        <f>+J60*365*C8/1000</f>
        <v>542.12373136730503</v>
      </c>
      <c r="K59" s="880" t="s">
        <v>59</v>
      </c>
    </row>
    <row r="60" spans="3:11" x14ac:dyDescent="0.3">
      <c r="C60" s="70" t="s">
        <v>1603</v>
      </c>
      <c r="D60" s="18" t="s">
        <v>1031</v>
      </c>
      <c r="E60" s="12">
        <v>218</v>
      </c>
      <c r="F60" s="365" t="s">
        <v>513</v>
      </c>
      <c r="H60" s="880" t="s">
        <v>1659</v>
      </c>
      <c r="J60">
        <v>244</v>
      </c>
      <c r="K60" s="867" t="s">
        <v>513</v>
      </c>
    </row>
    <row r="61" spans="3:11" x14ac:dyDescent="0.3">
      <c r="C61" s="850"/>
      <c r="D61" s="18" t="s">
        <v>1601</v>
      </c>
      <c r="E61" s="275">
        <f>+E59*365*C8/1000</f>
        <v>555.45464279436999</v>
      </c>
      <c r="F61" s="365" t="s">
        <v>59</v>
      </c>
      <c r="H61" s="880" t="s">
        <v>1659</v>
      </c>
      <c r="J61">
        <v>12131</v>
      </c>
      <c r="K61" s="880" t="s">
        <v>1657</v>
      </c>
    </row>
    <row r="62" spans="3:11" x14ac:dyDescent="0.3">
      <c r="C62" s="850"/>
      <c r="D62" s="18" t="s">
        <v>1602</v>
      </c>
      <c r="E62" s="275">
        <f>+E60*365*C9/1000</f>
        <v>484.35644851669059</v>
      </c>
      <c r="F62" s="365" t="s">
        <v>59</v>
      </c>
    </row>
    <row r="63" spans="3:11" x14ac:dyDescent="0.3">
      <c r="C63" s="850"/>
      <c r="D63" s="18"/>
      <c r="E63" s="275"/>
      <c r="F63" s="365"/>
    </row>
    <row r="64" spans="3:11" x14ac:dyDescent="0.3">
      <c r="C64" s="70" t="s">
        <v>1641</v>
      </c>
      <c r="D64" s="18" t="s">
        <v>1636</v>
      </c>
      <c r="E64" s="865">
        <f>+E60/E59</f>
        <v>0.872</v>
      </c>
      <c r="F64" s="365"/>
    </row>
    <row r="65" spans="1:9" x14ac:dyDescent="0.3">
      <c r="C65" s="70" t="s">
        <v>1640</v>
      </c>
      <c r="D65" s="18" t="s">
        <v>1637</v>
      </c>
      <c r="E65" s="865">
        <v>0.9</v>
      </c>
      <c r="F65" s="365"/>
    </row>
    <row r="66" spans="1:9" x14ac:dyDescent="0.3">
      <c r="C66" s="850"/>
      <c r="D66" s="18"/>
      <c r="E66" s="865"/>
      <c r="F66" s="365"/>
    </row>
    <row r="67" spans="1:9" x14ac:dyDescent="0.3">
      <c r="C67" s="70" t="s">
        <v>1643</v>
      </c>
      <c r="D67" s="18" t="s">
        <v>1639</v>
      </c>
      <c r="E67" s="868">
        <v>4.8099999999999996</v>
      </c>
      <c r="F67" s="867" t="s">
        <v>1642</v>
      </c>
    </row>
    <row r="68" spans="1:9" x14ac:dyDescent="0.3">
      <c r="A68" s="869">
        <v>8.2176851262728707</v>
      </c>
      <c r="C68" s="850"/>
      <c r="D68" s="18" t="s">
        <v>1644</v>
      </c>
      <c r="E68" s="868">
        <f>+E67/A68</f>
        <v>0.58532298647241721</v>
      </c>
      <c r="F68" s="867" t="s">
        <v>773</v>
      </c>
    </row>
    <row r="70" spans="1:9" x14ac:dyDescent="0.3">
      <c r="D70" s="848" t="s">
        <v>1600</v>
      </c>
    </row>
    <row r="71" spans="1:9" x14ac:dyDescent="0.3">
      <c r="E71" s="860" t="s">
        <v>586</v>
      </c>
      <c r="F71" s="286" t="s">
        <v>59</v>
      </c>
    </row>
    <row r="72" spans="1:9" x14ac:dyDescent="0.3">
      <c r="C72" s="70" t="s">
        <v>1664</v>
      </c>
      <c r="D72" s="880" t="s">
        <v>1658</v>
      </c>
      <c r="E72" s="809">
        <f>+(F72/C21)/365</f>
        <v>1.5972602739726026E-2</v>
      </c>
      <c r="F72" s="836">
        <f>+E82*J59</f>
        <v>0.700183</v>
      </c>
    </row>
    <row r="73" spans="1:9" x14ac:dyDescent="0.3">
      <c r="C73" s="70" t="s">
        <v>1641</v>
      </c>
      <c r="D73" s="880" t="s">
        <v>1661</v>
      </c>
      <c r="E73" s="836">
        <f>+F73*E17</f>
        <v>35.54706415898611</v>
      </c>
      <c r="F73" s="836">
        <f>+E83*J59</f>
        <v>13.004534319337711</v>
      </c>
      <c r="I73" s="895"/>
    </row>
    <row r="74" spans="1:9" x14ac:dyDescent="0.3">
      <c r="C74" s="70" t="s">
        <v>1641</v>
      </c>
      <c r="D74" s="880" t="s">
        <v>1662</v>
      </c>
      <c r="E74" s="836">
        <f>+F74*E7</f>
        <v>58.960930528934362</v>
      </c>
      <c r="F74" s="836">
        <f>+E84*J59</f>
        <v>21.726420759325691</v>
      </c>
    </row>
    <row r="75" spans="1:9" x14ac:dyDescent="0.3">
      <c r="C75" s="70" t="s">
        <v>1641</v>
      </c>
      <c r="D75" s="880" t="s">
        <v>1663</v>
      </c>
      <c r="E75" s="855">
        <f>+F75*E15</f>
        <v>3.4528026945575578</v>
      </c>
      <c r="F75" s="836">
        <f>+E85*J59</f>
        <v>6.8821246913333587</v>
      </c>
    </row>
    <row r="76" spans="1:9" x14ac:dyDescent="0.3">
      <c r="C76" s="853" t="s">
        <v>1607</v>
      </c>
      <c r="D76" s="854" t="s">
        <v>1617</v>
      </c>
      <c r="E76">
        <v>651</v>
      </c>
      <c r="F76" s="809">
        <f>+(E76/E14)/1000</f>
        <v>0.9638296566055029</v>
      </c>
      <c r="H76" s="894"/>
    </row>
    <row r="77" spans="1:9" x14ac:dyDescent="0.3">
      <c r="C77" s="853"/>
      <c r="D77" s="818"/>
    </row>
    <row r="79" spans="1:9" x14ac:dyDescent="0.3">
      <c r="A79" s="809"/>
      <c r="B79" s="819"/>
      <c r="C79" s="818"/>
      <c r="D79" s="818"/>
      <c r="E79" s="809"/>
      <c r="F79" s="818"/>
    </row>
    <row r="80" spans="1:9" x14ac:dyDescent="0.3">
      <c r="A80" s="809"/>
      <c r="B80" s="836"/>
      <c r="C80" s="818"/>
      <c r="D80" s="848" t="s">
        <v>1618</v>
      </c>
      <c r="E80" s="809"/>
      <c r="F80" s="818"/>
    </row>
    <row r="81" spans="3:12" x14ac:dyDescent="0.3">
      <c r="G81" s="971" t="s">
        <v>1787</v>
      </c>
      <c r="H81" s="971" t="s">
        <v>1790</v>
      </c>
      <c r="I81" s="974" t="s">
        <v>1786</v>
      </c>
    </row>
    <row r="82" spans="3:12" x14ac:dyDescent="0.3">
      <c r="C82" s="853" t="s">
        <v>1785</v>
      </c>
      <c r="D82" s="854" t="s">
        <v>1619</v>
      </c>
      <c r="E82" s="804">
        <f>(5.83*C21)/J59</f>
        <v>1.2915557085723759E-3</v>
      </c>
      <c r="F82" s="854" t="s">
        <v>533</v>
      </c>
      <c r="G82" s="972">
        <f>E82*J59</f>
        <v>0.700183</v>
      </c>
      <c r="H82" s="972">
        <f>G82/C21</f>
        <v>5.83</v>
      </c>
      <c r="I82" s="977">
        <f>H82/(J60*365)</f>
        <v>6.5461486638221421E-5</v>
      </c>
      <c r="J82" s="970" t="s">
        <v>1788</v>
      </c>
      <c r="K82" s="808">
        <f>I82*1000</f>
        <v>6.5461486638221419E-2</v>
      </c>
      <c r="L82" s="978" t="s">
        <v>1596</v>
      </c>
    </row>
    <row r="83" spans="3:12" x14ac:dyDescent="0.3">
      <c r="C83" s="853" t="s">
        <v>1660</v>
      </c>
      <c r="D83" s="854" t="s">
        <v>1620</v>
      </c>
      <c r="E83">
        <f>291/J61</f>
        <v>2.3988129585359824E-2</v>
      </c>
      <c r="F83" s="854" t="s">
        <v>533</v>
      </c>
      <c r="G83" s="973">
        <f>E83*J59</f>
        <v>13.004534319337711</v>
      </c>
      <c r="H83" s="972">
        <f>G83/(C17/1000)</f>
        <v>12974.678418029931</v>
      </c>
      <c r="I83" s="975">
        <f>H83/(J60*365)</f>
        <v>0.14568468917617258</v>
      </c>
      <c r="J83" s="970" t="s">
        <v>1789</v>
      </c>
    </row>
    <row r="84" spans="3:12" x14ac:dyDescent="0.3">
      <c r="C84" s="853" t="s">
        <v>1660</v>
      </c>
      <c r="D84" s="854" t="s">
        <v>1621</v>
      </c>
      <c r="E84">
        <f>+((642-(289*68.8%))+43)/J61</f>
        <v>4.0076498227681147E-2</v>
      </c>
      <c r="F84" s="854" t="s">
        <v>533</v>
      </c>
      <c r="G84" s="972">
        <f>E84*J59</f>
        <v>21.726420759325691</v>
      </c>
      <c r="H84" s="972">
        <f>G84/(C7/1000)</f>
        <v>21520.739643061046</v>
      </c>
      <c r="I84" s="975">
        <f>H84/(J60*365)</f>
        <v>0.24164315790546875</v>
      </c>
      <c r="J84" s="970" t="s">
        <v>1789</v>
      </c>
    </row>
    <row r="85" spans="3:12" x14ac:dyDescent="0.3">
      <c r="C85" s="853" t="s">
        <v>1660</v>
      </c>
      <c r="D85" s="854" t="s">
        <v>1622</v>
      </c>
      <c r="E85">
        <f>154/J61</f>
        <v>1.2694748990190421E-2</v>
      </c>
      <c r="F85" s="854" t="s">
        <v>533</v>
      </c>
      <c r="G85" s="971">
        <f>E85*J59</f>
        <v>6.8821246913333587</v>
      </c>
      <c r="H85" s="972">
        <f>G85/(C15/1000)</f>
        <v>1260.2729835135085</v>
      </c>
      <c r="I85" s="976">
        <f>H85/(J60*365)</f>
        <v>1.4150830715399826E-2</v>
      </c>
      <c r="J85" s="970" t="s">
        <v>1791</v>
      </c>
      <c r="K85" s="809">
        <f>I85*1000</f>
        <v>14.150830715399826</v>
      </c>
      <c r="L85" s="970" t="s">
        <v>1792</v>
      </c>
    </row>
    <row r="86" spans="3:12" x14ac:dyDescent="0.3">
      <c r="C86" s="853" t="s">
        <v>1607</v>
      </c>
      <c r="D86" s="854" t="s">
        <v>1623</v>
      </c>
      <c r="E86">
        <f>+F76/E62</f>
        <v>1.9899180852390157E-3</v>
      </c>
      <c r="F86" s="854" t="s">
        <v>533</v>
      </c>
      <c r="G86" s="972">
        <f>E86*E62</f>
        <v>0.96382965660550279</v>
      </c>
      <c r="H86" s="972">
        <f>G86/(C14/1000)</f>
        <v>237.61499999999995</v>
      </c>
      <c r="I86" s="976">
        <f>H86/(E60*365)</f>
        <v>2.9862385321100912E-3</v>
      </c>
      <c r="J86" s="970" t="s">
        <v>1791</v>
      </c>
      <c r="K86" s="809">
        <f>I86*1000</f>
        <v>2.9862385321100913</v>
      </c>
      <c r="L86" s="970" t="s">
        <v>1792</v>
      </c>
    </row>
    <row r="87" spans="3:12" x14ac:dyDescent="0.3">
      <c r="E87" s="861">
        <f>+SUM(E82:E86)</f>
        <v>8.0040850597042787E-2</v>
      </c>
      <c r="F87" s="854" t="s">
        <v>533</v>
      </c>
      <c r="H87" s="809"/>
      <c r="I87" s="879"/>
    </row>
    <row r="90" spans="3:12" ht="18" x14ac:dyDescent="0.35">
      <c r="D90" s="832" t="s">
        <v>1625</v>
      </c>
    </row>
    <row r="91" spans="3:12" ht="18" x14ac:dyDescent="0.35">
      <c r="D91" s="832"/>
    </row>
    <row r="92" spans="3:12" x14ac:dyDescent="0.3">
      <c r="D92" s="880" t="s">
        <v>1665</v>
      </c>
      <c r="E92" s="809">
        <f>289*68.8%</f>
        <v>198.83199999999999</v>
      </c>
      <c r="F92" s="880" t="s">
        <v>1666</v>
      </c>
    </row>
    <row r="93" spans="3:12" x14ac:dyDescent="0.3">
      <c r="D93" s="880" t="s">
        <v>1667</v>
      </c>
      <c r="E93" s="809">
        <f>+E92/J58</f>
        <v>8.8856273806960679</v>
      </c>
      <c r="F93" s="880" t="s">
        <v>59</v>
      </c>
      <c r="H93" s="882" t="s">
        <v>1668</v>
      </c>
      <c r="I93" s="882"/>
      <c r="J93" s="882">
        <f>+E93*(1/G97)</f>
        <v>6.745757088924214</v>
      </c>
      <c r="K93" s="882" t="s">
        <v>59</v>
      </c>
    </row>
    <row r="94" spans="3:12" x14ac:dyDescent="0.3">
      <c r="D94" s="880"/>
      <c r="E94" s="809"/>
      <c r="F94" s="880"/>
      <c r="J94">
        <f>J93/C21</f>
        <v>56.167835877803611</v>
      </c>
      <c r="K94" s="969" t="s">
        <v>1783</v>
      </c>
    </row>
    <row r="95" spans="3:12" x14ac:dyDescent="0.3">
      <c r="J95">
        <f>J94/J60</f>
        <v>0.23019604867952301</v>
      </c>
    </row>
    <row r="96" spans="3:12" x14ac:dyDescent="0.3">
      <c r="E96" s="391"/>
      <c r="F96" s="392" t="s">
        <v>586</v>
      </c>
      <c r="G96" s="392" t="s">
        <v>992</v>
      </c>
    </row>
    <row r="97" spans="2:13" x14ac:dyDescent="0.3">
      <c r="B97" s="853" t="s">
        <v>1628</v>
      </c>
      <c r="C97" s="853" t="s">
        <v>1627</v>
      </c>
      <c r="E97" s="393" t="s">
        <v>1043</v>
      </c>
      <c r="F97" s="394">
        <f>394.77/299.7</f>
        <v>1.3172172172172172</v>
      </c>
      <c r="G97" s="395">
        <f>+F97</f>
        <v>1.3172172172172172</v>
      </c>
      <c r="H97" s="12" t="s">
        <v>1044</v>
      </c>
      <c r="K97" s="880"/>
    </row>
    <row r="98" spans="2:13" x14ac:dyDescent="0.3">
      <c r="B98" s="853"/>
      <c r="C98" s="853"/>
      <c r="E98" s="393"/>
      <c r="F98" s="394"/>
      <c r="G98" s="395"/>
      <c r="H98" s="12"/>
    </row>
    <row r="100" spans="2:13" ht="18" x14ac:dyDescent="0.35">
      <c r="D100" s="832" t="s">
        <v>1626</v>
      </c>
    </row>
    <row r="101" spans="2:13" ht="18" x14ac:dyDescent="0.35">
      <c r="D101" s="832"/>
    </row>
    <row r="102" spans="2:13" x14ac:dyDescent="0.3">
      <c r="C102" s="853" t="s">
        <v>934</v>
      </c>
      <c r="D102" s="880" t="s">
        <v>1670</v>
      </c>
      <c r="E102">
        <f>+'4. Refinerys Data'!D32/1000</f>
        <v>222</v>
      </c>
      <c r="F102" s="880" t="s">
        <v>513</v>
      </c>
      <c r="G102" s="836">
        <f>+E102/E8</f>
        <v>493.24372280140039</v>
      </c>
      <c r="H102" s="880" t="s">
        <v>59</v>
      </c>
    </row>
    <row r="103" spans="2:13" x14ac:dyDescent="0.3">
      <c r="C103" s="853" t="s">
        <v>934</v>
      </c>
      <c r="D103" s="880" t="s">
        <v>1672</v>
      </c>
      <c r="E103">
        <v>180</v>
      </c>
      <c r="F103" s="880" t="s">
        <v>513</v>
      </c>
      <c r="G103" s="836"/>
      <c r="H103" s="880"/>
    </row>
    <row r="104" spans="2:13" x14ac:dyDescent="0.3">
      <c r="D104" s="880"/>
      <c r="F104" s="880"/>
    </row>
    <row r="105" spans="2:13" x14ac:dyDescent="0.3">
      <c r="E105" s="862" t="s">
        <v>586</v>
      </c>
      <c r="F105" s="862" t="s">
        <v>992</v>
      </c>
      <c r="H105" s="854" t="s">
        <v>1654</v>
      </c>
      <c r="I105" s="880" t="s">
        <v>1671</v>
      </c>
    </row>
    <row r="106" spans="2:13" x14ac:dyDescent="0.3">
      <c r="C106" s="853" t="s">
        <v>934</v>
      </c>
      <c r="D106" s="880" t="s">
        <v>1669</v>
      </c>
      <c r="E106" s="896">
        <f>+SUM(E107:E111)</f>
        <v>180</v>
      </c>
      <c r="F106" s="897">
        <f>+SUM(F107:F112)</f>
        <v>365.44421422349302</v>
      </c>
      <c r="G106" s="880" t="s">
        <v>59</v>
      </c>
      <c r="H106" s="833">
        <f>+SUM(H107:H112)</f>
        <v>1</v>
      </c>
      <c r="I106" s="817">
        <f>+SUM(I107:I112)</f>
        <v>0.99999999999999989</v>
      </c>
    </row>
    <row r="107" spans="2:13" x14ac:dyDescent="0.3">
      <c r="C107" s="853" t="s">
        <v>934</v>
      </c>
      <c r="D107" s="854" t="s">
        <v>958</v>
      </c>
      <c r="E107" s="836">
        <f>+$E$103*I107</f>
        <v>58.32</v>
      </c>
      <c r="F107" s="836">
        <f>+E107/E11</f>
        <v>113.47777518091667</v>
      </c>
      <c r="G107" s="880" t="s">
        <v>59</v>
      </c>
      <c r="H107" s="841">
        <f>+F107/$F$106</f>
        <v>0.31052010338168218</v>
      </c>
      <c r="I107" s="817">
        <v>0.32400000000000001</v>
      </c>
      <c r="J107" s="841"/>
    </row>
    <row r="108" spans="2:13" x14ac:dyDescent="0.3">
      <c r="C108" s="853" t="s">
        <v>934</v>
      </c>
      <c r="D108" s="854" t="s">
        <v>1019</v>
      </c>
      <c r="E108" s="836">
        <f>+$E$103*I108</f>
        <v>59.220000000000006</v>
      </c>
      <c r="F108" s="836">
        <f>+E108/E12</f>
        <v>122.57712054787665</v>
      </c>
      <c r="G108" s="880" t="s">
        <v>59</v>
      </c>
      <c r="H108" s="841">
        <f t="shared" ref="H108:H112" si="7">+F108/$F$106</f>
        <v>0.33541951350449545</v>
      </c>
      <c r="I108" s="817">
        <v>0.32900000000000001</v>
      </c>
      <c r="J108" s="841"/>
    </row>
    <row r="109" spans="2:13" x14ac:dyDescent="0.3">
      <c r="C109" s="853" t="s">
        <v>934</v>
      </c>
      <c r="D109" s="854" t="s">
        <v>1629</v>
      </c>
      <c r="E109" s="836">
        <f>+$E$103*I109</f>
        <v>17.82</v>
      </c>
      <c r="F109" s="836">
        <f>+E109/E13</f>
        <v>30.646926896511573</v>
      </c>
      <c r="G109" s="880" t="s">
        <v>59</v>
      </c>
      <c r="H109" s="841">
        <f t="shared" si="7"/>
        <v>8.3862120957725647E-2</v>
      </c>
      <c r="I109" s="817">
        <v>9.9000000000000005E-2</v>
      </c>
      <c r="J109" s="841"/>
    </row>
    <row r="110" spans="2:13" x14ac:dyDescent="0.3">
      <c r="C110" s="853" t="s">
        <v>934</v>
      </c>
      <c r="D110" s="854" t="s">
        <v>782</v>
      </c>
      <c r="E110" s="836">
        <f>+E103-(E107+E108+E109+E111)</f>
        <v>40.609999999999985</v>
      </c>
      <c r="F110" s="836">
        <f>+E110/E15</f>
        <v>80.943832717571652</v>
      </c>
      <c r="G110" s="880" t="s">
        <v>59</v>
      </c>
      <c r="H110" s="841">
        <f t="shared" si="7"/>
        <v>0.22149436101913275</v>
      </c>
      <c r="I110" s="864">
        <f>+E110/E106</f>
        <v>0.22561111111111104</v>
      </c>
      <c r="J110" s="841"/>
      <c r="M110" s="880" t="s">
        <v>1674</v>
      </c>
    </row>
    <row r="111" spans="2:13" x14ac:dyDescent="0.3">
      <c r="C111" s="853" t="s">
        <v>1607</v>
      </c>
      <c r="D111" s="854" t="s">
        <v>22</v>
      </c>
      <c r="E111" s="854">
        <f>4030/1000</f>
        <v>4.03</v>
      </c>
      <c r="F111" s="836">
        <f>+E111/E14</f>
        <v>5.9665645408912091</v>
      </c>
      <c r="G111" s="880" t="s">
        <v>59</v>
      </c>
      <c r="H111" s="841">
        <f t="shared" si="7"/>
        <v>1.6326881938927798E-2</v>
      </c>
      <c r="I111" s="898">
        <f>+E111/E103</f>
        <v>2.2388888888888889E-2</v>
      </c>
      <c r="J111" s="841"/>
      <c r="K111" s="880" t="s">
        <v>1673</v>
      </c>
      <c r="L111" s="880" t="s">
        <v>22</v>
      </c>
      <c r="M111">
        <v>4.4279999999999999</v>
      </c>
    </row>
    <row r="112" spans="2:13" x14ac:dyDescent="0.3">
      <c r="C112" s="853" t="s">
        <v>1641</v>
      </c>
      <c r="D112" s="854" t="s">
        <v>1632</v>
      </c>
      <c r="E112" s="809">
        <f>+F112*E17</f>
        <v>32.342000997110311</v>
      </c>
      <c r="F112" s="836">
        <f>+E83*$G$102</f>
        <v>11.831994339725293</v>
      </c>
      <c r="G112" s="880" t="s">
        <v>59</v>
      </c>
      <c r="H112" s="841">
        <f t="shared" si="7"/>
        <v>3.2377019198036219E-2</v>
      </c>
      <c r="J112" s="841"/>
    </row>
    <row r="113" spans="3:10" x14ac:dyDescent="0.3">
      <c r="C113" s="853" t="s">
        <v>1025</v>
      </c>
      <c r="D113" s="880" t="s">
        <v>102</v>
      </c>
      <c r="H113" s="833"/>
      <c r="J113" s="841"/>
    </row>
    <row r="114" spans="3:10" x14ac:dyDescent="0.3">
      <c r="J114" s="841"/>
    </row>
    <row r="115" spans="3:10" x14ac:dyDescent="0.3">
      <c r="D115" s="848" t="s">
        <v>1631</v>
      </c>
      <c r="J115" s="841"/>
    </row>
    <row r="116" spans="3:10" x14ac:dyDescent="0.3">
      <c r="D116" s="854" t="s">
        <v>958</v>
      </c>
      <c r="E116" s="808">
        <f>+F107/$E$61</f>
        <v>0.20429710445849361</v>
      </c>
      <c r="F116" s="854" t="s">
        <v>533</v>
      </c>
    </row>
    <row r="117" spans="3:10" x14ac:dyDescent="0.3">
      <c r="D117" s="854" t="s">
        <v>1019</v>
      </c>
      <c r="E117" s="808">
        <f t="shared" ref="E117:E120" si="8">+F108/$E$61</f>
        <v>0.22067890175733909</v>
      </c>
      <c r="F117" s="854" t="s">
        <v>533</v>
      </c>
    </row>
    <row r="118" spans="3:10" x14ac:dyDescent="0.3">
      <c r="D118" s="854" t="s">
        <v>1629</v>
      </c>
      <c r="E118" s="808">
        <f t="shared" si="8"/>
        <v>5.5174490472045805E-2</v>
      </c>
      <c r="F118" s="854" t="s">
        <v>533</v>
      </c>
    </row>
    <row r="119" spans="3:10" x14ac:dyDescent="0.3">
      <c r="D119" s="854" t="s">
        <v>782</v>
      </c>
      <c r="E119" s="808">
        <f t="shared" si="8"/>
        <v>0.14572536888045629</v>
      </c>
      <c r="F119" s="854" t="s">
        <v>533</v>
      </c>
    </row>
    <row r="120" spans="3:10" x14ac:dyDescent="0.3">
      <c r="D120" s="854" t="s">
        <v>22</v>
      </c>
      <c r="E120" s="808">
        <f t="shared" si="8"/>
        <v>1.0741767340128326E-2</v>
      </c>
      <c r="F120" s="854" t="s">
        <v>533</v>
      </c>
    </row>
    <row r="121" spans="3:10" x14ac:dyDescent="0.3">
      <c r="D121" s="854" t="s">
        <v>1632</v>
      </c>
      <c r="E121" s="808">
        <f>+F112/$E$61</f>
        <v>2.1301459071799516E-2</v>
      </c>
      <c r="F121" s="854" t="s">
        <v>533</v>
      </c>
    </row>
    <row r="122" spans="3:10" x14ac:dyDescent="0.3">
      <c r="D122" s="854"/>
      <c r="E122" s="808"/>
      <c r="F122" s="854"/>
    </row>
    <row r="124" spans="3:10" x14ac:dyDescent="0.3">
      <c r="C124" s="853" t="s">
        <v>1645</v>
      </c>
      <c r="D124" s="854" t="s">
        <v>1634</v>
      </c>
      <c r="E124" s="864">
        <f>+F106/G102</f>
        <v>0.74089987835615179</v>
      </c>
      <c r="F124" s="854"/>
    </row>
    <row r="125" spans="3:10" x14ac:dyDescent="0.3">
      <c r="C125" s="853"/>
    </row>
    <row r="129" spans="1:6" x14ac:dyDescent="0.3">
      <c r="A129" s="327" t="s">
        <v>270</v>
      </c>
      <c r="B129" s="1"/>
      <c r="C129" s="1"/>
      <c r="D129" s="1"/>
      <c r="E129" s="1"/>
      <c r="F129" s="1"/>
    </row>
    <row r="130" spans="1:6" x14ac:dyDescent="0.3">
      <c r="A130" s="331" t="s">
        <v>271</v>
      </c>
      <c r="B130" s="332" t="s">
        <v>42</v>
      </c>
      <c r="C130" s="332" t="s">
        <v>272</v>
      </c>
      <c r="D130" s="332" t="s">
        <v>273</v>
      </c>
      <c r="E130" s="332" t="s">
        <v>274</v>
      </c>
      <c r="F130" s="333" t="s">
        <v>275</v>
      </c>
    </row>
    <row r="131" spans="1:6" x14ac:dyDescent="0.3">
      <c r="A131" s="1" t="s">
        <v>289</v>
      </c>
      <c r="B131" s="1"/>
      <c r="C131" s="17" t="s">
        <v>1078</v>
      </c>
      <c r="D131" s="1" t="s">
        <v>1079</v>
      </c>
      <c r="E131" s="1" t="s">
        <v>59</v>
      </c>
      <c r="F131" s="1" t="s">
        <v>288</v>
      </c>
    </row>
    <row r="132" spans="1:6" x14ac:dyDescent="0.3">
      <c r="A132" s="1"/>
      <c r="B132" s="1"/>
      <c r="C132" s="338" t="s">
        <v>1080</v>
      </c>
      <c r="D132" s="328" t="s">
        <v>1081</v>
      </c>
      <c r="E132" s="1" t="s">
        <v>59</v>
      </c>
      <c r="F132" s="1" t="s">
        <v>288</v>
      </c>
    </row>
    <row r="133" spans="1:6" x14ac:dyDescent="0.3">
      <c r="A133" s="1"/>
      <c r="B133" s="1"/>
      <c r="C133" s="342" t="s">
        <v>1082</v>
      </c>
      <c r="D133" s="328" t="s">
        <v>1083</v>
      </c>
      <c r="E133" s="1" t="s">
        <v>59</v>
      </c>
      <c r="F133" s="1" t="s">
        <v>288</v>
      </c>
    </row>
    <row r="134" spans="1:6" x14ac:dyDescent="0.3">
      <c r="A134" s="1"/>
      <c r="B134" s="1"/>
      <c r="C134" s="17" t="s">
        <v>1084</v>
      </c>
      <c r="D134" s="328" t="s">
        <v>1085</v>
      </c>
      <c r="E134" s="1" t="s">
        <v>59</v>
      </c>
      <c r="F134" s="1" t="s">
        <v>288</v>
      </c>
    </row>
    <row r="135" spans="1:6" x14ac:dyDescent="0.3">
      <c r="A135" s="328"/>
      <c r="B135" s="328"/>
      <c r="C135" s="18" t="s">
        <v>1086</v>
      </c>
      <c r="D135" s="880" t="s">
        <v>1087</v>
      </c>
      <c r="E135" s="1" t="s">
        <v>59</v>
      </c>
      <c r="F135" s="1" t="s">
        <v>288</v>
      </c>
    </row>
    <row r="136" spans="1:6" x14ac:dyDescent="0.3">
      <c r="A136" s="328"/>
      <c r="B136" s="328"/>
      <c r="C136" s="18" t="s">
        <v>1088</v>
      </c>
      <c r="D136" s="880" t="s">
        <v>1089</v>
      </c>
      <c r="E136" s="12" t="s">
        <v>59</v>
      </c>
      <c r="F136" s="344" t="s">
        <v>288</v>
      </c>
    </row>
    <row r="137" spans="1:6" x14ac:dyDescent="0.3">
      <c r="A137" s="328"/>
      <c r="B137" s="328"/>
      <c r="C137" s="18" t="s">
        <v>1090</v>
      </c>
      <c r="D137" s="328" t="s">
        <v>1091</v>
      </c>
      <c r="E137" s="328" t="s">
        <v>59</v>
      </c>
      <c r="F137" s="344" t="s">
        <v>288</v>
      </c>
    </row>
    <row r="138" spans="1:6" ht="15.75" customHeight="1" x14ac:dyDescent="0.3">
      <c r="A138" s="328"/>
      <c r="B138" s="328"/>
      <c r="C138" s="1" t="s">
        <v>1675</v>
      </c>
      <c r="D138" s="1" t="s">
        <v>1677</v>
      </c>
      <c r="E138" s="328" t="s">
        <v>59</v>
      </c>
      <c r="F138" s="344" t="s">
        <v>288</v>
      </c>
    </row>
    <row r="139" spans="1:6" x14ac:dyDescent="0.3">
      <c r="A139" s="328"/>
      <c r="B139" s="328"/>
      <c r="C139" s="1" t="s">
        <v>1676</v>
      </c>
      <c r="D139" s="1" t="s">
        <v>1678</v>
      </c>
      <c r="E139" s="328" t="s">
        <v>59</v>
      </c>
      <c r="F139" s="344" t="s">
        <v>288</v>
      </c>
    </row>
    <row r="140" spans="1:6" x14ac:dyDescent="0.3">
      <c r="A140" s="328"/>
      <c r="B140" s="328"/>
      <c r="F140" s="1"/>
    </row>
    <row r="141" spans="1:6" x14ac:dyDescent="0.3">
      <c r="A141" s="328"/>
      <c r="B141" s="328"/>
      <c r="F141" s="328"/>
    </row>
    <row r="142" spans="1:6" x14ac:dyDescent="0.3">
      <c r="A142" s="328"/>
      <c r="B142" s="328"/>
      <c r="C142" s="328"/>
      <c r="D142" s="328"/>
      <c r="E142" s="328"/>
      <c r="F142" s="328"/>
    </row>
    <row r="143" spans="1:6" x14ac:dyDescent="0.3">
      <c r="A143" s="348" t="s">
        <v>40</v>
      </c>
      <c r="B143" s="348"/>
      <c r="C143" s="349"/>
      <c r="D143" s="349"/>
      <c r="E143" s="349"/>
      <c r="F143" s="328"/>
    </row>
    <row r="144" spans="1:6" x14ac:dyDescent="0.3">
      <c r="A144" s="331" t="s">
        <v>41</v>
      </c>
      <c r="B144" s="332" t="s">
        <v>42</v>
      </c>
      <c r="C144" s="332" t="s">
        <v>43</v>
      </c>
      <c r="D144" s="332" t="s">
        <v>44</v>
      </c>
      <c r="E144" s="333" t="s">
        <v>45</v>
      </c>
      <c r="F144" s="328"/>
    </row>
    <row r="145" spans="1:6" x14ac:dyDescent="0.3">
      <c r="A145" s="350" t="s">
        <v>58</v>
      </c>
      <c r="B145" s="350"/>
      <c r="C145" s="1" t="s">
        <v>913</v>
      </c>
      <c r="D145" s="1" t="s">
        <v>1097</v>
      </c>
      <c r="E145" s="1" t="s">
        <v>59</v>
      </c>
      <c r="F145" s="328"/>
    </row>
    <row r="146" spans="1:6" x14ac:dyDescent="0.3">
      <c r="A146" s="1"/>
      <c r="B146" s="1"/>
      <c r="C146" s="880" t="s">
        <v>1096</v>
      </c>
      <c r="D146" s="880" t="s">
        <v>1099</v>
      </c>
      <c r="E146" s="12" t="s">
        <v>59</v>
      </c>
      <c r="F146" s="328"/>
    </row>
    <row r="147" spans="1:6" x14ac:dyDescent="0.3">
      <c r="A147" s="1"/>
      <c r="B147" s="328"/>
      <c r="C147" s="880" t="s">
        <v>1098</v>
      </c>
      <c r="D147" s="880" t="s">
        <v>1100</v>
      </c>
      <c r="E147" s="12" t="s">
        <v>59</v>
      </c>
      <c r="F147" s="328"/>
    </row>
    <row r="148" spans="1:6" x14ac:dyDescent="0.3">
      <c r="A148" s="1"/>
      <c r="B148" s="328"/>
      <c r="C148" s="18" t="s">
        <v>1101</v>
      </c>
      <c r="D148" s="880" t="s">
        <v>1102</v>
      </c>
      <c r="E148" s="12" t="s">
        <v>59</v>
      </c>
      <c r="F148" s="328"/>
    </row>
    <row r="149" spans="1:6" x14ac:dyDescent="0.3">
      <c r="C149" s="18" t="s">
        <v>911</v>
      </c>
      <c r="D149" s="18" t="s">
        <v>1103</v>
      </c>
      <c r="E149" s="344" t="s">
        <v>59</v>
      </c>
    </row>
    <row r="150" spans="1:6" x14ac:dyDescent="0.3">
      <c r="A150" s="1"/>
      <c r="B150" s="1"/>
      <c r="C150" s="18" t="s">
        <v>912</v>
      </c>
      <c r="D150" s="18" t="s">
        <v>1104</v>
      </c>
      <c r="E150" s="344" t="s">
        <v>59</v>
      </c>
    </row>
    <row r="151" spans="1:6" x14ac:dyDescent="0.3">
      <c r="A151" s="1"/>
      <c r="B151" s="1"/>
      <c r="C151" s="18" t="s">
        <v>1681</v>
      </c>
      <c r="D151" s="880" t="s">
        <v>1679</v>
      </c>
      <c r="E151" s="344" t="s">
        <v>59</v>
      </c>
      <c r="F151" s="328"/>
    </row>
    <row r="152" spans="1:6" x14ac:dyDescent="0.3">
      <c r="A152" s="1"/>
      <c r="B152" s="1"/>
      <c r="C152" s="1" t="s">
        <v>1682</v>
      </c>
      <c r="D152" s="1" t="s">
        <v>1680</v>
      </c>
      <c r="E152" s="344" t="s">
        <v>59</v>
      </c>
      <c r="F152" s="328"/>
    </row>
    <row r="153" spans="1:6" x14ac:dyDescent="0.3">
      <c r="A153" s="874"/>
      <c r="B153" s="874"/>
      <c r="C153" s="874"/>
      <c r="D153" s="874"/>
      <c r="E153" s="874"/>
      <c r="F153" s="328"/>
    </row>
    <row r="154" spans="1:6" x14ac:dyDescent="0.3">
      <c r="C154" s="336" t="s">
        <v>804</v>
      </c>
      <c r="D154" s="328"/>
      <c r="E154" s="1"/>
      <c r="F154" s="1"/>
    </row>
    <row r="155" spans="1:6" x14ac:dyDescent="0.3">
      <c r="C155" s="360" t="s">
        <v>272</v>
      </c>
      <c r="D155" s="360" t="s">
        <v>805</v>
      </c>
      <c r="E155" s="360" t="s">
        <v>806</v>
      </c>
      <c r="F155" s="360" t="s">
        <v>854</v>
      </c>
    </row>
    <row r="156" spans="1:6" x14ac:dyDescent="0.3">
      <c r="C156" s="16" t="str">
        <f>+C136</f>
        <v>FTE-GAS-REF2</v>
      </c>
      <c r="D156" s="16" t="s">
        <v>7</v>
      </c>
      <c r="E156" s="16" t="str">
        <f>+C149</f>
        <v>GAS-REF2</v>
      </c>
      <c r="F156" s="292">
        <v>1</v>
      </c>
    </row>
    <row r="157" spans="1:6" x14ac:dyDescent="0.3">
      <c r="C157" s="16" t="str">
        <f>+C137</f>
        <v>FTE-HFO-REF2</v>
      </c>
      <c r="D157" s="16" t="s">
        <v>26</v>
      </c>
      <c r="E157" s="16" t="str">
        <f>+C150</f>
        <v>HFO-REF2</v>
      </c>
      <c r="F157" s="322">
        <v>1</v>
      </c>
    </row>
    <row r="158" spans="1:6" x14ac:dyDescent="0.3">
      <c r="C158" s="810" t="str">
        <f>+C138</f>
        <v>FTE-LPG-REF2</v>
      </c>
      <c r="D158" s="2" t="s">
        <v>22</v>
      </c>
      <c r="E158" s="2" t="str">
        <f>+C151</f>
        <v>LPG-REF2</v>
      </c>
      <c r="F158" s="400">
        <v>1</v>
      </c>
    </row>
    <row r="159" spans="1:6" x14ac:dyDescent="0.3">
      <c r="C159" s="810" t="str">
        <f>+C139</f>
        <v>FTE-RFG2</v>
      </c>
      <c r="D159" s="2" t="s">
        <v>125</v>
      </c>
      <c r="E159" s="2" t="str">
        <f>+C152</f>
        <v>RFG2-REF2</v>
      </c>
      <c r="F159" s="400">
        <v>1</v>
      </c>
    </row>
    <row r="162" spans="3:7" ht="18" x14ac:dyDescent="0.35">
      <c r="C162" s="832" t="s">
        <v>1585</v>
      </c>
    </row>
    <row r="165" spans="3:7" x14ac:dyDescent="0.3">
      <c r="C165" s="329" t="s">
        <v>804</v>
      </c>
      <c r="D165" s="1"/>
      <c r="E165" s="1"/>
      <c r="F165" s="1"/>
      <c r="G165" s="1"/>
    </row>
    <row r="166" spans="3:7" x14ac:dyDescent="0.3">
      <c r="C166" s="334" t="s">
        <v>272</v>
      </c>
      <c r="D166" s="209" t="s">
        <v>805</v>
      </c>
      <c r="E166" s="209" t="s">
        <v>806</v>
      </c>
      <c r="F166" s="209" t="s">
        <v>973</v>
      </c>
      <c r="G166" s="335" t="s">
        <v>854</v>
      </c>
    </row>
    <row r="167" spans="3:7" x14ac:dyDescent="0.3">
      <c r="C167" s="16" t="str">
        <f>+C131</f>
        <v>MIX-OIL-REF2</v>
      </c>
      <c r="D167" s="16" t="s">
        <v>13</v>
      </c>
      <c r="E167" s="16" t="str">
        <f>+C145</f>
        <v>OIL-REF2</v>
      </c>
      <c r="F167" s="292">
        <f>+E35</f>
        <v>0.23009135447964041</v>
      </c>
      <c r="G167" s="322">
        <v>1</v>
      </c>
    </row>
    <row r="168" spans="3:7" x14ac:dyDescent="0.3">
      <c r="C168" s="16"/>
      <c r="D168" s="214" t="s">
        <v>21</v>
      </c>
      <c r="E168" s="16"/>
      <c r="F168" s="322">
        <f>+E37</f>
        <v>0.3</v>
      </c>
      <c r="G168" s="16"/>
    </row>
    <row r="169" spans="3:7" x14ac:dyDescent="0.3">
      <c r="D169" s="16" t="s">
        <v>17</v>
      </c>
      <c r="E169" s="214"/>
      <c r="F169" s="295">
        <f>+E36</f>
        <v>0.46990864552035966</v>
      </c>
      <c r="G169" s="214"/>
    </row>
    <row r="171" spans="3:7" hidden="1" x14ac:dyDescent="0.3">
      <c r="C171" s="336"/>
      <c r="D171" s="207"/>
      <c r="E171" s="207"/>
    </row>
    <row r="172" spans="3:7" hidden="1" x14ac:dyDescent="0.3">
      <c r="C172" s="337" t="s">
        <v>272</v>
      </c>
      <c r="D172" s="337" t="s">
        <v>806</v>
      </c>
      <c r="E172" s="337" t="s">
        <v>977</v>
      </c>
    </row>
    <row r="173" spans="3:7" hidden="1" x14ac:dyDescent="0.3">
      <c r="C173" s="339" t="str">
        <f>+C167</f>
        <v>MIX-OIL-REF2</v>
      </c>
      <c r="D173" s="340" t="s">
        <v>137</v>
      </c>
      <c r="E173" s="341">
        <f>+E50</f>
        <v>2.7603</v>
      </c>
    </row>
    <row r="174" spans="3:7" hidden="1" x14ac:dyDescent="0.3"/>
    <row r="176" spans="3:7" ht="18" x14ac:dyDescent="0.35">
      <c r="C176" s="832" t="s">
        <v>1599</v>
      </c>
    </row>
    <row r="179" spans="3:11" x14ac:dyDescent="0.3">
      <c r="C179" s="336" t="s">
        <v>1007</v>
      </c>
      <c r="D179" s="328"/>
      <c r="E179" s="1"/>
      <c r="G179" s="283" t="s">
        <v>910</v>
      </c>
    </row>
    <row r="180" spans="3:11" ht="15" thickBot="1" x14ac:dyDescent="0.35">
      <c r="C180" s="354" t="s">
        <v>272</v>
      </c>
      <c r="D180" s="355" t="s">
        <v>805</v>
      </c>
      <c r="E180" s="356" t="s">
        <v>898</v>
      </c>
      <c r="G180" s="284" t="s">
        <v>43</v>
      </c>
      <c r="H180" s="285" t="s">
        <v>911</v>
      </c>
      <c r="I180" s="285" t="s">
        <v>912</v>
      </c>
      <c r="J180" s="285" t="str">
        <f>+E159</f>
        <v>RFG2-REF2</v>
      </c>
      <c r="K180" s="285" t="str">
        <f>+E158</f>
        <v>LPG-REF2</v>
      </c>
    </row>
    <row r="181" spans="3:11" ht="15" thickBot="1" x14ac:dyDescent="0.35">
      <c r="C181" s="357" t="s">
        <v>1080</v>
      </c>
      <c r="D181" s="1" t="str">
        <f>+E167</f>
        <v>OIL-REF2</v>
      </c>
      <c r="E181" s="876">
        <f>1/(1+SUM($E$82:$E$86))</f>
        <v>0.9258909044479231</v>
      </c>
      <c r="G181" s="211" t="s">
        <v>859</v>
      </c>
      <c r="H181" s="212" t="s">
        <v>480</v>
      </c>
      <c r="I181" s="212" t="s">
        <v>480</v>
      </c>
      <c r="J181" s="212" t="s">
        <v>480</v>
      </c>
      <c r="K181" s="212"/>
    </row>
    <row r="182" spans="3:11" s="871" customFormat="1" x14ac:dyDescent="0.3">
      <c r="C182" s="16"/>
      <c r="D182" s="870" t="str">
        <f>+C147</f>
        <v>H2-REF2</v>
      </c>
      <c r="E182" s="876">
        <f>E82/(1+SUM($E$82:$E$86))</f>
        <v>1.1958396831549553E-3</v>
      </c>
      <c r="G182" s="12" t="s">
        <v>137</v>
      </c>
      <c r="H182" s="286">
        <v>55.539114956987063</v>
      </c>
      <c r="I182" s="286">
        <v>78.281203343664757</v>
      </c>
      <c r="J182" s="286">
        <v>40.784041574326501</v>
      </c>
      <c r="K182" s="286">
        <f>+'3. Scope3'!H26</f>
        <v>47.28933824683137</v>
      </c>
    </row>
    <row r="183" spans="3:11" s="871" customFormat="1" x14ac:dyDescent="0.3">
      <c r="C183" s="1"/>
      <c r="D183" s="872" t="str">
        <f>+E156</f>
        <v>GAS-REF2</v>
      </c>
      <c r="E183" s="876">
        <f>E84/(1+SUM($E$82:$E$86))</f>
        <v>3.7106465191133281E-2</v>
      </c>
    </row>
    <row r="184" spans="3:11" s="871" customFormat="1" x14ac:dyDescent="0.3">
      <c r="C184" s="1"/>
      <c r="D184" s="873" t="str">
        <f>+E159</f>
        <v>RFG2-REF2</v>
      </c>
      <c r="E184" s="876">
        <f>E83/(1+SUM($E$82:$E$86))</f>
        <v>2.2210390997802788E-2</v>
      </c>
      <c r="G184" s="875"/>
    </row>
    <row r="185" spans="3:11" s="871" customFormat="1" x14ac:dyDescent="0.3">
      <c r="D185" s="871" t="str">
        <f>+E158</f>
        <v>LPG-REF2</v>
      </c>
      <c r="E185" s="876">
        <f>E86/(1+SUM($E$82:$E$86))</f>
        <v>1.8424470557192316E-3</v>
      </c>
    </row>
    <row r="186" spans="3:11" x14ac:dyDescent="0.3">
      <c r="D186" t="str">
        <f>+E157</f>
        <v>HFO-REF2</v>
      </c>
      <c r="E186" s="841">
        <f>E85/(1+SUM($E$82:$E$86))</f>
        <v>1.1753952624266767E-2</v>
      </c>
    </row>
    <row r="187" spans="3:11" x14ac:dyDescent="0.3">
      <c r="G187" s="899"/>
    </row>
    <row r="188" spans="3:11" ht="18" x14ac:dyDescent="0.35">
      <c r="C188" s="832" t="s">
        <v>1625</v>
      </c>
    </row>
    <row r="190" spans="3:11" x14ac:dyDescent="0.3">
      <c r="C190" s="329" t="s">
        <v>804</v>
      </c>
      <c r="D190" s="1"/>
      <c r="E190" s="1"/>
      <c r="F190" s="397"/>
      <c r="G190" s="1"/>
    </row>
    <row r="191" spans="3:11" x14ac:dyDescent="0.3">
      <c r="C191" s="355" t="s">
        <v>272</v>
      </c>
      <c r="D191" s="355" t="s">
        <v>852</v>
      </c>
      <c r="E191" s="355" t="s">
        <v>1037</v>
      </c>
      <c r="F191" s="355" t="s">
        <v>897</v>
      </c>
      <c r="G191" s="398" t="s">
        <v>898</v>
      </c>
    </row>
    <row r="192" spans="3:11" x14ac:dyDescent="0.3">
      <c r="C192" s="389" t="str">
        <f>+C133</f>
        <v>SMR-REF2</v>
      </c>
      <c r="D192" s="389" t="s">
        <v>1038</v>
      </c>
      <c r="E192" s="16">
        <v>2019</v>
      </c>
      <c r="F192" s="399"/>
      <c r="G192" s="389"/>
    </row>
    <row r="193" spans="3:7" x14ac:dyDescent="0.3">
      <c r="C193" s="389" t="str">
        <f>+C192</f>
        <v>SMR-REF2</v>
      </c>
      <c r="D193" s="16" t="s">
        <v>854</v>
      </c>
      <c r="E193" s="16">
        <v>2019</v>
      </c>
      <c r="F193" s="1"/>
      <c r="G193" s="400">
        <f>1/G97</f>
        <v>0.75917622919674754</v>
      </c>
    </row>
    <row r="194" spans="3:7" x14ac:dyDescent="0.3">
      <c r="C194" s="1"/>
      <c r="D194" s="1"/>
      <c r="E194" s="1"/>
      <c r="F194" s="1"/>
      <c r="G194" s="1"/>
    </row>
    <row r="195" spans="3:7" x14ac:dyDescent="0.3">
      <c r="C195" s="1"/>
      <c r="D195" s="1"/>
      <c r="E195" s="1"/>
      <c r="F195" s="1"/>
      <c r="G195" s="1"/>
    </row>
    <row r="196" spans="3:7" x14ac:dyDescent="0.3">
      <c r="C196" s="336" t="s">
        <v>804</v>
      </c>
      <c r="D196" s="328"/>
      <c r="E196" s="1"/>
      <c r="F196" s="1"/>
      <c r="G196" s="1"/>
    </row>
    <row r="197" spans="3:7" x14ac:dyDescent="0.3">
      <c r="C197" s="355" t="s">
        <v>272</v>
      </c>
      <c r="D197" s="355" t="s">
        <v>805</v>
      </c>
      <c r="E197" s="355" t="s">
        <v>806</v>
      </c>
      <c r="F197" s="1"/>
      <c r="G197" s="1"/>
    </row>
    <row r="198" spans="3:7" x14ac:dyDescent="0.3">
      <c r="C198" s="2" t="str">
        <f>+C192</f>
        <v>SMR-REF2</v>
      </c>
      <c r="D198" s="2" t="str">
        <f>+D183</f>
        <v>GAS-REF2</v>
      </c>
      <c r="E198" s="2" t="str">
        <f>+D182</f>
        <v>H2-REF2</v>
      </c>
      <c r="F198" s="1"/>
      <c r="G198" s="1"/>
    </row>
    <row r="201" spans="3:7" ht="18" x14ac:dyDescent="0.35">
      <c r="C201" s="832" t="s">
        <v>1626</v>
      </c>
    </row>
    <row r="203" spans="3:7" x14ac:dyDescent="0.3">
      <c r="C203" s="336" t="s">
        <v>1024</v>
      </c>
      <c r="D203" s="269"/>
      <c r="E203" s="207"/>
    </row>
    <row r="204" spans="3:7" x14ac:dyDescent="0.3">
      <c r="C204" s="334" t="s">
        <v>272</v>
      </c>
      <c r="D204" s="371" t="s">
        <v>806</v>
      </c>
      <c r="E204" s="372" t="s">
        <v>897</v>
      </c>
    </row>
    <row r="205" spans="3:7" x14ac:dyDescent="0.3">
      <c r="C205" s="349" t="s">
        <v>1080</v>
      </c>
      <c r="D205" s="2" t="s">
        <v>8</v>
      </c>
      <c r="E205" s="266">
        <f>+H107</f>
        <v>0.31052010338168218</v>
      </c>
    </row>
    <row r="206" spans="3:7" x14ac:dyDescent="0.3">
      <c r="C206" s="1"/>
      <c r="D206" s="2" t="s">
        <v>14</v>
      </c>
      <c r="E206" s="266">
        <f>+H108</f>
        <v>0.33541951350449545</v>
      </c>
    </row>
    <row r="207" spans="3:7" x14ac:dyDescent="0.3">
      <c r="C207" s="1"/>
      <c r="D207" s="2" t="s">
        <v>18</v>
      </c>
      <c r="E207" s="266">
        <f>+H109</f>
        <v>8.3862120957725647E-2</v>
      </c>
    </row>
    <row r="208" spans="3:7" x14ac:dyDescent="0.3">
      <c r="C208" s="1"/>
      <c r="D208" s="2" t="s">
        <v>22</v>
      </c>
      <c r="E208" s="266">
        <f>+H111</f>
        <v>1.6326881938927798E-2</v>
      </c>
    </row>
    <row r="209" spans="3:7" x14ac:dyDescent="0.3">
      <c r="C209" s="1"/>
      <c r="D209" s="2" t="s">
        <v>26</v>
      </c>
      <c r="E209" s="266">
        <f>+H110</f>
        <v>0.22149436101913275</v>
      </c>
    </row>
    <row r="210" spans="3:7" x14ac:dyDescent="0.3">
      <c r="C210" s="1"/>
      <c r="D210" s="2" t="s">
        <v>125</v>
      </c>
      <c r="E210" s="877">
        <f>+H112</f>
        <v>3.2377019198036219E-2</v>
      </c>
    </row>
    <row r="211" spans="3:7" x14ac:dyDescent="0.3">
      <c r="D211" s="1"/>
      <c r="E211" s="266"/>
      <c r="G211" s="817">
        <f>+SUM(E205:E210)</f>
        <v>1</v>
      </c>
    </row>
    <row r="212" spans="3:7" x14ac:dyDescent="0.3">
      <c r="E212" s="374"/>
    </row>
    <row r="216" spans="3:7" ht="18" x14ac:dyDescent="0.35">
      <c r="C216" s="832" t="s">
        <v>1635</v>
      </c>
    </row>
    <row r="218" spans="3:7" x14ac:dyDescent="0.3">
      <c r="C218" s="381" t="s">
        <v>804</v>
      </c>
      <c r="D218" s="16"/>
      <c r="E218" s="16"/>
      <c r="F218" s="336"/>
      <c r="G218" s="16"/>
    </row>
    <row r="219" spans="3:7" x14ac:dyDescent="0.3">
      <c r="C219" s="354" t="s">
        <v>272</v>
      </c>
      <c r="D219" s="355" t="s">
        <v>852</v>
      </c>
      <c r="E219" s="355" t="s">
        <v>1037</v>
      </c>
      <c r="F219" s="355" t="s">
        <v>897</v>
      </c>
      <c r="G219" s="382" t="s">
        <v>898</v>
      </c>
    </row>
    <row r="220" spans="3:7" x14ac:dyDescent="0.3">
      <c r="C220" s="384" t="str">
        <f>+C205</f>
        <v>REF2</v>
      </c>
      <c r="D220" s="385" t="s">
        <v>1038</v>
      </c>
      <c r="E220" s="16">
        <v>2019</v>
      </c>
      <c r="F220" s="386">
        <f>+E62*E124</f>
        <v>358.85963378703377</v>
      </c>
    </row>
    <row r="221" spans="3:7" x14ac:dyDescent="0.3">
      <c r="C221" s="388" t="str">
        <f>+C205</f>
        <v>REF2</v>
      </c>
      <c r="D221" s="214" t="s">
        <v>1038</v>
      </c>
      <c r="E221" s="878">
        <v>2020</v>
      </c>
      <c r="F221" s="386">
        <f>+E61*E65*E124</f>
        <v>370.38264955083764</v>
      </c>
      <c r="G221" s="16"/>
    </row>
    <row r="222" spans="3:7" x14ac:dyDescent="0.3">
      <c r="C222" s="384" t="str">
        <f>+C205</f>
        <v>REF2</v>
      </c>
      <c r="D222" s="389" t="s">
        <v>854</v>
      </c>
      <c r="E222" s="16">
        <v>2019</v>
      </c>
      <c r="F222" s="16"/>
      <c r="G222" s="322">
        <f>+E124*E181</f>
        <v>0.68599245847653356</v>
      </c>
    </row>
    <row r="223" spans="3:7" x14ac:dyDescent="0.3">
      <c r="C223" s="357" t="str">
        <f>+C205</f>
        <v>REF2</v>
      </c>
      <c r="D223" s="16" t="s">
        <v>1039</v>
      </c>
      <c r="E223" s="389">
        <v>2019</v>
      </c>
      <c r="F223" s="322"/>
      <c r="G223" s="390">
        <f>+E68</f>
        <v>0.58532298647241721</v>
      </c>
    </row>
  </sheetData>
  <mergeCells count="2">
    <mergeCell ref="T7:T8"/>
    <mergeCell ref="U7:V7"/>
  </mergeCells>
  <conditionalFormatting sqref="K7:K14 L7:L22 K6:L6">
    <cfRule type="containsText" dxfId="87" priority="1" operator="containsText" text="Oil and Gas">
      <formula>NOT(ISERROR(SEARCH(("Oil and Gas"),(K6))))</formula>
    </cfRule>
  </conditionalFormatting>
  <conditionalFormatting sqref="K7:K14 L7:L22 K6:L6">
    <cfRule type="containsText" dxfId="86" priority="2" operator="containsText" text="Gas">
      <formula>NOT(ISERROR(SEARCH(("Gas"),(K6))))</formula>
    </cfRule>
  </conditionalFormatting>
  <conditionalFormatting sqref="K7:K14 L7:L22 K6:L6">
    <cfRule type="containsText" dxfId="85" priority="3" operator="containsText" text="Oil">
      <formula>NOT(ISERROR(SEARCH(("Oil"),(K6))))</formula>
    </cfRule>
  </conditionalFormatting>
  <conditionalFormatting sqref="K15:K22">
    <cfRule type="containsText" dxfId="84" priority="4" operator="containsText" text="Oil and Gas">
      <formula>NOT(ISERROR(SEARCH(("Oil and Gas"),(K15))))</formula>
    </cfRule>
  </conditionalFormatting>
  <conditionalFormatting sqref="K15:K22">
    <cfRule type="containsText" dxfId="83" priority="5" operator="containsText" text="Gas">
      <formula>NOT(ISERROR(SEARCH(("Gas"),(K15))))</formula>
    </cfRule>
  </conditionalFormatting>
  <conditionalFormatting sqref="K15:K22">
    <cfRule type="containsText" dxfId="82" priority="6" operator="containsText" text="Oil">
      <formula>NOT(ISERROR(SEARCH(("Oil"),(K15))))</formula>
    </cfRule>
  </conditionalFormatting>
  <conditionalFormatting sqref="O6:P22">
    <cfRule type="cellIs" dxfId="81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193" workbookViewId="0">
      <selection activeCell="B45" sqref="B45"/>
    </sheetView>
  </sheetViews>
  <sheetFormatPr baseColWidth="10" defaultColWidth="14.44140625" defaultRowHeight="15" customHeight="1" x14ac:dyDescent="0.3"/>
  <cols>
    <col min="1" max="1" width="6.6640625" customWidth="1"/>
    <col min="2" max="2" width="15.44140625" customWidth="1"/>
    <col min="3" max="3" width="18.6640625" customWidth="1"/>
    <col min="4" max="4" width="37" customWidth="1"/>
    <col min="5" max="6" width="10.6640625" customWidth="1"/>
    <col min="7" max="7" width="9" customWidth="1"/>
    <col min="8" max="11" width="6.5546875" customWidth="1"/>
    <col min="12" max="12" width="28.109375" customWidth="1"/>
    <col min="13" max="13" width="20.33203125" customWidth="1"/>
    <col min="14" max="14" width="29.88671875" customWidth="1"/>
    <col min="15" max="15" width="15.88671875" customWidth="1"/>
    <col min="16" max="16" width="11.33203125" customWidth="1"/>
    <col min="17" max="17" width="12.6640625" customWidth="1"/>
    <col min="18" max="18" width="22.5546875" customWidth="1"/>
    <col min="19" max="20" width="13.109375" customWidth="1"/>
    <col min="21" max="21" width="19.5546875" customWidth="1"/>
    <col min="22" max="26" width="10.6640625" customWidth="1"/>
  </cols>
  <sheetData>
    <row r="1" spans="3:21" ht="14.4" x14ac:dyDescent="0.3">
      <c r="C1" s="12" t="s">
        <v>963</v>
      </c>
      <c r="D1" s="12">
        <v>119.96</v>
      </c>
      <c r="E1" s="12" t="s">
        <v>698</v>
      </c>
    </row>
    <row r="2" spans="3:21" ht="14.4" x14ac:dyDescent="0.3"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4" spans="3:21" ht="14.4" x14ac:dyDescent="0.3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ht="14.4" x14ac:dyDescent="0.3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ht="14.4" x14ac:dyDescent="0.3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ht="14.4" x14ac:dyDescent="0.3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84" t="s">
        <v>966</v>
      </c>
      <c r="M7" s="1016"/>
      <c r="N7" s="1016"/>
      <c r="O7" s="1016"/>
      <c r="P7" s="1016"/>
      <c r="Q7" s="1016"/>
      <c r="R7" s="1016"/>
      <c r="S7" s="1016"/>
      <c r="T7" s="1016"/>
      <c r="U7" s="985"/>
    </row>
    <row r="8" spans="3:21" ht="14.4" x14ac:dyDescent="0.3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ht="14.4" x14ac:dyDescent="0.3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1017" t="s">
        <v>1076</v>
      </c>
      <c r="O9" s="1016"/>
      <c r="P9" s="985"/>
      <c r="U9" s="305"/>
    </row>
    <row r="10" spans="3:21" ht="14.4" x14ac:dyDescent="0.3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1077</v>
      </c>
      <c r="P10" s="321" t="s">
        <v>969</v>
      </c>
      <c r="R10" s="1018"/>
      <c r="S10" s="983"/>
      <c r="T10" s="14"/>
      <c r="U10" s="305"/>
    </row>
    <row r="11" spans="3:21" ht="14.4" x14ac:dyDescent="0.3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970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ht="14.4" x14ac:dyDescent="0.3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971</v>
      </c>
      <c r="O12" s="1019"/>
      <c r="P12" s="323"/>
      <c r="R12" s="14"/>
      <c r="S12" s="1021"/>
      <c r="T12" s="295"/>
      <c r="U12" s="305"/>
    </row>
    <row r="13" spans="3:21" ht="14.4" x14ac:dyDescent="0.3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972</v>
      </c>
      <c r="O13" s="1020"/>
      <c r="P13" s="325"/>
      <c r="R13" s="14"/>
      <c r="S13" s="983"/>
      <c r="T13" s="14"/>
      <c r="U13" s="305"/>
    </row>
    <row r="14" spans="3:21" ht="14.4" x14ac:dyDescent="0.3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ht="14.4" x14ac:dyDescent="0.3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ht="14.4" x14ac:dyDescent="0.3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ht="14.4" x14ac:dyDescent="0.3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ht="14.4" x14ac:dyDescent="0.3">
      <c r="C18" s="70" t="s">
        <v>524</v>
      </c>
    </row>
    <row r="19" spans="1:22" ht="14.4" x14ac:dyDescent="0.3">
      <c r="T19" s="326"/>
    </row>
    <row r="20" spans="1:22" ht="14.4" x14ac:dyDescent="0.3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3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867</v>
      </c>
      <c r="R21" s="335" t="s">
        <v>854</v>
      </c>
      <c r="T21" s="336"/>
      <c r="U21" s="207"/>
      <c r="V21" s="207"/>
    </row>
    <row r="22" spans="1:22" ht="15.75" customHeight="1" x14ac:dyDescent="0.3">
      <c r="A22" s="1" t="s">
        <v>289</v>
      </c>
      <c r="B22" s="1"/>
      <c r="C22" s="16" t="s">
        <v>1078</v>
      </c>
      <c r="D22" s="2" t="s">
        <v>1079</v>
      </c>
      <c r="E22" s="2" t="s">
        <v>59</v>
      </c>
      <c r="F22" s="2" t="s">
        <v>288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272</v>
      </c>
      <c r="U22" s="337" t="s">
        <v>806</v>
      </c>
      <c r="V22" s="337" t="s">
        <v>977</v>
      </c>
    </row>
    <row r="23" spans="1:22" ht="15.75" customHeight="1" x14ac:dyDescent="0.3">
      <c r="A23" s="1"/>
      <c r="B23" s="1"/>
      <c r="C23" s="214" t="s">
        <v>1080</v>
      </c>
      <c r="D23" s="14" t="s">
        <v>1081</v>
      </c>
      <c r="E23" s="2" t="s">
        <v>59</v>
      </c>
      <c r="F23" s="2" t="s">
        <v>288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3">
      <c r="A24" s="1"/>
      <c r="B24" s="1"/>
      <c r="C24" s="389" t="s">
        <v>1082</v>
      </c>
      <c r="D24" s="14" t="s">
        <v>1083</v>
      </c>
      <c r="E24" s="2" t="s">
        <v>59</v>
      </c>
      <c r="F24" s="2" t="s">
        <v>288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3">
      <c r="A25" s="1"/>
      <c r="B25" s="1"/>
      <c r="C25" s="16" t="s">
        <v>1084</v>
      </c>
      <c r="D25" s="14" t="s">
        <v>1085</v>
      </c>
      <c r="E25" s="2" t="s">
        <v>59</v>
      </c>
      <c r="F25" s="2" t="s">
        <v>288</v>
      </c>
      <c r="G25" s="328"/>
      <c r="P25" s="16"/>
      <c r="T25" s="330"/>
      <c r="U25" s="215"/>
      <c r="V25" s="215"/>
    </row>
    <row r="26" spans="1:22" ht="15.75" customHeight="1" x14ac:dyDescent="0.3">
      <c r="A26" s="328"/>
      <c r="B26" s="328"/>
      <c r="C26" s="14" t="s">
        <v>1086</v>
      </c>
      <c r="D26" s="14" t="s">
        <v>1087</v>
      </c>
      <c r="E26" s="2" t="s">
        <v>59</v>
      </c>
      <c r="F26" s="2" t="s">
        <v>288</v>
      </c>
      <c r="G26" s="328"/>
      <c r="Q26" s="322"/>
    </row>
    <row r="27" spans="1:22" ht="15.75" customHeight="1" x14ac:dyDescent="0.3">
      <c r="A27" s="328"/>
      <c r="B27" s="328"/>
      <c r="C27" s="214" t="s">
        <v>1088</v>
      </c>
      <c r="D27" s="214" t="s">
        <v>1089</v>
      </c>
      <c r="E27" s="214" t="s">
        <v>59</v>
      </c>
      <c r="F27" s="16" t="s">
        <v>288</v>
      </c>
      <c r="G27" s="328"/>
    </row>
    <row r="28" spans="1:22" ht="15.75" customHeight="1" x14ac:dyDescent="0.3">
      <c r="A28" s="328"/>
      <c r="B28" s="328"/>
      <c r="C28" s="214" t="s">
        <v>1090</v>
      </c>
      <c r="D28" s="214" t="s">
        <v>1091</v>
      </c>
      <c r="E28" s="214" t="s">
        <v>59</v>
      </c>
      <c r="F28" s="16" t="s">
        <v>288</v>
      </c>
      <c r="G28" s="328"/>
      <c r="L28" s="984" t="s">
        <v>990</v>
      </c>
      <c r="M28" s="1016"/>
      <c r="N28" s="1016"/>
      <c r="O28" s="1016"/>
      <c r="P28" s="1016"/>
      <c r="Q28" s="1016"/>
      <c r="R28" s="1016"/>
      <c r="S28" s="1016"/>
      <c r="T28" s="1016"/>
      <c r="U28" s="985"/>
    </row>
    <row r="29" spans="1:22" ht="15.75" customHeight="1" x14ac:dyDescent="0.3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3">
      <c r="A30" s="328"/>
      <c r="B30" s="328"/>
      <c r="F30" s="1"/>
      <c r="G30" s="328"/>
      <c r="L30" s="116"/>
      <c r="U30" s="305"/>
    </row>
    <row r="31" spans="1:22" ht="15.75" customHeight="1" x14ac:dyDescent="0.3">
      <c r="A31" s="328"/>
      <c r="B31" s="328"/>
      <c r="F31" s="1"/>
      <c r="G31" s="328"/>
      <c r="L31" s="116"/>
      <c r="N31" s="345" t="s">
        <v>991</v>
      </c>
      <c r="O31" s="345" t="s">
        <v>586</v>
      </c>
      <c r="P31" s="345" t="s">
        <v>992</v>
      </c>
      <c r="R31" s="13" t="s">
        <v>993</v>
      </c>
      <c r="S31" s="13" t="s">
        <v>994</v>
      </c>
      <c r="U31" s="305"/>
    </row>
    <row r="32" spans="1:22" ht="15.75" customHeight="1" x14ac:dyDescent="0.3">
      <c r="A32" s="328"/>
      <c r="B32" s="328"/>
      <c r="C32" s="328"/>
      <c r="D32" s="328"/>
      <c r="E32" s="328"/>
      <c r="F32" s="328"/>
      <c r="G32" s="328"/>
      <c r="L32" s="116"/>
      <c r="N32" s="330" t="s">
        <v>995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3">
      <c r="A33" s="328"/>
      <c r="B33" s="328"/>
      <c r="C33" s="328"/>
      <c r="D33" s="328"/>
      <c r="E33" s="328"/>
      <c r="F33" s="328"/>
      <c r="G33" s="328"/>
      <c r="L33" s="116"/>
      <c r="N33" s="330" t="s">
        <v>996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1092</v>
      </c>
      <c r="X33" s="12" t="s">
        <v>1093</v>
      </c>
    </row>
    <row r="34" spans="1:26" ht="15.75" customHeight="1" x14ac:dyDescent="0.3">
      <c r="A34" s="348"/>
      <c r="B34" s="348"/>
      <c r="C34" s="349"/>
      <c r="D34" s="349"/>
      <c r="E34" s="349"/>
      <c r="F34" s="328"/>
      <c r="G34" s="328"/>
      <c r="L34" s="116"/>
      <c r="N34" s="330" t="s">
        <v>997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852</v>
      </c>
      <c r="X34" s="12" t="s">
        <v>1094</v>
      </c>
      <c r="Y34" s="12">
        <v>2019</v>
      </c>
    </row>
    <row r="35" spans="1:26" ht="15.75" customHeight="1" x14ac:dyDescent="0.3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1095</v>
      </c>
      <c r="X35" s="12" t="s">
        <v>1096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3">
      <c r="A36" s="350" t="s">
        <v>58</v>
      </c>
      <c r="B36" s="350"/>
      <c r="C36" s="1" t="s">
        <v>913</v>
      </c>
      <c r="D36" s="1" t="s">
        <v>1097</v>
      </c>
      <c r="E36" s="1" t="s">
        <v>59</v>
      </c>
      <c r="F36" s="328"/>
      <c r="G36" s="328"/>
      <c r="L36" s="116"/>
      <c r="N36" s="351" t="s">
        <v>999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1000</v>
      </c>
      <c r="U36" s="305"/>
      <c r="W36" s="12" t="s">
        <v>1095</v>
      </c>
      <c r="X36" s="12" t="s">
        <v>1098</v>
      </c>
      <c r="Y36" s="12">
        <v>2.1370339745013398</v>
      </c>
      <c r="Z36" s="421">
        <f t="shared" si="3"/>
        <v>4.366996215183337E-3</v>
      </c>
    </row>
    <row r="37" spans="1:26" ht="15.75" customHeight="1" x14ac:dyDescent="0.3">
      <c r="A37" s="1"/>
      <c r="B37" s="1"/>
      <c r="C37" s="12" t="s">
        <v>1096</v>
      </c>
      <c r="D37" s="12" t="s">
        <v>1099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1095</v>
      </c>
      <c r="X37" s="12" t="s">
        <v>913</v>
      </c>
      <c r="Y37" s="12">
        <v>485.68953965939698</v>
      </c>
      <c r="Z37" s="421">
        <f t="shared" si="3"/>
        <v>0.99249913981439797</v>
      </c>
    </row>
    <row r="38" spans="1:26" ht="15.75" customHeight="1" x14ac:dyDescent="0.3">
      <c r="A38" s="1"/>
      <c r="B38" s="328"/>
      <c r="C38" s="12" t="s">
        <v>1098</v>
      </c>
      <c r="D38" s="12" t="s">
        <v>1100</v>
      </c>
      <c r="E38" s="12" t="s">
        <v>59</v>
      </c>
      <c r="F38" s="328"/>
      <c r="G38" s="328"/>
      <c r="W38" s="12" t="s">
        <v>1095</v>
      </c>
      <c r="X38" s="12" t="s">
        <v>1101</v>
      </c>
      <c r="Y38" s="12">
        <v>1.29074340983606</v>
      </c>
      <c r="Z38" s="421">
        <f t="shared" si="3"/>
        <v>2.6376144005114295E-3</v>
      </c>
    </row>
    <row r="39" spans="1:26" ht="15.75" customHeight="1" x14ac:dyDescent="0.3">
      <c r="A39" s="1"/>
      <c r="B39" s="328"/>
      <c r="C39" s="18" t="s">
        <v>1101</v>
      </c>
      <c r="D39" s="12" t="s">
        <v>1102</v>
      </c>
      <c r="E39" s="12" t="s">
        <v>59</v>
      </c>
      <c r="F39" s="328"/>
      <c r="G39" s="328"/>
      <c r="N39" s="336"/>
      <c r="O39" s="328"/>
      <c r="P39" s="1"/>
    </row>
    <row r="40" spans="1:26" ht="15.75" customHeight="1" x14ac:dyDescent="0.3">
      <c r="C40" s="18" t="s">
        <v>911</v>
      </c>
      <c r="D40" s="18" t="s">
        <v>1103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  <c r="Y40" s="12">
        <f>+SUM(Y35:Y38)</f>
        <v>489.3601618135641</v>
      </c>
    </row>
    <row r="41" spans="1:26" ht="15.75" customHeight="1" x14ac:dyDescent="0.3">
      <c r="A41" s="1"/>
      <c r="B41" s="1"/>
      <c r="C41" s="18" t="s">
        <v>912</v>
      </c>
      <c r="D41" s="18" t="s">
        <v>1104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3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3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3">
      <c r="B44" s="336"/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3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6" ht="15.75" customHeight="1" x14ac:dyDescent="0.3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3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3">
      <c r="B48" s="1"/>
      <c r="C48" s="1"/>
      <c r="D48" s="1"/>
      <c r="E48" s="1"/>
      <c r="F48" s="1"/>
      <c r="G48" s="1"/>
      <c r="H48" s="1"/>
      <c r="I48" s="1"/>
      <c r="L48" s="984" t="s">
        <v>1012</v>
      </c>
      <c r="M48" s="1016"/>
      <c r="N48" s="1016"/>
      <c r="O48" s="1016"/>
      <c r="P48" s="1016"/>
      <c r="Q48" s="1016"/>
      <c r="R48" s="1016"/>
      <c r="S48" s="1016"/>
      <c r="T48" s="1016"/>
      <c r="U48" s="985"/>
    </row>
    <row r="49" spans="2:21" ht="15.75" customHeight="1" x14ac:dyDescent="0.3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3">
      <c r="B50" s="1"/>
      <c r="C50" s="1"/>
      <c r="D50" s="1"/>
      <c r="E50" s="1"/>
      <c r="F50" s="1"/>
      <c r="G50" s="1"/>
      <c r="H50" s="1"/>
      <c r="I50" s="1"/>
      <c r="L50" s="116"/>
      <c r="M50" s="345" t="s">
        <v>1013</v>
      </c>
      <c r="N50" s="345" t="s">
        <v>1014</v>
      </c>
      <c r="O50" s="345" t="s">
        <v>1015</v>
      </c>
      <c r="U50" s="305"/>
    </row>
    <row r="51" spans="2:21" ht="15.75" customHeight="1" x14ac:dyDescent="0.3">
      <c r="B51" s="1"/>
      <c r="C51" s="1"/>
      <c r="D51" s="1"/>
      <c r="E51" s="1"/>
      <c r="F51" s="1"/>
      <c r="G51" s="1"/>
      <c r="H51" s="1"/>
      <c r="I51" s="1"/>
      <c r="L51" s="116"/>
      <c r="M51" s="14" t="s">
        <v>956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3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3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1016</v>
      </c>
      <c r="N54" s="345" t="s">
        <v>1014</v>
      </c>
      <c r="O54" s="345" t="s">
        <v>1015</v>
      </c>
      <c r="P54" s="345" t="s">
        <v>1105</v>
      </c>
      <c r="Q54" s="24" t="s">
        <v>1106</v>
      </c>
      <c r="S54" s="362"/>
      <c r="T54" s="362"/>
      <c r="U54" s="363"/>
    </row>
    <row r="55" spans="2:21" ht="15.75" customHeight="1" x14ac:dyDescent="0.3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3">
      <c r="B56" s="1"/>
      <c r="C56" s="1"/>
      <c r="D56" s="1"/>
      <c r="E56" s="1"/>
      <c r="F56" s="1"/>
      <c r="G56" s="1"/>
      <c r="H56" s="1"/>
      <c r="I56" s="1"/>
      <c r="L56" s="116"/>
      <c r="M56" s="330" t="s">
        <v>1019</v>
      </c>
      <c r="N56" s="274"/>
      <c r="O56" s="365">
        <v>3084</v>
      </c>
      <c r="P56" s="295">
        <f t="shared" ref="P56:P61" si="6">+O56/$O$63</f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3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3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3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3">
      <c r="B60" s="1"/>
      <c r="C60" s="1"/>
      <c r="D60" s="1"/>
      <c r="E60" s="1"/>
      <c r="F60" s="1"/>
      <c r="G60" s="1"/>
      <c r="H60" s="1"/>
      <c r="I60" s="1"/>
      <c r="L60" s="116"/>
      <c r="M60" s="330" t="s">
        <v>1107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3">
      <c r="B61" s="1"/>
      <c r="C61" s="1"/>
      <c r="D61" s="1"/>
      <c r="E61" s="1"/>
      <c r="F61" s="1"/>
      <c r="G61" s="1"/>
      <c r="H61" s="1"/>
      <c r="I61" s="1"/>
      <c r="L61" s="116"/>
      <c r="M61" s="330" t="s">
        <v>1021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3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3">
      <c r="B63" s="1"/>
      <c r="C63" s="1"/>
      <c r="D63" s="1"/>
      <c r="E63" s="1"/>
      <c r="F63" s="1"/>
      <c r="G63" s="1"/>
      <c r="H63" s="1"/>
      <c r="I63" s="1"/>
      <c r="L63" s="116"/>
      <c r="M63" s="330" t="s">
        <v>1023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3">
      <c r="B64" s="1"/>
      <c r="C64" s="1"/>
      <c r="D64" s="1"/>
      <c r="E64" s="1"/>
      <c r="F64" s="1"/>
      <c r="G64" s="1"/>
      <c r="H64" s="1"/>
      <c r="I64" s="1"/>
      <c r="L64" s="116"/>
      <c r="M64" s="330" t="s">
        <v>943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3">
      <c r="B65" s="1"/>
      <c r="C65" s="1"/>
      <c r="D65" s="1"/>
      <c r="E65" s="1"/>
      <c r="F65" s="1"/>
      <c r="G65" s="1"/>
      <c r="H65" s="1"/>
      <c r="I65" s="1"/>
      <c r="L65" s="116"/>
      <c r="M65" s="330" t="s">
        <v>919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3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3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3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3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3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3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S71" s="309"/>
    </row>
    <row r="72" spans="2:21" ht="15.75" customHeight="1" x14ac:dyDescent="0.3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3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>+P56</f>
        <v>0.37463556851311952</v>
      </c>
    </row>
    <row r="74" spans="2:21" ht="15.75" customHeight="1" x14ac:dyDescent="0.3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ref="P74:P76" si="8">+P57</f>
        <v>8.6977648202137992E-2</v>
      </c>
    </row>
    <row r="75" spans="2:21" ht="15.75" customHeight="1" x14ac:dyDescent="0.3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3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3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3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3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3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3">
      <c r="B81" s="1"/>
      <c r="C81" s="1"/>
      <c r="D81" s="1"/>
      <c r="E81" s="1"/>
      <c r="F81" s="1"/>
      <c r="G81" s="1"/>
      <c r="H81" s="1"/>
      <c r="I81" s="1"/>
      <c r="L81" s="984" t="s">
        <v>1026</v>
      </c>
      <c r="M81" s="1016"/>
      <c r="N81" s="1016"/>
      <c r="O81" s="1016"/>
      <c r="P81" s="1016"/>
      <c r="Q81" s="1016"/>
      <c r="R81" s="1016"/>
      <c r="S81" s="1016"/>
      <c r="T81" s="1016"/>
      <c r="U81" s="985"/>
    </row>
    <row r="82" spans="1:21" ht="15.75" customHeight="1" x14ac:dyDescent="0.3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3">
      <c r="A83" s="12" t="s">
        <v>1027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992</v>
      </c>
      <c r="T83" s="299"/>
      <c r="U83" s="305"/>
    </row>
    <row r="84" spans="1:21" ht="15.75" customHeight="1" x14ac:dyDescent="0.3">
      <c r="A84" s="12" t="s">
        <v>1028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1029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3">
      <c r="A85" s="12" t="s">
        <v>1030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1031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3">
      <c r="B86" s="1"/>
      <c r="C86" s="1"/>
      <c r="D86" s="1"/>
      <c r="E86" s="1"/>
      <c r="F86" s="1"/>
      <c r="G86" s="1"/>
      <c r="H86" s="1"/>
      <c r="I86" s="1"/>
      <c r="L86" s="116"/>
      <c r="N86" s="375" t="s">
        <v>1032</v>
      </c>
      <c r="O86" s="376">
        <f>+O85/O84</f>
        <v>0.87439999999999996</v>
      </c>
      <c r="U86" s="305"/>
    </row>
    <row r="87" spans="1:21" ht="15.75" customHeight="1" x14ac:dyDescent="0.3">
      <c r="B87" s="1"/>
      <c r="C87" s="1"/>
      <c r="D87" s="1"/>
      <c r="E87" s="1"/>
      <c r="F87" s="1"/>
      <c r="G87" s="1"/>
      <c r="H87" s="1"/>
      <c r="I87" s="1"/>
      <c r="L87" s="116"/>
      <c r="N87" s="351" t="s">
        <v>1033</v>
      </c>
      <c r="O87" s="377">
        <v>1</v>
      </c>
      <c r="U87" s="305"/>
    </row>
    <row r="88" spans="1:21" ht="15.75" customHeight="1" x14ac:dyDescent="0.3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3">
      <c r="B89" s="1"/>
      <c r="C89" s="1"/>
      <c r="D89" s="1"/>
      <c r="E89" s="1"/>
      <c r="F89" s="1"/>
      <c r="G89" s="1"/>
      <c r="H89" s="1"/>
      <c r="I89" s="1"/>
      <c r="L89" s="116"/>
      <c r="N89" s="330" t="s">
        <v>1034</v>
      </c>
      <c r="O89" s="266"/>
      <c r="P89" s="266">
        <f>+O65/O51</f>
        <v>2.0105514796801105E-3</v>
      </c>
      <c r="U89" s="305"/>
    </row>
    <row r="90" spans="1:21" ht="15.75" customHeight="1" x14ac:dyDescent="0.3">
      <c r="B90" s="1"/>
      <c r="C90" s="1"/>
      <c r="D90" s="1"/>
      <c r="E90" s="1"/>
      <c r="F90" s="1"/>
      <c r="G90" s="1"/>
      <c r="H90" s="1"/>
      <c r="I90" s="1"/>
      <c r="L90" s="116"/>
      <c r="N90" s="330" t="s">
        <v>1035</v>
      </c>
      <c r="O90" s="266"/>
      <c r="P90" s="266">
        <v>0.76400000000000001</v>
      </c>
      <c r="U90" s="305"/>
    </row>
    <row r="91" spans="1:21" ht="15.75" customHeight="1" x14ac:dyDescent="0.3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3">
      <c r="B92" s="1"/>
      <c r="C92" s="1"/>
      <c r="D92" s="1"/>
      <c r="E92" s="1"/>
      <c r="F92" s="1"/>
      <c r="G92" s="1"/>
      <c r="H92" s="1"/>
      <c r="I92" s="1"/>
      <c r="L92" s="116"/>
      <c r="N92" s="378" t="s">
        <v>1036</v>
      </c>
      <c r="O92" s="379">
        <v>0</v>
      </c>
      <c r="U92" s="305"/>
    </row>
    <row r="93" spans="1:21" ht="15.75" customHeight="1" x14ac:dyDescent="0.3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3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3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3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1037</v>
      </c>
      <c r="Q96" s="355" t="s">
        <v>897</v>
      </c>
      <c r="R96" s="382" t="s">
        <v>898</v>
      </c>
    </row>
    <row r="97" spans="2:25" ht="15.75" customHeight="1" x14ac:dyDescent="0.3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1038</v>
      </c>
      <c r="P97" s="16">
        <v>2019</v>
      </c>
      <c r="Q97" s="386">
        <f>+P85*P90</f>
        <v>371.06680829977932</v>
      </c>
    </row>
    <row r="98" spans="2:25" ht="15.75" customHeight="1" x14ac:dyDescent="0.3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3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854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3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1039</v>
      </c>
      <c r="P100" s="389">
        <v>2019</v>
      </c>
      <c r="Q100" s="322"/>
      <c r="R100" s="390">
        <f>+O92</f>
        <v>0</v>
      </c>
    </row>
    <row r="101" spans="2:25" ht="15.75" customHeight="1" x14ac:dyDescent="0.3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3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3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3">
      <c r="B104" s="1"/>
      <c r="C104" s="1"/>
      <c r="D104" s="1"/>
      <c r="E104" s="1"/>
      <c r="F104" s="1"/>
      <c r="G104" s="1"/>
      <c r="H104" s="1"/>
      <c r="I104" s="1"/>
      <c r="L104" s="984" t="s">
        <v>1040</v>
      </c>
      <c r="M104" s="1016"/>
      <c r="N104" s="1016"/>
      <c r="O104" s="1016"/>
      <c r="P104" s="1016"/>
      <c r="Q104" s="1016"/>
      <c r="R104" s="1016"/>
      <c r="S104" s="1016"/>
      <c r="T104" s="1016"/>
      <c r="U104" s="985"/>
    </row>
    <row r="105" spans="2:25" ht="15.75" customHeight="1" x14ac:dyDescent="0.3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1041</v>
      </c>
    </row>
    <row r="106" spans="2:25" ht="15.75" customHeight="1" x14ac:dyDescent="0.3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1042</v>
      </c>
    </row>
    <row r="107" spans="2:25" ht="15.75" customHeight="1" x14ac:dyDescent="0.3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992</v>
      </c>
      <c r="U107" s="305"/>
    </row>
    <row r="108" spans="2:25" ht="15.75" customHeight="1" x14ac:dyDescent="0.3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1043</v>
      </c>
      <c r="O108" s="394">
        <f>394.77/299.7</f>
        <v>1.3172172172172172</v>
      </c>
      <c r="P108" s="395">
        <f>+O108</f>
        <v>1.3172172172172172</v>
      </c>
      <c r="Q108" s="12" t="s">
        <v>1044</v>
      </c>
      <c r="U108" s="305"/>
      <c r="X108" s="12">
        <f>+O34*1000000</f>
        <v>5830000</v>
      </c>
      <c r="Y108" s="12" t="s">
        <v>1042</v>
      </c>
    </row>
    <row r="109" spans="2:25" ht="15.75" customHeight="1" x14ac:dyDescent="0.3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3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1045</v>
      </c>
      <c r="U110" s="305"/>
      <c r="X110" s="12">
        <f>+X108*X105</f>
        <v>26235000</v>
      </c>
      <c r="Y110" s="12" t="s">
        <v>1046</v>
      </c>
    </row>
    <row r="111" spans="2:25" ht="15.75" customHeight="1" x14ac:dyDescent="0.3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1047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926481154.5</v>
      </c>
      <c r="Y111" s="12" t="s">
        <v>1048</v>
      </c>
    </row>
    <row r="112" spans="2:25" ht="15.75" customHeight="1" x14ac:dyDescent="0.3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1049</v>
      </c>
    </row>
    <row r="113" spans="2:24" ht="15.75" customHeight="1" x14ac:dyDescent="0.3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3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3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3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1037</v>
      </c>
      <c r="Q116" s="355" t="s">
        <v>897</v>
      </c>
      <c r="R116" s="398" t="s">
        <v>898</v>
      </c>
    </row>
    <row r="117" spans="2:24" ht="15.75" customHeight="1" x14ac:dyDescent="0.3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1038</v>
      </c>
      <c r="P117" s="16">
        <v>2019</v>
      </c>
      <c r="Q117" s="399"/>
      <c r="R117" s="389"/>
    </row>
    <row r="118" spans="2:24" ht="15.75" customHeight="1" x14ac:dyDescent="0.3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3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3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3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3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3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3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3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3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3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3">
      <c r="B128" s="1"/>
      <c r="C128" s="1"/>
      <c r="D128" s="1"/>
      <c r="E128" s="1"/>
      <c r="F128" s="1"/>
      <c r="G128" s="1"/>
      <c r="H128" s="1"/>
      <c r="I128" s="1"/>
      <c r="L128" s="984" t="s">
        <v>1050</v>
      </c>
      <c r="M128" s="1016"/>
      <c r="N128" s="1016"/>
      <c r="O128" s="1016"/>
      <c r="P128" s="1016"/>
      <c r="Q128" s="1016"/>
      <c r="R128" s="1016"/>
      <c r="S128" s="1016"/>
      <c r="T128" s="1016"/>
      <c r="U128" s="985"/>
      <c r="W128" s="12" t="s">
        <v>1051</v>
      </c>
    </row>
    <row r="129" spans="2:25" ht="15.75" customHeight="1" x14ac:dyDescent="0.3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1052</v>
      </c>
    </row>
    <row r="130" spans="2:25" ht="15.75" customHeight="1" x14ac:dyDescent="0.3">
      <c r="B130" s="1"/>
      <c r="C130" s="1"/>
      <c r="D130" s="1" t="s">
        <v>1053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1052</v>
      </c>
      <c r="N130" s="345" t="s">
        <v>1054</v>
      </c>
      <c r="O130" s="345" t="s">
        <v>992</v>
      </c>
      <c r="P130" s="118"/>
      <c r="Q130" s="118" t="s">
        <v>1055</v>
      </c>
      <c r="R130" s="326"/>
      <c r="S130" s="13"/>
      <c r="T130" s="13"/>
      <c r="U130" s="305"/>
      <c r="W130" s="12" t="s">
        <v>602</v>
      </c>
      <c r="X130" s="222">
        <f t="shared" ref="X130:X131" si="10">+Q131</f>
        <v>181.10027784183313</v>
      </c>
    </row>
    <row r="131" spans="2:25" ht="15.75" customHeight="1" x14ac:dyDescent="0.3">
      <c r="B131" s="1"/>
      <c r="C131" s="1"/>
      <c r="D131" s="1" t="s">
        <v>1056</v>
      </c>
      <c r="E131" s="1">
        <v>874.27499999999998</v>
      </c>
      <c r="F131" s="1" t="s">
        <v>588</v>
      </c>
      <c r="G131" s="401" t="s">
        <v>1108</v>
      </c>
      <c r="H131" s="1">
        <f>643+289</f>
        <v>932</v>
      </c>
      <c r="I131" s="1"/>
      <c r="L131" s="116"/>
      <c r="M131" s="330" t="s">
        <v>1057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1058</v>
      </c>
      <c r="U131" s="305"/>
      <c r="W131" s="12" t="s">
        <v>1059</v>
      </c>
      <c r="X131" s="231">
        <f t="shared" si="10"/>
        <v>83.520672675452204</v>
      </c>
    </row>
    <row r="132" spans="2:25" ht="15.75" customHeight="1" x14ac:dyDescent="0.3">
      <c r="B132" s="1"/>
      <c r="C132" s="1"/>
      <c r="D132" s="1" t="s">
        <v>1060</v>
      </c>
      <c r="E132" s="1">
        <f>+E130-E131</f>
        <v>686.72500000000002</v>
      </c>
      <c r="F132" s="1" t="s">
        <v>588</v>
      </c>
      <c r="G132" s="401" t="s">
        <v>1109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1061</v>
      </c>
      <c r="U132" s="305"/>
      <c r="X132" s="222">
        <f>+X131+X130</f>
        <v>264.62095051728534</v>
      </c>
    </row>
    <row r="133" spans="2:25" ht="15.75" customHeight="1" x14ac:dyDescent="0.3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782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3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1016</v>
      </c>
    </row>
    <row r="135" spans="2:25" ht="15.75" customHeight="1" x14ac:dyDescent="0.3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1062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1063</v>
      </c>
      <c r="U135" s="305"/>
      <c r="W135" s="12" t="s">
        <v>9</v>
      </c>
      <c r="X135" s="12">
        <v>1</v>
      </c>
    </row>
    <row r="136" spans="2:25" ht="15.75" customHeight="1" x14ac:dyDescent="0.3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1064</v>
      </c>
      <c r="X136" s="12">
        <f>+X135*Q135</f>
        <v>0.6</v>
      </c>
    </row>
    <row r="137" spans="2:25" ht="15.75" customHeight="1" x14ac:dyDescent="0.3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1065</v>
      </c>
      <c r="O137" s="12">
        <v>193</v>
      </c>
      <c r="P137" s="12" t="s">
        <v>1066</v>
      </c>
      <c r="U137" s="305"/>
      <c r="X137" s="12">
        <f>+X136+X135</f>
        <v>1.6</v>
      </c>
    </row>
    <row r="138" spans="2:25" ht="15.75" customHeight="1" x14ac:dyDescent="0.3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1067</v>
      </c>
      <c r="O138" s="228">
        <v>0.6</v>
      </c>
      <c r="U138" s="305"/>
    </row>
    <row r="139" spans="2:25" ht="15.75" customHeight="1" x14ac:dyDescent="0.3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1068</v>
      </c>
      <c r="O139" s="228">
        <v>0.375</v>
      </c>
      <c r="U139" s="305"/>
    </row>
    <row r="140" spans="2:25" ht="15.75" customHeight="1" x14ac:dyDescent="0.3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3">
      <c r="B141" s="1"/>
      <c r="C141" s="1"/>
      <c r="D141" s="1"/>
      <c r="E141" s="1"/>
      <c r="F141" s="1"/>
      <c r="G141" s="1"/>
      <c r="H141" s="1"/>
      <c r="I141" s="1"/>
      <c r="W141" s="12" t="s">
        <v>1069</v>
      </c>
      <c r="X141" s="12">
        <v>0.375</v>
      </c>
      <c r="Y141" s="228">
        <f>+X141/X143</f>
        <v>0.625</v>
      </c>
    </row>
    <row r="142" spans="2:25" ht="15.75" customHeight="1" x14ac:dyDescent="0.3">
      <c r="B142" s="1"/>
      <c r="C142" s="1"/>
      <c r="D142" s="1"/>
      <c r="E142" s="1"/>
      <c r="F142" s="1"/>
      <c r="G142" s="1"/>
      <c r="H142" s="1"/>
      <c r="I142" s="1"/>
      <c r="W142" s="12" t="s">
        <v>1070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3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1071</v>
      </c>
      <c r="X143" s="12">
        <v>0.6</v>
      </c>
    </row>
    <row r="144" spans="2:25" ht="15.75" customHeight="1" x14ac:dyDescent="0.3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1037</v>
      </c>
      <c r="Q144" s="371" t="s">
        <v>897</v>
      </c>
      <c r="R144" s="405" t="s">
        <v>898</v>
      </c>
      <c r="S144" s="1"/>
    </row>
    <row r="145" spans="2:19" ht="15.75" customHeight="1" x14ac:dyDescent="0.3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1038</v>
      </c>
      <c r="P145" s="340">
        <v>2019</v>
      </c>
      <c r="Q145" s="407"/>
      <c r="R145" s="406"/>
      <c r="S145" s="1"/>
    </row>
    <row r="146" spans="2:19" ht="15.75" customHeight="1" x14ac:dyDescent="0.3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3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3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3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3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3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3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3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3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3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3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3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3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3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3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3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3">
      <c r="B162" s="1"/>
      <c r="C162" s="1"/>
      <c r="D162" s="1"/>
      <c r="E162" s="1"/>
      <c r="F162" s="1"/>
      <c r="G162" s="1"/>
      <c r="H162" s="1"/>
      <c r="I162" s="1"/>
      <c r="L162" s="984" t="s">
        <v>1072</v>
      </c>
      <c r="M162" s="1016"/>
      <c r="N162" s="1016"/>
      <c r="O162" s="1016"/>
      <c r="P162" s="1016"/>
      <c r="Q162" s="1016"/>
      <c r="R162" s="1016"/>
      <c r="S162" s="1016"/>
      <c r="T162" s="1016"/>
      <c r="U162" s="985"/>
    </row>
    <row r="163" spans="2:21" ht="15.75" customHeight="1" x14ac:dyDescent="0.3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3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3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3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EXP_IMP'!J54</f>
        <v>ELC-SIN</v>
      </c>
      <c r="P166" s="357" t="str">
        <f>+O158</f>
        <v>ELC-REF2</v>
      </c>
    </row>
    <row r="167" spans="2:21" ht="15.75" customHeight="1" x14ac:dyDescent="0.3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3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3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977</v>
      </c>
    </row>
    <row r="170" spans="2:21" ht="15.75" customHeight="1" x14ac:dyDescent="0.3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+'REF2'!G182</f>
        <v>CO2e-REF2</v>
      </c>
      <c r="P170" s="341">
        <f>+'3. Scope3'!G19</f>
        <v>46.111111111111114</v>
      </c>
    </row>
    <row r="171" spans="2:21" ht="15.75" customHeight="1" x14ac:dyDescent="0.3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3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3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3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3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3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3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3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3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3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3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3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3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3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3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3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3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3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3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3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3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3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3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3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3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1073</v>
      </c>
    </row>
    <row r="196" spans="2:16" ht="15.75" customHeight="1" x14ac:dyDescent="0.3">
      <c r="O196" s="12">
        <f>+O195*365</f>
        <v>89425</v>
      </c>
      <c r="P196" s="12" t="s">
        <v>1074</v>
      </c>
    </row>
    <row r="197" spans="2:16" ht="15.75" customHeight="1" x14ac:dyDescent="0.3">
      <c r="O197" s="12">
        <f>+O196/1000</f>
        <v>89.424999999999997</v>
      </c>
      <c r="P197" s="12" t="s">
        <v>1075</v>
      </c>
    </row>
    <row r="198" spans="2:16" ht="15.75" customHeight="1" x14ac:dyDescent="0.3"/>
    <row r="199" spans="2:16" ht="15.75" customHeight="1" x14ac:dyDescent="0.3"/>
    <row r="200" spans="2:16" ht="15.75" customHeight="1" x14ac:dyDescent="0.3"/>
    <row r="201" spans="2:16" ht="15.75" customHeight="1" x14ac:dyDescent="0.3"/>
    <row r="202" spans="2:16" ht="15.75" customHeight="1" x14ac:dyDescent="0.3"/>
    <row r="203" spans="2:16" ht="15.75" customHeight="1" x14ac:dyDescent="0.3"/>
    <row r="204" spans="2:16" ht="15.75" customHeight="1" x14ac:dyDescent="0.3"/>
    <row r="205" spans="2:16" ht="15.75" customHeight="1" x14ac:dyDescent="0.3"/>
    <row r="206" spans="2:16" ht="15.75" customHeight="1" x14ac:dyDescent="0.3"/>
    <row r="207" spans="2:16" ht="15.75" customHeight="1" x14ac:dyDescent="0.3"/>
    <row r="208" spans="2:16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73" zoomScale="115" zoomScaleNormal="115" workbookViewId="0">
      <selection activeCell="P90" sqref="P90"/>
    </sheetView>
  </sheetViews>
  <sheetFormatPr baseColWidth="10" defaultColWidth="14.44140625" defaultRowHeight="15" customHeight="1" x14ac:dyDescent="0.3"/>
  <cols>
    <col min="1" max="1" width="6.6640625" customWidth="1"/>
    <col min="2" max="2" width="15.44140625" customWidth="1"/>
    <col min="3" max="3" width="18.6640625" customWidth="1"/>
    <col min="4" max="4" width="34.5546875" customWidth="1"/>
    <col min="5" max="6" width="10.6640625" customWidth="1"/>
    <col min="7" max="7" width="9" customWidth="1"/>
    <col min="8" max="11" width="6.5546875" customWidth="1"/>
    <col min="12" max="12" width="28.109375" customWidth="1"/>
    <col min="13" max="13" width="20.33203125" customWidth="1"/>
    <col min="14" max="14" width="29.88671875" customWidth="1"/>
    <col min="15" max="15" width="15.88671875" customWidth="1"/>
    <col min="16" max="16" width="11.33203125" customWidth="1"/>
    <col min="17" max="17" width="12.6640625" customWidth="1"/>
    <col min="18" max="18" width="22.5546875" customWidth="1"/>
    <col min="19" max="20" width="13.109375" customWidth="1"/>
    <col min="21" max="21" width="19.5546875" customWidth="1"/>
    <col min="22" max="26" width="10.6640625" customWidth="1"/>
  </cols>
  <sheetData>
    <row r="1" spans="3:21" ht="14.4" x14ac:dyDescent="0.3">
      <c r="C1" s="12" t="s">
        <v>963</v>
      </c>
      <c r="D1" s="12">
        <v>119.96</v>
      </c>
      <c r="E1" s="12" t="s">
        <v>698</v>
      </c>
    </row>
    <row r="2" spans="3:21" ht="14.4" x14ac:dyDescent="0.3"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4" spans="3:21" ht="14.4" x14ac:dyDescent="0.3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ht="14.4" x14ac:dyDescent="0.3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ht="14.4" x14ac:dyDescent="0.3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ht="14.4" x14ac:dyDescent="0.3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84" t="s">
        <v>966</v>
      </c>
      <c r="M7" s="1016"/>
      <c r="N7" s="1016"/>
      <c r="O7" s="1016"/>
      <c r="P7" s="1016"/>
      <c r="Q7" s="1016"/>
      <c r="R7" s="1016"/>
      <c r="S7" s="1016"/>
      <c r="T7" s="1016"/>
      <c r="U7" s="985"/>
    </row>
    <row r="8" spans="3:21" ht="14.4" x14ac:dyDescent="0.3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ht="14.4" x14ac:dyDescent="0.3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1017" t="s">
        <v>967</v>
      </c>
      <c r="O9" s="1016"/>
      <c r="P9" s="985"/>
      <c r="U9" s="305"/>
    </row>
    <row r="10" spans="3:21" ht="14.4" x14ac:dyDescent="0.3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968</v>
      </c>
      <c r="P10" s="321" t="s">
        <v>969</v>
      </c>
      <c r="R10" s="1018"/>
      <c r="S10" s="983"/>
      <c r="T10" s="14"/>
      <c r="U10" s="305"/>
    </row>
    <row r="11" spans="3:21" ht="14.4" x14ac:dyDescent="0.3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970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ht="14.4" x14ac:dyDescent="0.3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971</v>
      </c>
      <c r="O12" s="1019"/>
      <c r="P12" s="323"/>
      <c r="R12" s="14"/>
      <c r="S12" s="1021"/>
      <c r="T12" s="295"/>
      <c r="U12" s="305"/>
    </row>
    <row r="13" spans="3:21" ht="14.4" x14ac:dyDescent="0.3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972</v>
      </c>
      <c r="O13" s="1020"/>
      <c r="P13" s="325"/>
      <c r="R13" s="14"/>
      <c r="S13" s="983"/>
      <c r="T13" s="14"/>
      <c r="U13" s="305"/>
    </row>
    <row r="14" spans="3:21" ht="14.4" x14ac:dyDescent="0.3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ht="14.4" x14ac:dyDescent="0.3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ht="14.4" x14ac:dyDescent="0.3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ht="14.4" x14ac:dyDescent="0.3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ht="14.4" x14ac:dyDescent="0.3">
      <c r="C18" s="70" t="s">
        <v>524</v>
      </c>
    </row>
    <row r="19" spans="1:22" ht="14.4" x14ac:dyDescent="0.3">
      <c r="T19" s="326"/>
    </row>
    <row r="20" spans="1:22" ht="14.4" x14ac:dyDescent="0.3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3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973</v>
      </c>
      <c r="R21" s="335" t="s">
        <v>854</v>
      </c>
      <c r="T21" s="336"/>
      <c r="U21" s="207"/>
      <c r="V21" s="207"/>
    </row>
    <row r="22" spans="1:22" ht="15.75" customHeight="1" x14ac:dyDescent="0.3">
      <c r="A22" s="1" t="s">
        <v>289</v>
      </c>
      <c r="B22" s="1"/>
      <c r="C22" s="17" t="s">
        <v>974</v>
      </c>
      <c r="D22" s="1" t="s">
        <v>975</v>
      </c>
      <c r="E22" s="1" t="s">
        <v>59</v>
      </c>
      <c r="F22" s="1" t="s">
        <v>288</v>
      </c>
      <c r="G22" s="328"/>
      <c r="N22" s="16" t="str">
        <f>+C22</f>
        <v>MIX-OIL-REF1</v>
      </c>
      <c r="O22" s="16" t="str">
        <f>+C8</f>
        <v>LOIL</v>
      </c>
      <c r="P22" s="16" t="s">
        <v>976</v>
      </c>
      <c r="Q22" s="292">
        <v>0.3</v>
      </c>
      <c r="R22" s="322">
        <v>1</v>
      </c>
      <c r="T22" s="337" t="s">
        <v>272</v>
      </c>
      <c r="U22" s="337" t="s">
        <v>806</v>
      </c>
      <c r="V22" s="337" t="s">
        <v>977</v>
      </c>
    </row>
    <row r="23" spans="1:22" ht="15.75" customHeight="1" x14ac:dyDescent="0.3">
      <c r="A23" s="1"/>
      <c r="B23" s="1"/>
      <c r="C23" s="338" t="s">
        <v>978</v>
      </c>
      <c r="D23" s="328" t="s">
        <v>979</v>
      </c>
      <c r="E23" s="1" t="s">
        <v>59</v>
      </c>
      <c r="F23" s="1" t="s">
        <v>288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3">
      <c r="A24" s="1"/>
      <c r="B24" s="1"/>
      <c r="C24" s="342" t="s">
        <v>980</v>
      </c>
      <c r="D24" s="328" t="s">
        <v>981</v>
      </c>
      <c r="E24" s="1" t="s">
        <v>59</v>
      </c>
      <c r="F24" s="1" t="s">
        <v>288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3">
      <c r="A25" s="1"/>
      <c r="B25" s="1"/>
      <c r="C25" s="17" t="s">
        <v>982</v>
      </c>
      <c r="D25" s="328" t="s">
        <v>983</v>
      </c>
      <c r="E25" s="1" t="s">
        <v>59</v>
      </c>
      <c r="F25" s="1" t="s">
        <v>288</v>
      </c>
      <c r="G25" s="328"/>
      <c r="T25" s="330"/>
      <c r="U25" s="215"/>
      <c r="V25" s="215"/>
    </row>
    <row r="26" spans="1:22" ht="15.75" customHeight="1" x14ac:dyDescent="0.3">
      <c r="A26" s="328"/>
      <c r="B26" s="328"/>
      <c r="C26" s="18" t="s">
        <v>984</v>
      </c>
      <c r="D26" s="12" t="s">
        <v>985</v>
      </c>
      <c r="E26" s="1" t="s">
        <v>59</v>
      </c>
      <c r="F26" s="1" t="s">
        <v>288</v>
      </c>
      <c r="G26" s="328"/>
    </row>
    <row r="27" spans="1:22" ht="15.75" customHeight="1" x14ac:dyDescent="0.3">
      <c r="A27" s="328"/>
      <c r="B27" s="328"/>
      <c r="C27" s="18" t="s">
        <v>986</v>
      </c>
      <c r="D27" s="12" t="s">
        <v>987</v>
      </c>
      <c r="E27" s="12" t="s">
        <v>59</v>
      </c>
      <c r="F27" s="344" t="s">
        <v>288</v>
      </c>
      <c r="G27" s="328"/>
    </row>
    <row r="28" spans="1:22" ht="15.75" customHeight="1" x14ac:dyDescent="0.3">
      <c r="A28" s="328"/>
      <c r="B28" s="328"/>
      <c r="C28" s="18" t="s">
        <v>988</v>
      </c>
      <c r="D28" s="328" t="s">
        <v>989</v>
      </c>
      <c r="E28" s="328" t="s">
        <v>59</v>
      </c>
      <c r="F28" s="344" t="s">
        <v>288</v>
      </c>
      <c r="G28" s="328"/>
      <c r="L28" s="984" t="s">
        <v>990</v>
      </c>
      <c r="M28" s="1016"/>
      <c r="N28" s="1016"/>
      <c r="O28" s="1016"/>
      <c r="P28" s="1016"/>
      <c r="Q28" s="1016"/>
      <c r="R28" s="1016"/>
      <c r="S28" s="1016"/>
      <c r="T28" s="1016"/>
      <c r="U28" s="985"/>
    </row>
    <row r="29" spans="1:22" ht="15.75" customHeight="1" x14ac:dyDescent="0.3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3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3">
      <c r="A31" s="328"/>
      <c r="B31" s="328"/>
      <c r="F31" s="1"/>
      <c r="G31" s="328"/>
      <c r="L31" s="116"/>
      <c r="N31" s="345" t="s">
        <v>991</v>
      </c>
      <c r="O31" s="345" t="s">
        <v>586</v>
      </c>
      <c r="P31" s="345" t="s">
        <v>992</v>
      </c>
      <c r="R31" s="13" t="s">
        <v>993</v>
      </c>
      <c r="S31" s="13" t="s">
        <v>994</v>
      </c>
      <c r="U31" s="305"/>
    </row>
    <row r="32" spans="1:22" ht="15.75" customHeight="1" x14ac:dyDescent="0.3">
      <c r="A32" s="328"/>
      <c r="B32" s="328"/>
      <c r="F32" s="328"/>
      <c r="G32" s="328"/>
      <c r="L32" s="116"/>
      <c r="N32" s="330" t="s">
        <v>995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3">
      <c r="A33" s="328"/>
      <c r="B33" s="328"/>
      <c r="C33" s="328"/>
      <c r="D33" s="328"/>
      <c r="E33" s="328"/>
      <c r="F33" s="328"/>
      <c r="G33" s="328"/>
      <c r="L33" s="116"/>
      <c r="N33" s="330" t="s">
        <v>996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3">
      <c r="A34" s="348"/>
      <c r="B34" s="348"/>
      <c r="C34" s="349"/>
      <c r="D34" s="349"/>
      <c r="E34" s="349"/>
      <c r="F34" s="328"/>
      <c r="G34" s="328"/>
      <c r="L34" s="116"/>
      <c r="N34" s="330" t="s">
        <v>997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3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3">
      <c r="A36" s="350" t="s">
        <v>58</v>
      </c>
      <c r="B36" s="350"/>
      <c r="C36" s="1" t="s">
        <v>976</v>
      </c>
      <c r="D36" s="1" t="s">
        <v>998</v>
      </c>
      <c r="E36" s="1" t="s">
        <v>59</v>
      </c>
      <c r="F36" s="328"/>
      <c r="G36" s="328"/>
      <c r="L36" s="116"/>
      <c r="N36" s="351" t="s">
        <v>999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1000</v>
      </c>
      <c r="U36" s="305"/>
    </row>
    <row r="37" spans="1:21" ht="15.75" customHeight="1" x14ac:dyDescent="0.3">
      <c r="A37" s="1"/>
      <c r="B37" s="1"/>
      <c r="C37" s="12" t="s">
        <v>1001</v>
      </c>
      <c r="D37" s="12" t="s">
        <v>1002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3">
      <c r="A38" s="1"/>
      <c r="B38" s="328"/>
      <c r="C38" s="12" t="s">
        <v>1003</v>
      </c>
      <c r="D38" s="12" t="s">
        <v>1004</v>
      </c>
      <c r="E38" s="12" t="s">
        <v>59</v>
      </c>
      <c r="F38" s="328"/>
      <c r="G38" s="328"/>
    </row>
    <row r="39" spans="1:21" ht="15.75" customHeight="1" x14ac:dyDescent="0.3">
      <c r="A39" s="1"/>
      <c r="B39" s="328"/>
      <c r="C39" s="18" t="s">
        <v>1005</v>
      </c>
      <c r="D39" s="12" t="s">
        <v>1006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3">
      <c r="C40" s="18" t="s">
        <v>1008</v>
      </c>
      <c r="D40" s="18" t="s">
        <v>1009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</row>
    <row r="41" spans="1:21" ht="15.75" customHeight="1" x14ac:dyDescent="0.3">
      <c r="A41" s="1"/>
      <c r="B41" s="1"/>
      <c r="C41" s="18" t="s">
        <v>1010</v>
      </c>
      <c r="D41" s="18" t="s">
        <v>1011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3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3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3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3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1" ht="15.75" customHeight="1" x14ac:dyDescent="0.3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3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3">
      <c r="B48" s="1"/>
      <c r="C48" s="1"/>
      <c r="D48" s="1"/>
      <c r="E48" s="1"/>
      <c r="F48" s="1"/>
      <c r="G48" s="1"/>
      <c r="H48" s="1"/>
      <c r="I48" s="1"/>
      <c r="L48" s="984" t="s">
        <v>1012</v>
      </c>
      <c r="M48" s="1016"/>
      <c r="N48" s="1016"/>
      <c r="O48" s="1016"/>
      <c r="P48" s="1016"/>
      <c r="Q48" s="1016"/>
      <c r="R48" s="1016"/>
      <c r="S48" s="1016"/>
      <c r="T48" s="1016"/>
      <c r="U48" s="985"/>
    </row>
    <row r="49" spans="2:21" ht="15.75" customHeight="1" x14ac:dyDescent="0.3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3">
      <c r="B50" s="1"/>
      <c r="C50" s="1"/>
      <c r="D50" s="1"/>
      <c r="E50" s="1"/>
      <c r="F50" s="1"/>
      <c r="G50" s="1"/>
      <c r="H50" s="1"/>
      <c r="I50" s="1"/>
      <c r="L50" s="116"/>
      <c r="M50" s="345" t="s">
        <v>1013</v>
      </c>
      <c r="N50" s="345" t="s">
        <v>1014</v>
      </c>
      <c r="O50" s="345" t="s">
        <v>1015</v>
      </c>
      <c r="U50" s="305"/>
    </row>
    <row r="51" spans="2:21" ht="15.75" customHeight="1" x14ac:dyDescent="0.3">
      <c r="B51" s="1"/>
      <c r="C51" s="1"/>
      <c r="D51" s="1"/>
      <c r="E51" s="1"/>
      <c r="F51" s="1"/>
      <c r="G51" s="1"/>
      <c r="H51" s="1"/>
      <c r="I51" s="1"/>
      <c r="L51" s="116"/>
      <c r="M51" s="14" t="s">
        <v>956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3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3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1016</v>
      </c>
      <c r="N54" s="345" t="s">
        <v>1014</v>
      </c>
      <c r="O54" s="345" t="s">
        <v>1015</v>
      </c>
      <c r="P54" s="345" t="s">
        <v>1017</v>
      </c>
      <c r="Q54" s="345" t="s">
        <v>1018</v>
      </c>
      <c r="S54" s="362"/>
      <c r="T54" s="362"/>
      <c r="U54" s="363"/>
    </row>
    <row r="55" spans="2:21" ht="15.75" customHeight="1" x14ac:dyDescent="0.3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3">
      <c r="B56" s="1"/>
      <c r="C56" s="1"/>
      <c r="D56" s="1"/>
      <c r="E56" s="1"/>
      <c r="F56" s="1"/>
      <c r="G56" s="1"/>
      <c r="H56" s="1"/>
      <c r="I56" s="1"/>
      <c r="L56" s="116"/>
      <c r="M56" s="330" t="s">
        <v>1019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3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3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3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3">
      <c r="B60" s="1"/>
      <c r="C60" s="1"/>
      <c r="D60" s="1"/>
      <c r="E60" s="1"/>
      <c r="F60" s="1"/>
      <c r="G60" s="1"/>
      <c r="H60" s="1"/>
      <c r="I60" s="1"/>
      <c r="L60" s="116"/>
      <c r="M60" s="330" t="s">
        <v>1020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3">
      <c r="B61" s="1"/>
      <c r="C61" s="1"/>
      <c r="D61" s="1"/>
      <c r="E61" s="1"/>
      <c r="F61" s="1"/>
      <c r="G61" s="1"/>
      <c r="H61" s="1"/>
      <c r="I61" s="1"/>
      <c r="L61" s="116"/>
      <c r="M61" s="330" t="s">
        <v>1021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1022</v>
      </c>
      <c r="T61" s="330"/>
      <c r="U61" s="305"/>
    </row>
    <row r="62" spans="2:21" ht="15.75" customHeight="1" x14ac:dyDescent="0.3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3">
      <c r="B63" s="1"/>
      <c r="C63" s="1"/>
      <c r="D63" s="1"/>
      <c r="E63" s="1"/>
      <c r="F63" s="1"/>
      <c r="G63" s="1"/>
      <c r="H63" s="1"/>
      <c r="I63" s="1"/>
      <c r="L63" s="116"/>
      <c r="M63" s="330" t="s">
        <v>1023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3">
      <c r="B64" s="1"/>
      <c r="C64" s="1"/>
      <c r="D64" s="1"/>
      <c r="E64" s="1"/>
      <c r="F64" s="1"/>
      <c r="G64" s="1"/>
      <c r="H64" s="1"/>
      <c r="I64" s="1"/>
      <c r="L64" s="116"/>
      <c r="M64" s="330" t="s">
        <v>943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3">
      <c r="B65" s="1"/>
      <c r="C65" s="1"/>
      <c r="D65" s="1"/>
      <c r="E65" s="1"/>
      <c r="F65" s="1"/>
      <c r="G65" s="1"/>
      <c r="H65" s="1"/>
      <c r="I65" s="1"/>
      <c r="L65" s="116"/>
      <c r="M65" s="330" t="s">
        <v>919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3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3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3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3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3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3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R71" s="373" t="s">
        <v>1025</v>
      </c>
      <c r="S71" s="309"/>
    </row>
    <row r="72" spans="2:21" ht="15.75" customHeight="1" x14ac:dyDescent="0.3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3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3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3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3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3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3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3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3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3">
      <c r="B81" s="1"/>
      <c r="C81" s="1"/>
      <c r="D81" s="1"/>
      <c r="E81" s="1"/>
      <c r="F81" s="1"/>
      <c r="G81" s="1"/>
      <c r="H81" s="1"/>
      <c r="I81" s="1"/>
      <c r="L81" s="984" t="s">
        <v>1026</v>
      </c>
      <c r="M81" s="1016"/>
      <c r="N81" s="1016"/>
      <c r="O81" s="1016"/>
      <c r="P81" s="1016"/>
      <c r="Q81" s="1016"/>
      <c r="R81" s="1016"/>
      <c r="S81" s="1016"/>
      <c r="T81" s="1016"/>
      <c r="U81" s="985"/>
    </row>
    <row r="82" spans="1:21" ht="15.75" customHeight="1" x14ac:dyDescent="0.3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3">
      <c r="A83" s="12" t="s">
        <v>1027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992</v>
      </c>
      <c r="T83" s="299"/>
      <c r="U83" s="305"/>
    </row>
    <row r="84" spans="1:21" ht="15.75" customHeight="1" x14ac:dyDescent="0.3">
      <c r="A84" s="12" t="s">
        <v>1028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1029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3">
      <c r="A85" s="12" t="s">
        <v>1030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1031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3">
      <c r="B86" s="1"/>
      <c r="C86" s="1"/>
      <c r="D86" s="1"/>
      <c r="E86" s="1"/>
      <c r="F86" s="1"/>
      <c r="G86" s="1"/>
      <c r="H86" s="1"/>
      <c r="I86" s="1"/>
      <c r="L86" s="116"/>
      <c r="N86" s="375" t="s">
        <v>1032</v>
      </c>
      <c r="O86" s="376">
        <f>+O85/O84</f>
        <v>0.93939393939393945</v>
      </c>
      <c r="U86" s="305"/>
    </row>
    <row r="87" spans="1:21" ht="15.75" customHeight="1" x14ac:dyDescent="0.3">
      <c r="B87" s="1"/>
      <c r="C87" s="1"/>
      <c r="D87" s="1"/>
      <c r="E87" s="1"/>
      <c r="F87" s="1"/>
      <c r="G87" s="1"/>
      <c r="H87" s="1"/>
      <c r="I87" s="1"/>
      <c r="L87" s="116"/>
      <c r="N87" s="351" t="s">
        <v>1033</v>
      </c>
      <c r="O87" s="377">
        <v>1</v>
      </c>
      <c r="U87" s="305"/>
    </row>
    <row r="88" spans="1:21" ht="15.75" customHeight="1" x14ac:dyDescent="0.3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3">
      <c r="B89" s="1"/>
      <c r="C89" s="1"/>
      <c r="D89" s="1"/>
      <c r="E89" s="1"/>
      <c r="F89" s="1"/>
      <c r="G89" s="1"/>
      <c r="H89" s="1"/>
      <c r="I89" s="1"/>
      <c r="L89" s="116"/>
      <c r="N89" s="330" t="s">
        <v>1034</v>
      </c>
      <c r="O89" s="266">
        <f t="shared" ref="O89" si="9">+N65/N51</f>
        <v>0.97945454545454558</v>
      </c>
      <c r="P89" s="266">
        <f>+O65/O51</f>
        <v>1.0171399974978106</v>
      </c>
      <c r="U89" s="305"/>
    </row>
    <row r="90" spans="1:21" ht="15.75" customHeight="1" x14ac:dyDescent="0.3">
      <c r="B90" s="1"/>
      <c r="C90" s="1"/>
      <c r="D90" s="1"/>
      <c r="E90" s="1"/>
      <c r="F90" s="1"/>
      <c r="G90" s="1"/>
      <c r="H90" s="1"/>
      <c r="I90" s="1"/>
      <c r="L90" s="116"/>
      <c r="N90" s="330" t="s">
        <v>1035</v>
      </c>
      <c r="O90" s="266">
        <f t="shared" ref="O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3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3">
      <c r="B92" s="1"/>
      <c r="C92" s="1"/>
      <c r="D92" s="1"/>
      <c r="E92" s="1"/>
      <c r="F92" s="1"/>
      <c r="G92" s="1"/>
      <c r="H92" s="1"/>
      <c r="I92" s="1"/>
      <c r="L92" s="116"/>
      <c r="N92" s="378" t="s">
        <v>1036</v>
      </c>
      <c r="O92" s="379">
        <v>0</v>
      </c>
      <c r="U92" s="305"/>
    </row>
    <row r="93" spans="1:21" ht="15.75" customHeight="1" x14ac:dyDescent="0.3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3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3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3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1037</v>
      </c>
      <c r="Q96" s="355" t="s">
        <v>897</v>
      </c>
      <c r="R96" s="382" t="s">
        <v>898</v>
      </c>
    </row>
    <row r="97" spans="2:25" ht="15.75" customHeight="1" x14ac:dyDescent="0.3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1038</v>
      </c>
      <c r="P97" s="16">
        <v>2019</v>
      </c>
      <c r="Q97" s="386">
        <f>+P85*P90</f>
        <v>305.18849488368261</v>
      </c>
    </row>
    <row r="98" spans="2:25" ht="15.75" customHeight="1" x14ac:dyDescent="0.3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3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854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3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1039</v>
      </c>
      <c r="P100" s="389">
        <v>2019</v>
      </c>
      <c r="Q100" s="322"/>
      <c r="R100" s="390">
        <f>+O92</f>
        <v>0</v>
      </c>
    </row>
    <row r="101" spans="2:25" ht="15.75" customHeight="1" x14ac:dyDescent="0.3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3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3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3">
      <c r="B104" s="1"/>
      <c r="C104" s="1"/>
      <c r="D104" s="1"/>
      <c r="E104" s="1"/>
      <c r="F104" s="1"/>
      <c r="G104" s="1"/>
      <c r="H104" s="1"/>
      <c r="I104" s="1"/>
      <c r="L104" s="984" t="s">
        <v>1040</v>
      </c>
      <c r="M104" s="1016"/>
      <c r="N104" s="1016"/>
      <c r="O104" s="1016"/>
      <c r="P104" s="1016"/>
      <c r="Q104" s="1016"/>
      <c r="R104" s="1016"/>
      <c r="S104" s="1016"/>
      <c r="T104" s="1016"/>
      <c r="U104" s="985"/>
    </row>
    <row r="105" spans="2:25" ht="15.75" customHeight="1" x14ac:dyDescent="0.3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1041</v>
      </c>
    </row>
    <row r="106" spans="2:25" ht="15.75" customHeight="1" x14ac:dyDescent="0.3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1042</v>
      </c>
    </row>
    <row r="107" spans="2:25" ht="15.75" customHeight="1" x14ac:dyDescent="0.3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992</v>
      </c>
      <c r="U107" s="305"/>
    </row>
    <row r="108" spans="2:25" ht="15.75" customHeight="1" x14ac:dyDescent="0.3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1043</v>
      </c>
      <c r="O108" s="394">
        <f>394.77/299.7</f>
        <v>1.3172172172172172</v>
      </c>
      <c r="P108" s="395">
        <f>+O108</f>
        <v>1.3172172172172172</v>
      </c>
      <c r="Q108" s="12" t="s">
        <v>1044</v>
      </c>
      <c r="U108" s="305"/>
      <c r="X108" s="12">
        <f>+O34*1000000</f>
        <v>74825000</v>
      </c>
      <c r="Y108" s="12" t="s">
        <v>1042</v>
      </c>
    </row>
    <row r="109" spans="2:25" ht="15.75" customHeight="1" x14ac:dyDescent="0.3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3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1045</v>
      </c>
      <c r="U110" s="305"/>
      <c r="X110" s="12">
        <f>+X108*X105</f>
        <v>336712500</v>
      </c>
      <c r="Y110" s="12" t="s">
        <v>1046</v>
      </c>
    </row>
    <row r="111" spans="2:25" ht="15.75" customHeight="1" x14ac:dyDescent="0.3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1047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11890900923.75</v>
      </c>
      <c r="Y111" s="12" t="s">
        <v>1048</v>
      </c>
    </row>
    <row r="112" spans="2:25" ht="15.75" customHeight="1" x14ac:dyDescent="0.3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1049</v>
      </c>
    </row>
    <row r="113" spans="2:24" ht="15.75" customHeight="1" x14ac:dyDescent="0.3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3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3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3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1037</v>
      </c>
      <c r="Q116" s="355" t="s">
        <v>897</v>
      </c>
      <c r="R116" s="398" t="s">
        <v>898</v>
      </c>
    </row>
    <row r="117" spans="2:24" ht="15.75" customHeight="1" x14ac:dyDescent="0.3">
      <c r="B117" s="1"/>
      <c r="C117" s="1"/>
      <c r="D117" s="1"/>
      <c r="E117" s="1"/>
      <c r="F117" s="1"/>
      <c r="G117" s="1"/>
      <c r="H117" s="1"/>
      <c r="I117" s="1"/>
      <c r="N117" s="389" t="s">
        <v>980</v>
      </c>
      <c r="O117" s="389" t="s">
        <v>1038</v>
      </c>
      <c r="P117" s="16">
        <v>2019</v>
      </c>
      <c r="Q117" s="399"/>
      <c r="R117" s="389"/>
    </row>
    <row r="118" spans="2:24" ht="15.75" customHeight="1" x14ac:dyDescent="0.3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3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3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3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3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3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3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3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3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3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3">
      <c r="B128" s="1"/>
      <c r="C128" s="1"/>
      <c r="D128" s="1"/>
      <c r="E128" s="1"/>
      <c r="F128" s="1"/>
      <c r="G128" s="1"/>
      <c r="H128" s="1"/>
      <c r="I128" s="1"/>
      <c r="L128" s="984" t="s">
        <v>1050</v>
      </c>
      <c r="M128" s="1016"/>
      <c r="N128" s="1016"/>
      <c r="O128" s="1016"/>
      <c r="P128" s="1016"/>
      <c r="Q128" s="1016"/>
      <c r="R128" s="1016"/>
      <c r="S128" s="1016"/>
      <c r="T128" s="1016"/>
      <c r="U128" s="985"/>
      <c r="W128" s="12" t="s">
        <v>1051</v>
      </c>
    </row>
    <row r="129" spans="2:25" ht="15.75" customHeight="1" x14ac:dyDescent="0.3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1052</v>
      </c>
    </row>
    <row r="130" spans="2:25" ht="15.75" customHeight="1" x14ac:dyDescent="0.3">
      <c r="B130" s="1"/>
      <c r="C130" s="1"/>
      <c r="D130" s="1" t="s">
        <v>1053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1052</v>
      </c>
      <c r="N130" s="345" t="s">
        <v>1054</v>
      </c>
      <c r="O130" s="345" t="s">
        <v>992</v>
      </c>
      <c r="P130" s="118"/>
      <c r="Q130" s="118" t="s">
        <v>1055</v>
      </c>
      <c r="R130" s="326"/>
      <c r="S130" s="13"/>
      <c r="T130" s="13"/>
      <c r="U130" s="305"/>
      <c r="W130" s="12" t="s">
        <v>602</v>
      </c>
      <c r="X130" s="222">
        <f t="shared" ref="X130:X131" si="12">+Q131</f>
        <v>7.9730836007290984</v>
      </c>
    </row>
    <row r="131" spans="2:25" ht="15.75" customHeight="1" x14ac:dyDescent="0.3">
      <c r="B131" s="1"/>
      <c r="C131" s="1"/>
      <c r="D131" s="1" t="s">
        <v>1056</v>
      </c>
      <c r="E131" s="1">
        <v>874.27499999999998</v>
      </c>
      <c r="F131" s="1" t="s">
        <v>588</v>
      </c>
      <c r="G131" s="401">
        <f>+E131/E130</f>
        <v>0.56007367072389491</v>
      </c>
      <c r="H131" s="1"/>
      <c r="I131" s="1"/>
      <c r="L131" s="116"/>
      <c r="M131" s="330" t="s">
        <v>1057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1058</v>
      </c>
      <c r="U131" s="305"/>
      <c r="W131" s="12" t="s">
        <v>1059</v>
      </c>
      <c r="X131" s="231">
        <f t="shared" si="12"/>
        <v>3.9306260817079615</v>
      </c>
    </row>
    <row r="132" spans="2:25" ht="15.75" customHeight="1" x14ac:dyDescent="0.3">
      <c r="B132" s="1"/>
      <c r="C132" s="1"/>
      <c r="D132" s="1" t="s">
        <v>1060</v>
      </c>
      <c r="E132" s="1">
        <f>+E130-E131</f>
        <v>686.72500000000002</v>
      </c>
      <c r="F132" s="1" t="s">
        <v>588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1061</v>
      </c>
      <c r="U132" s="305"/>
      <c r="X132" s="222">
        <f>+X131+X130</f>
        <v>11.903709682437061</v>
      </c>
    </row>
    <row r="133" spans="2:25" ht="15.75" customHeight="1" x14ac:dyDescent="0.3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3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1016</v>
      </c>
    </row>
    <row r="135" spans="2:25" ht="15.75" customHeight="1" x14ac:dyDescent="0.3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1062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1063</v>
      </c>
      <c r="U135" s="305"/>
      <c r="W135" s="12" t="s">
        <v>9</v>
      </c>
      <c r="X135" s="12">
        <v>1</v>
      </c>
    </row>
    <row r="136" spans="2:25" ht="15.75" customHeight="1" x14ac:dyDescent="0.3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1064</v>
      </c>
      <c r="X136" s="12">
        <f>+X135*Q135</f>
        <v>0.6</v>
      </c>
    </row>
    <row r="137" spans="2:25" ht="15.75" customHeight="1" x14ac:dyDescent="0.3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1065</v>
      </c>
      <c r="O137" s="12">
        <v>193</v>
      </c>
      <c r="P137" s="12" t="s">
        <v>1066</v>
      </c>
      <c r="U137" s="305"/>
      <c r="X137" s="12">
        <f>+X136+X135</f>
        <v>1.6</v>
      </c>
    </row>
    <row r="138" spans="2:25" ht="15.75" customHeight="1" x14ac:dyDescent="0.3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1067</v>
      </c>
      <c r="O138" s="228">
        <v>0.6</v>
      </c>
      <c r="U138" s="305"/>
    </row>
    <row r="139" spans="2:25" ht="15.75" customHeight="1" x14ac:dyDescent="0.3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1068</v>
      </c>
      <c r="O139" s="228">
        <v>0.375</v>
      </c>
      <c r="U139" s="305"/>
    </row>
    <row r="140" spans="2:25" ht="15.75" customHeight="1" x14ac:dyDescent="0.3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3">
      <c r="B141" s="1"/>
      <c r="C141" s="1"/>
      <c r="D141" s="1"/>
      <c r="E141" s="1"/>
      <c r="F141" s="1"/>
      <c r="G141" s="1"/>
      <c r="H141" s="1"/>
      <c r="I141" s="1"/>
      <c r="W141" s="12" t="s">
        <v>1069</v>
      </c>
      <c r="X141" s="12">
        <v>0.375</v>
      </c>
      <c r="Y141" s="228">
        <f>+X141/X143</f>
        <v>0.625</v>
      </c>
    </row>
    <row r="142" spans="2:25" ht="15.75" customHeight="1" x14ac:dyDescent="0.3">
      <c r="B142" s="1"/>
      <c r="C142" s="1"/>
      <c r="D142" s="1"/>
      <c r="E142" s="1"/>
      <c r="F142" s="1"/>
      <c r="G142" s="1"/>
      <c r="H142" s="1"/>
      <c r="I142" s="1"/>
      <c r="W142" s="12" t="s">
        <v>1070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3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1071</v>
      </c>
      <c r="X143" s="12">
        <v>0.6</v>
      </c>
    </row>
    <row r="144" spans="2:25" ht="15.75" customHeight="1" x14ac:dyDescent="0.3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1037</v>
      </c>
      <c r="Q144" s="371" t="s">
        <v>897</v>
      </c>
      <c r="R144" s="405" t="s">
        <v>898</v>
      </c>
      <c r="S144" s="1"/>
    </row>
    <row r="145" spans="2:19" ht="15.75" customHeight="1" x14ac:dyDescent="0.3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1038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3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3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3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3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3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3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3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3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3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3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3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3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3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3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3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3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3">
      <c r="B162" s="1"/>
      <c r="C162" s="1"/>
      <c r="D162" s="1"/>
      <c r="E162" s="1"/>
      <c r="F162" s="1"/>
      <c r="G162" s="1"/>
      <c r="H162" s="1"/>
      <c r="I162" s="1"/>
      <c r="L162" s="984" t="s">
        <v>1072</v>
      </c>
      <c r="M162" s="1016"/>
      <c r="N162" s="1016"/>
      <c r="O162" s="1016"/>
      <c r="P162" s="1016"/>
      <c r="Q162" s="1016"/>
      <c r="R162" s="1016"/>
      <c r="S162" s="1016"/>
      <c r="T162" s="1016"/>
      <c r="U162" s="985"/>
    </row>
    <row r="163" spans="2:21" ht="15.75" customHeight="1" x14ac:dyDescent="0.3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3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3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3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EXP_IMP'!J54</f>
        <v>ELC-SIN</v>
      </c>
      <c r="P166" s="357" t="str">
        <f>+O158</f>
        <v>ELC-REF1</v>
      </c>
    </row>
    <row r="167" spans="2:21" ht="15.75" customHeight="1" x14ac:dyDescent="0.3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3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3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977</v>
      </c>
    </row>
    <row r="170" spans="2:21" ht="15.75" customHeight="1" x14ac:dyDescent="0.3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3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3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3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3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3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3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3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3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3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3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3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3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3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3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3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3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3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3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3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3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3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3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3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3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3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1073</v>
      </c>
    </row>
    <row r="196" spans="2:16" ht="15.75" customHeight="1" x14ac:dyDescent="0.3">
      <c r="O196" s="12">
        <f>+O195*365</f>
        <v>89425</v>
      </c>
      <c r="P196" s="12" t="s">
        <v>1074</v>
      </c>
    </row>
    <row r="197" spans="2:16" ht="15.75" customHeight="1" x14ac:dyDescent="0.3">
      <c r="O197" s="12">
        <f>+O196/1000</f>
        <v>89.424999999999997</v>
      </c>
      <c r="P197" s="12" t="s">
        <v>1075</v>
      </c>
    </row>
    <row r="198" spans="2:16" ht="15.75" customHeight="1" x14ac:dyDescent="0.3"/>
    <row r="199" spans="2:16" ht="15.75" customHeight="1" x14ac:dyDescent="0.3"/>
    <row r="200" spans="2:16" ht="15.75" customHeight="1" x14ac:dyDescent="0.3"/>
    <row r="201" spans="2:16" ht="15.75" customHeight="1" x14ac:dyDescent="0.3"/>
    <row r="202" spans="2:16" ht="15.75" customHeight="1" x14ac:dyDescent="0.3"/>
    <row r="203" spans="2:16" ht="15.75" customHeight="1" x14ac:dyDescent="0.3"/>
    <row r="204" spans="2:16" ht="15.75" customHeight="1" x14ac:dyDescent="0.3"/>
    <row r="205" spans="2:16" ht="15.75" customHeight="1" x14ac:dyDescent="0.3"/>
    <row r="206" spans="2:16" ht="15.75" customHeight="1" x14ac:dyDescent="0.3"/>
    <row r="207" spans="2:16" ht="15.75" customHeight="1" x14ac:dyDescent="0.3"/>
    <row r="208" spans="2:16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topLeftCell="A112" workbookViewId="0">
      <selection activeCell="F12" sqref="F12:J24"/>
    </sheetView>
  </sheetViews>
  <sheetFormatPr baseColWidth="10" defaultColWidth="14.44140625" defaultRowHeight="15" customHeight="1" x14ac:dyDescent="0.3"/>
  <cols>
    <col min="1" max="2" width="10.6640625" customWidth="1"/>
    <col min="3" max="3" width="27.109375" customWidth="1"/>
    <col min="4" max="4" width="17" customWidth="1"/>
    <col min="5" max="5" width="24.5546875" customWidth="1"/>
    <col min="6" max="6" width="27.33203125" customWidth="1"/>
    <col min="7" max="7" width="30.5546875" customWidth="1"/>
    <col min="8" max="8" width="10.6640625" customWidth="1"/>
    <col min="9" max="9" width="5.33203125" customWidth="1"/>
    <col min="10" max="10" width="16.88671875" customWidth="1"/>
    <col min="11" max="13" width="18.88671875" customWidth="1"/>
    <col min="14" max="14" width="16.33203125" customWidth="1"/>
    <col min="15" max="15" width="6.5546875" customWidth="1"/>
    <col min="16" max="16" width="10.5546875" customWidth="1"/>
    <col min="17" max="17" width="12.33203125" customWidth="1"/>
    <col min="18" max="19" width="20.33203125" customWidth="1"/>
    <col min="20" max="20" width="14.6640625" customWidth="1"/>
    <col min="21" max="23" width="20.33203125" customWidth="1"/>
    <col min="24" max="26" width="10.6640625" customWidth="1"/>
  </cols>
  <sheetData>
    <row r="2" spans="1:23" ht="14.4" x14ac:dyDescent="0.3">
      <c r="D2" s="1022" t="s">
        <v>1110</v>
      </c>
      <c r="E2" s="1023"/>
      <c r="F2" s="1023"/>
      <c r="G2" s="1023"/>
      <c r="H2" s="1024"/>
    </row>
    <row r="3" spans="1:23" ht="14.4" x14ac:dyDescent="0.3">
      <c r="D3" s="426"/>
      <c r="E3" s="1025" t="s">
        <v>1111</v>
      </c>
      <c r="F3" s="1026"/>
      <c r="G3" s="1025" t="s">
        <v>1112</v>
      </c>
      <c r="H3" s="1026"/>
    </row>
    <row r="4" spans="1:23" ht="14.4" x14ac:dyDescent="0.3">
      <c r="A4" s="12" t="s">
        <v>1113</v>
      </c>
      <c r="D4" s="2"/>
      <c r="E4" s="2" t="s">
        <v>1114</v>
      </c>
      <c r="F4" s="2" t="s">
        <v>1115</v>
      </c>
      <c r="G4" s="2" t="s">
        <v>1114</v>
      </c>
      <c r="H4" s="2" t="s">
        <v>1115</v>
      </c>
    </row>
    <row r="5" spans="1:23" ht="14.4" x14ac:dyDescent="0.3">
      <c r="A5" s="12" t="s">
        <v>835</v>
      </c>
      <c r="B5" s="12">
        <v>15</v>
      </c>
      <c r="D5" s="16" t="s">
        <v>1116</v>
      </c>
      <c r="E5" s="427">
        <v>0</v>
      </c>
      <c r="F5" s="2"/>
      <c r="G5" s="427">
        <v>0</v>
      </c>
      <c r="H5" s="2">
        <v>10</v>
      </c>
    </row>
    <row r="6" spans="1:23" ht="14.4" x14ac:dyDescent="0.3">
      <c r="D6" s="16" t="s">
        <v>1117</v>
      </c>
      <c r="E6" s="2"/>
      <c r="F6" s="2">
        <v>18</v>
      </c>
      <c r="G6" s="2">
        <v>10</v>
      </c>
      <c r="H6" s="2">
        <v>22.3</v>
      </c>
    </row>
    <row r="7" spans="1:23" ht="14.4" x14ac:dyDescent="0.3">
      <c r="D7" s="16" t="s">
        <v>1118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ht="14.4" x14ac:dyDescent="0.3">
      <c r="D8" s="16" t="s">
        <v>1119</v>
      </c>
      <c r="E8" s="2">
        <v>32.1</v>
      </c>
      <c r="F8" s="427">
        <v>100</v>
      </c>
      <c r="G8" s="2">
        <v>31.1</v>
      </c>
      <c r="H8" s="427">
        <v>100</v>
      </c>
    </row>
    <row r="9" spans="1:23" ht="14.4" x14ac:dyDescent="0.3">
      <c r="D9" s="16"/>
      <c r="E9" s="2"/>
      <c r="F9" s="427"/>
      <c r="G9" s="2"/>
      <c r="H9" s="427"/>
    </row>
    <row r="10" spans="1:23" ht="14.4" x14ac:dyDescent="0.3">
      <c r="D10" s="16"/>
      <c r="E10" s="2"/>
      <c r="F10" s="427"/>
      <c r="G10" s="2"/>
      <c r="H10" s="427"/>
    </row>
    <row r="11" spans="1:23" ht="15.6" x14ac:dyDescent="0.3">
      <c r="N11" s="1027" t="s">
        <v>1120</v>
      </c>
      <c r="O11" s="983"/>
      <c r="P11" s="983"/>
      <c r="Q11" s="983"/>
      <c r="R11" s="983"/>
      <c r="S11" s="983"/>
      <c r="T11" s="983"/>
      <c r="U11" s="983"/>
      <c r="V11" s="99"/>
      <c r="W11" s="99"/>
    </row>
    <row r="12" spans="1:23" ht="36" x14ac:dyDescent="0.3">
      <c r="A12" s="12" t="s">
        <v>1121</v>
      </c>
      <c r="C12" s="428" t="s">
        <v>1122</v>
      </c>
      <c r="D12" s="428" t="s">
        <v>1123</v>
      </c>
      <c r="E12" s="428" t="s">
        <v>1124</v>
      </c>
      <c r="F12" s="428" t="s">
        <v>1125</v>
      </c>
      <c r="G12" s="428" t="s">
        <v>1126</v>
      </c>
      <c r="H12" s="428" t="s">
        <v>1127</v>
      </c>
      <c r="I12" s="429"/>
      <c r="J12" s="428" t="s">
        <v>1128</v>
      </c>
      <c r="K12" s="430" t="s">
        <v>1129</v>
      </c>
      <c r="L12" s="430" t="s">
        <v>1130</v>
      </c>
      <c r="M12" s="430" t="s">
        <v>1131</v>
      </c>
      <c r="N12" s="428" t="s">
        <v>1132</v>
      </c>
      <c r="O12" s="428" t="s">
        <v>1133</v>
      </c>
      <c r="P12" s="428" t="s">
        <v>1134</v>
      </c>
      <c r="Q12" s="428" t="s">
        <v>1135</v>
      </c>
      <c r="R12" s="428" t="s">
        <v>1136</v>
      </c>
      <c r="S12" s="428" t="s">
        <v>1137</v>
      </c>
      <c r="T12" s="428" t="s">
        <v>1138</v>
      </c>
      <c r="U12" s="428" t="s">
        <v>1139</v>
      </c>
      <c r="V12" s="428" t="s">
        <v>1140</v>
      </c>
      <c r="W12" s="430" t="s">
        <v>1141</v>
      </c>
    </row>
    <row r="13" spans="1:23" ht="14.4" x14ac:dyDescent="0.3">
      <c r="C13" s="431" t="s">
        <v>1142</v>
      </c>
      <c r="D13" s="432" t="s">
        <v>1143</v>
      </c>
      <c r="E13" s="432" t="s">
        <v>1144</v>
      </c>
      <c r="F13" s="432" t="s">
        <v>1145</v>
      </c>
      <c r="G13" s="433" t="s">
        <v>1146</v>
      </c>
      <c r="H13" s="431" t="s">
        <v>1022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ht="14.4" x14ac:dyDescent="0.3">
      <c r="C14" s="431" t="s">
        <v>1142</v>
      </c>
      <c r="D14" s="432" t="s">
        <v>1143</v>
      </c>
      <c r="E14" s="432" t="s">
        <v>1144</v>
      </c>
      <c r="F14" s="432" t="s">
        <v>1145</v>
      </c>
      <c r="G14" s="433" t="s">
        <v>1147</v>
      </c>
      <c r="H14" s="431" t="s">
        <v>1022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ht="14.4" x14ac:dyDescent="0.3">
      <c r="C15" s="431" t="s">
        <v>1142</v>
      </c>
      <c r="D15" s="432" t="s">
        <v>1143</v>
      </c>
      <c r="E15" s="432" t="s">
        <v>1148</v>
      </c>
      <c r="F15" s="432" t="s">
        <v>1149</v>
      </c>
      <c r="G15" s="433" t="s">
        <v>1150</v>
      </c>
      <c r="H15" s="431" t="s">
        <v>1022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ht="14.4" x14ac:dyDescent="0.3">
      <c r="C16" s="431" t="s">
        <v>1142</v>
      </c>
      <c r="D16" s="432" t="s">
        <v>1143</v>
      </c>
      <c r="E16" s="432" t="s">
        <v>1151</v>
      </c>
      <c r="F16" s="432" t="s">
        <v>1149</v>
      </c>
      <c r="G16" s="433" t="s">
        <v>1152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ht="14.4" x14ac:dyDescent="0.3">
      <c r="C17" s="431" t="s">
        <v>1142</v>
      </c>
      <c r="D17" s="432" t="s">
        <v>1143</v>
      </c>
      <c r="E17" s="432" t="s">
        <v>1153</v>
      </c>
      <c r="F17" s="432" t="s">
        <v>1149</v>
      </c>
      <c r="G17" s="433" t="s">
        <v>1154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ht="14.4" x14ac:dyDescent="0.3">
      <c r="C18" s="431" t="s">
        <v>1142</v>
      </c>
      <c r="D18" s="432" t="s">
        <v>1143</v>
      </c>
      <c r="E18" s="432" t="s">
        <v>1155</v>
      </c>
      <c r="F18" s="432" t="s">
        <v>1149</v>
      </c>
      <c r="G18" s="433" t="s">
        <v>1156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ht="14.4" x14ac:dyDescent="0.3">
      <c r="C19" s="431" t="s">
        <v>1142</v>
      </c>
      <c r="D19" s="432" t="s">
        <v>1143</v>
      </c>
      <c r="E19" s="432" t="s">
        <v>1155</v>
      </c>
      <c r="F19" s="432" t="s">
        <v>1149</v>
      </c>
      <c r="G19" s="433" t="s">
        <v>1157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ht="14.4" x14ac:dyDescent="0.3">
      <c r="C20" s="431" t="s">
        <v>1142</v>
      </c>
      <c r="D20" s="432" t="s">
        <v>1143</v>
      </c>
      <c r="E20" s="432" t="s">
        <v>1158</v>
      </c>
      <c r="F20" s="432" t="s">
        <v>1149</v>
      </c>
      <c r="G20" s="433" t="s">
        <v>1159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3">
      <c r="C21" s="431" t="s">
        <v>1142</v>
      </c>
      <c r="D21" s="432" t="s">
        <v>1143</v>
      </c>
      <c r="E21" s="432" t="s">
        <v>1160</v>
      </c>
      <c r="F21" s="432" t="s">
        <v>1149</v>
      </c>
      <c r="G21" s="433" t="s">
        <v>1161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3">
      <c r="C22" s="431" t="s">
        <v>1142</v>
      </c>
      <c r="D22" s="432" t="s">
        <v>1143</v>
      </c>
      <c r="E22" s="432" t="s">
        <v>1162</v>
      </c>
      <c r="F22" s="432" t="s">
        <v>1149</v>
      </c>
      <c r="G22" s="433" t="s">
        <v>1163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3">
      <c r="C23" s="431" t="s">
        <v>1142</v>
      </c>
      <c r="D23" s="432" t="s">
        <v>1143</v>
      </c>
      <c r="E23" s="432" t="s">
        <v>1162</v>
      </c>
      <c r="F23" s="432" t="s">
        <v>1149</v>
      </c>
      <c r="G23" s="433" t="s">
        <v>1164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3">
      <c r="C24" s="431" t="s">
        <v>1142</v>
      </c>
      <c r="D24" s="432" t="s">
        <v>1143</v>
      </c>
      <c r="E24" s="432" t="s">
        <v>1165</v>
      </c>
      <c r="F24" s="432" t="s">
        <v>1149</v>
      </c>
      <c r="G24" s="433" t="s">
        <v>1166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3">
      <c r="C25" s="431" t="s">
        <v>1142</v>
      </c>
      <c r="D25" s="432" t="s">
        <v>1143</v>
      </c>
      <c r="E25" s="432" t="s">
        <v>1167</v>
      </c>
      <c r="F25" s="432" t="s">
        <v>1168</v>
      </c>
      <c r="G25" s="433" t="s">
        <v>1167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3">
      <c r="C26" s="431" t="s">
        <v>1142</v>
      </c>
      <c r="D26" s="432" t="s">
        <v>1143</v>
      </c>
      <c r="E26" s="432" t="s">
        <v>1169</v>
      </c>
      <c r="F26" s="432" t="s">
        <v>1170</v>
      </c>
      <c r="G26" s="433" t="s">
        <v>1171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3">
      <c r="C27" s="431" t="s">
        <v>1142</v>
      </c>
      <c r="D27" s="432" t="s">
        <v>1143</v>
      </c>
      <c r="E27" s="432" t="s">
        <v>1172</v>
      </c>
      <c r="F27" s="432" t="s">
        <v>1170</v>
      </c>
      <c r="G27" s="433" t="s">
        <v>1173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3">
      <c r="C28" s="431" t="s">
        <v>1142</v>
      </c>
      <c r="D28" s="432" t="s">
        <v>1143</v>
      </c>
      <c r="E28" s="432" t="s">
        <v>1174</v>
      </c>
      <c r="F28" s="432" t="s">
        <v>1170</v>
      </c>
      <c r="G28" s="433" t="s">
        <v>1175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3">
      <c r="C29" s="431" t="s">
        <v>1142</v>
      </c>
      <c r="D29" s="432" t="s">
        <v>1143</v>
      </c>
      <c r="E29" s="432" t="s">
        <v>1176</v>
      </c>
      <c r="F29" s="432" t="s">
        <v>1170</v>
      </c>
      <c r="G29" s="433" t="s">
        <v>1177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3">
      <c r="C30" s="431" t="s">
        <v>1142</v>
      </c>
      <c r="D30" s="432" t="s">
        <v>1143</v>
      </c>
      <c r="E30" s="432" t="s">
        <v>1178</v>
      </c>
      <c r="F30" s="432" t="s">
        <v>1179</v>
      </c>
      <c r="G30" s="433" t="s">
        <v>1180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3">
      <c r="C31" s="431" t="s">
        <v>1142</v>
      </c>
      <c r="D31" s="432" t="s">
        <v>1143</v>
      </c>
      <c r="E31" s="432" t="s">
        <v>1181</v>
      </c>
      <c r="F31" s="432" t="s">
        <v>1179</v>
      </c>
      <c r="G31" s="433" t="s">
        <v>1182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3">
      <c r="C32" s="431" t="s">
        <v>1142</v>
      </c>
      <c r="D32" s="432" t="s">
        <v>1143</v>
      </c>
      <c r="E32" s="432" t="s">
        <v>1183</v>
      </c>
      <c r="F32" s="432" t="s">
        <v>1179</v>
      </c>
      <c r="G32" s="438" t="s">
        <v>1184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3">
      <c r="A33" s="439"/>
      <c r="B33" s="439"/>
      <c r="C33" s="431" t="s">
        <v>1185</v>
      </c>
      <c r="D33" s="242" t="s">
        <v>1143</v>
      </c>
      <c r="E33" s="242" t="s">
        <v>1186</v>
      </c>
      <c r="F33" s="242" t="s">
        <v>1187</v>
      </c>
      <c r="G33" s="440" t="s">
        <v>1188</v>
      </c>
      <c r="H33" s="441" t="s">
        <v>1022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3">
      <c r="A34" s="439"/>
      <c r="B34" s="439"/>
      <c r="C34" s="431" t="s">
        <v>1189</v>
      </c>
      <c r="D34" s="242" t="s">
        <v>1143</v>
      </c>
      <c r="E34" s="242" t="s">
        <v>1190</v>
      </c>
      <c r="F34" s="242" t="s">
        <v>1187</v>
      </c>
      <c r="G34" s="440" t="s">
        <v>1191</v>
      </c>
      <c r="H34" s="441" t="s">
        <v>1022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3">
      <c r="A35" s="439"/>
      <c r="B35" s="439"/>
      <c r="C35" s="431" t="s">
        <v>1189</v>
      </c>
      <c r="D35" s="242" t="s">
        <v>1143</v>
      </c>
      <c r="E35" s="242" t="s">
        <v>1190</v>
      </c>
      <c r="F35" s="242" t="s">
        <v>1187</v>
      </c>
      <c r="G35" s="440" t="s">
        <v>1192</v>
      </c>
      <c r="H35" s="441" t="s">
        <v>1022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3"/>
    <row r="37" spans="1:26" ht="15.75" customHeight="1" x14ac:dyDescent="0.3"/>
    <row r="38" spans="1:26" ht="15.75" customHeight="1" x14ac:dyDescent="0.3">
      <c r="B38" s="445"/>
      <c r="C38" s="12" t="s">
        <v>1193</v>
      </c>
    </row>
    <row r="39" spans="1:26" ht="15.75" customHeight="1" x14ac:dyDescent="0.3"/>
    <row r="40" spans="1:26" ht="15.75" customHeight="1" x14ac:dyDescent="0.3"/>
    <row r="41" spans="1:26" ht="15.75" customHeight="1" x14ac:dyDescent="0.3"/>
    <row r="42" spans="1:26" ht="15.75" customHeight="1" x14ac:dyDescent="0.3"/>
    <row r="43" spans="1:26" ht="15.75" customHeight="1" x14ac:dyDescent="0.3"/>
    <row r="44" spans="1:26" ht="15.75" customHeight="1" x14ac:dyDescent="0.3"/>
    <row r="45" spans="1:26" ht="15.75" customHeight="1" x14ac:dyDescent="0.3"/>
    <row r="46" spans="1:26" ht="15.75" customHeight="1" x14ac:dyDescent="0.3"/>
    <row r="47" spans="1:26" ht="15.75" customHeight="1" x14ac:dyDescent="0.3"/>
    <row r="48" spans="1:26" ht="15.75" customHeight="1" x14ac:dyDescent="0.3"/>
    <row r="49" spans="5:22" ht="15.75" customHeight="1" x14ac:dyDescent="0.3"/>
    <row r="50" spans="5:22" ht="15.75" customHeight="1" x14ac:dyDescent="0.3"/>
    <row r="51" spans="5:22" ht="15.75" customHeight="1" x14ac:dyDescent="0.3"/>
    <row r="52" spans="5:22" ht="15.75" customHeight="1" x14ac:dyDescent="0.3"/>
    <row r="53" spans="5:22" ht="15.75" customHeight="1" x14ac:dyDescent="0.3"/>
    <row r="54" spans="5:22" ht="15.75" customHeight="1" x14ac:dyDescent="0.3"/>
    <row r="55" spans="5:22" ht="15.75" customHeight="1" x14ac:dyDescent="0.3"/>
    <row r="56" spans="5:22" ht="15.75" customHeight="1" x14ac:dyDescent="0.3">
      <c r="V56" s="205"/>
    </row>
    <row r="57" spans="5:22" ht="15.75" customHeight="1" x14ac:dyDescent="0.3"/>
    <row r="58" spans="5:22" ht="15.75" customHeight="1" x14ac:dyDescent="0.3"/>
    <row r="59" spans="5:22" ht="15.75" customHeight="1" x14ac:dyDescent="0.3">
      <c r="G59" s="982" t="s">
        <v>7</v>
      </c>
      <c r="H59" s="983"/>
      <c r="J59" s="1028" t="s">
        <v>610</v>
      </c>
      <c r="K59" s="983"/>
    </row>
    <row r="60" spans="5:22" ht="15.75" customHeight="1" x14ac:dyDescent="0.3">
      <c r="F60" s="432"/>
      <c r="H60" s="228"/>
      <c r="K60" s="228"/>
    </row>
    <row r="61" spans="5:22" ht="15.75" customHeight="1" x14ac:dyDescent="0.3">
      <c r="E61" s="12" t="s">
        <v>1194</v>
      </c>
      <c r="F61" s="432" t="s">
        <v>1145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3">
      <c r="E62" s="12" t="s">
        <v>1195</v>
      </c>
      <c r="F62" s="432" t="s">
        <v>1149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3">
      <c r="E63" s="12" t="s">
        <v>1168</v>
      </c>
      <c r="F63" s="432" t="s">
        <v>1168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3">
      <c r="E64" s="12" t="s">
        <v>1196</v>
      </c>
      <c r="F64" s="432" t="s">
        <v>1170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3">
      <c r="E65" s="12" t="s">
        <v>1197</v>
      </c>
      <c r="F65" s="432" t="s">
        <v>1179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3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3"/>
    <row r="68" spans="5:12" ht="15.75" customHeight="1" x14ac:dyDescent="0.3"/>
    <row r="69" spans="5:12" ht="15.75" customHeight="1" x14ac:dyDescent="0.3"/>
    <row r="70" spans="5:12" ht="15.75" customHeight="1" x14ac:dyDescent="0.3"/>
    <row r="71" spans="5:12" ht="15.75" customHeight="1" x14ac:dyDescent="0.3"/>
    <row r="72" spans="5:12" ht="15.75" customHeight="1" x14ac:dyDescent="0.3"/>
    <row r="73" spans="5:12" ht="15.75" customHeight="1" x14ac:dyDescent="0.3"/>
    <row r="74" spans="5:12" ht="15.75" customHeight="1" x14ac:dyDescent="0.3"/>
    <row r="75" spans="5:12" ht="15.75" customHeight="1" x14ac:dyDescent="0.3"/>
    <row r="76" spans="5:12" ht="15.75" customHeight="1" x14ac:dyDescent="0.3"/>
    <row r="77" spans="5:12" ht="15.75" customHeight="1" x14ac:dyDescent="0.3"/>
    <row r="78" spans="5:12" ht="15.75" customHeight="1" x14ac:dyDescent="0.3"/>
    <row r="79" spans="5:12" ht="15.75" customHeight="1" x14ac:dyDescent="0.3"/>
    <row r="80" spans="5:12" ht="15.75" customHeight="1" x14ac:dyDescent="0.3">
      <c r="G80" s="12" t="s">
        <v>1143</v>
      </c>
      <c r="L80" s="12" t="s">
        <v>1198</v>
      </c>
    </row>
    <row r="81" spans="5:15" ht="15.75" customHeight="1" x14ac:dyDescent="0.3">
      <c r="E81" s="447" t="s">
        <v>1142</v>
      </c>
      <c r="F81" s="359" t="s">
        <v>1199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3">
      <c r="E82" s="447" t="s">
        <v>1142</v>
      </c>
      <c r="F82" s="359" t="s">
        <v>1200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3">
      <c r="F83" s="12" t="s">
        <v>1201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3">
      <c r="F84" s="12" t="s">
        <v>1202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3">
      <c r="E85" s="447" t="s">
        <v>1142</v>
      </c>
      <c r="F85" s="359" t="s">
        <v>1203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3">
      <c r="E86" s="447" t="s">
        <v>1142</v>
      </c>
      <c r="F86" s="359" t="s">
        <v>1204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3">
      <c r="E87" s="447" t="s">
        <v>1142</v>
      </c>
      <c r="F87" s="359" t="s">
        <v>1205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3">
      <c r="E88" s="447" t="s">
        <v>1142</v>
      </c>
      <c r="F88" s="359" t="s">
        <v>1206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3">
      <c r="F89" s="12" t="s">
        <v>1201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3">
      <c r="E90" s="447" t="s">
        <v>1142</v>
      </c>
      <c r="F90" s="359" t="s">
        <v>1207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3">
      <c r="F91" s="12" t="s">
        <v>1208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3">
      <c r="F92" s="12" t="s">
        <v>1209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3">
      <c r="E93" s="447" t="s">
        <v>1142</v>
      </c>
      <c r="F93" s="359" t="s">
        <v>1210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3">
      <c r="G94" s="12">
        <v>513095.98389041098</v>
      </c>
      <c r="L94" s="12">
        <f ca="1">+SUM(L81:L93)</f>
        <v>3704867.8746301378</v>
      </c>
    </row>
    <row r="95" spans="5:15" ht="15.75" customHeight="1" x14ac:dyDescent="0.3"/>
    <row r="96" spans="5:15" ht="15.75" customHeight="1" x14ac:dyDescent="0.3"/>
    <row r="97" spans="5:15" ht="15.75" customHeight="1" x14ac:dyDescent="0.3"/>
    <row r="98" spans="5:15" ht="15.75" customHeight="1" x14ac:dyDescent="0.3"/>
    <row r="99" spans="5:15" ht="15.75" customHeight="1" x14ac:dyDescent="0.3"/>
    <row r="100" spans="5:15" ht="15.75" customHeight="1" x14ac:dyDescent="0.3"/>
    <row r="101" spans="5:15" ht="15.75" customHeight="1" x14ac:dyDescent="0.3"/>
    <row r="102" spans="5:15" ht="15.75" customHeight="1" x14ac:dyDescent="0.3"/>
    <row r="103" spans="5:15" ht="15.75" customHeight="1" x14ac:dyDescent="0.3">
      <c r="E103" s="982" t="s">
        <v>1211</v>
      </c>
      <c r="F103" s="983"/>
    </row>
    <row r="104" spans="5:15" ht="15.75" customHeight="1" x14ac:dyDescent="0.3">
      <c r="E104" s="14"/>
      <c r="F104" s="14" t="s">
        <v>1143</v>
      </c>
      <c r="G104" s="12" t="s">
        <v>1212</v>
      </c>
      <c r="H104" s="12" t="s">
        <v>1213</v>
      </c>
      <c r="I104" s="12" t="s">
        <v>1214</v>
      </c>
      <c r="J104" s="12" t="s">
        <v>1215</v>
      </c>
      <c r="K104" s="12" t="s">
        <v>1216</v>
      </c>
      <c r="L104" s="12" t="s">
        <v>1217</v>
      </c>
      <c r="M104" s="12" t="s">
        <v>1218</v>
      </c>
      <c r="N104" s="12" t="s">
        <v>1219</v>
      </c>
      <c r="O104" s="12" t="s">
        <v>1220</v>
      </c>
    </row>
    <row r="105" spans="5:15" ht="15.75" customHeight="1" x14ac:dyDescent="0.3">
      <c r="E105" s="14" t="s">
        <v>1221</v>
      </c>
      <c r="F105" s="14" t="s">
        <v>1222</v>
      </c>
    </row>
    <row r="106" spans="5:15" ht="15.75" customHeight="1" x14ac:dyDescent="0.3">
      <c r="E106" s="13" t="s">
        <v>1188</v>
      </c>
      <c r="F106" s="14" t="s">
        <v>1223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3">
      <c r="E107" s="13" t="s">
        <v>1224</v>
      </c>
      <c r="F107" s="14" t="s">
        <v>1225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3">
      <c r="E108" s="14" t="s">
        <v>1226</v>
      </c>
      <c r="F108" s="14" t="s">
        <v>1222</v>
      </c>
    </row>
    <row r="109" spans="5:15" ht="15.75" customHeight="1" x14ac:dyDescent="0.3">
      <c r="E109" s="14" t="s">
        <v>1227</v>
      </c>
      <c r="F109" s="14" t="s">
        <v>1222</v>
      </c>
    </row>
    <row r="110" spans="5:15" ht="15.75" customHeight="1" x14ac:dyDescent="0.3">
      <c r="E110" s="14" t="s">
        <v>1228</v>
      </c>
      <c r="F110" s="14" t="s">
        <v>1222</v>
      </c>
    </row>
    <row r="111" spans="5:15" ht="15.75" customHeight="1" x14ac:dyDescent="0.3">
      <c r="E111" s="14" t="s">
        <v>1229</v>
      </c>
      <c r="F111" s="14" t="s">
        <v>1222</v>
      </c>
    </row>
    <row r="112" spans="5:15" ht="15.75" customHeight="1" x14ac:dyDescent="0.3">
      <c r="E112" s="13" t="s">
        <v>1192</v>
      </c>
      <c r="F112" s="14" t="s">
        <v>1223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3">
      <c r="E113" s="14" t="s">
        <v>1230</v>
      </c>
      <c r="F113" s="14" t="s">
        <v>1222</v>
      </c>
    </row>
    <row r="114" spans="5:6" ht="15.75" customHeight="1" x14ac:dyDescent="0.3">
      <c r="E114" s="14" t="s">
        <v>1231</v>
      </c>
      <c r="F114" s="14"/>
    </row>
    <row r="115" spans="5:6" ht="15.75" customHeight="1" x14ac:dyDescent="0.3">
      <c r="E115" s="14" t="s">
        <v>1232</v>
      </c>
      <c r="F115" s="14" t="s">
        <v>1222</v>
      </c>
    </row>
    <row r="116" spans="5:6" ht="15.75" customHeight="1" x14ac:dyDescent="0.3">
      <c r="E116" s="14" t="s">
        <v>1233</v>
      </c>
      <c r="F116" s="14" t="s">
        <v>1222</v>
      </c>
    </row>
    <row r="117" spans="5:6" ht="15.75" customHeight="1" x14ac:dyDescent="0.3">
      <c r="E117" s="14" t="s">
        <v>1234</v>
      </c>
      <c r="F117" s="14" t="s">
        <v>1222</v>
      </c>
    </row>
    <row r="118" spans="5:6" ht="15.75" customHeight="1" x14ac:dyDescent="0.3">
      <c r="E118" s="14" t="s">
        <v>1235</v>
      </c>
      <c r="F118" s="14" t="s">
        <v>1222</v>
      </c>
    </row>
    <row r="119" spans="5:6" ht="15.75" customHeight="1" x14ac:dyDescent="0.3">
      <c r="E119" s="14" t="s">
        <v>1236</v>
      </c>
      <c r="F119" s="14" t="s">
        <v>1222</v>
      </c>
    </row>
    <row r="120" spans="5:6" ht="15.75" customHeight="1" x14ac:dyDescent="0.3">
      <c r="E120" s="14" t="s">
        <v>1237</v>
      </c>
      <c r="F120" s="14"/>
    </row>
    <row r="121" spans="5:6" ht="15.75" customHeight="1" x14ac:dyDescent="0.3"/>
    <row r="122" spans="5:6" ht="15.75" customHeight="1" x14ac:dyDescent="0.3"/>
    <row r="123" spans="5:6" ht="15.75" customHeight="1" x14ac:dyDescent="0.3"/>
    <row r="124" spans="5:6" ht="15.75" customHeight="1" x14ac:dyDescent="0.3"/>
    <row r="125" spans="5:6" ht="15.75" customHeight="1" x14ac:dyDescent="0.3"/>
    <row r="126" spans="5:6" ht="15.75" customHeight="1" x14ac:dyDescent="0.3"/>
    <row r="127" spans="5:6" ht="15.75" customHeight="1" x14ac:dyDescent="0.3"/>
    <row r="128" spans="5:6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80" priority="1">
      <formula>LEN(TRIM(F13))=0</formula>
    </cfRule>
  </conditionalFormatting>
  <conditionalFormatting sqref="H13:I24">
    <cfRule type="containsText" dxfId="79" priority="2" operator="containsText" text="Oil and Gas">
      <formula>NOT(ISERROR(SEARCH(("Oil and Gas"),(H13))))</formula>
    </cfRule>
  </conditionalFormatting>
  <conditionalFormatting sqref="H13:I24">
    <cfRule type="containsText" dxfId="78" priority="3" operator="containsText" text="Gas">
      <formula>NOT(ISERROR(SEARCH(("Gas"),(H13))))</formula>
    </cfRule>
  </conditionalFormatting>
  <conditionalFormatting sqref="H13:I24">
    <cfRule type="containsText" dxfId="77" priority="4" operator="containsText" text="Oil">
      <formula>NOT(ISERROR(SEARCH(("Oil"),(H13))))</formula>
    </cfRule>
  </conditionalFormatting>
  <conditionalFormatting sqref="H25:I32">
    <cfRule type="containsText" dxfId="76" priority="5" operator="containsText" text="Oil and Gas">
      <formula>NOT(ISERROR(SEARCH(("Oil and Gas"),(H25))))</formula>
    </cfRule>
  </conditionalFormatting>
  <conditionalFormatting sqref="H25:I32">
    <cfRule type="containsText" dxfId="75" priority="6" operator="containsText" text="Gas">
      <formula>NOT(ISERROR(SEARCH(("Gas"),(H25))))</formula>
    </cfRule>
  </conditionalFormatting>
  <conditionalFormatting sqref="H25:I32">
    <cfRule type="containsText" dxfId="74" priority="7" operator="containsText" text="Oil">
      <formula>NOT(ISERROR(SEARCH(("Oil"),(H25))))</formula>
    </cfRule>
  </conditionalFormatting>
  <conditionalFormatting sqref="N13:V32">
    <cfRule type="cellIs" dxfId="73" priority="8" operator="equal">
      <formula>0</formula>
    </cfRule>
  </conditionalFormatting>
  <conditionalFormatting sqref="F60">
    <cfRule type="containsBlanks" dxfId="72" priority="9">
      <formula>LEN(TRIM(F60))=0</formula>
    </cfRule>
  </conditionalFormatting>
  <conditionalFormatting sqref="F61">
    <cfRule type="containsBlanks" dxfId="71" priority="10">
      <formula>LEN(TRIM(F61))=0</formula>
    </cfRule>
  </conditionalFormatting>
  <conditionalFormatting sqref="F62">
    <cfRule type="containsBlanks" dxfId="70" priority="11">
      <formula>LEN(TRIM(F62))=0</formula>
    </cfRule>
  </conditionalFormatting>
  <conditionalFormatting sqref="F63">
    <cfRule type="containsBlanks" dxfId="69" priority="12">
      <formula>LEN(TRIM(F63))=0</formula>
    </cfRule>
  </conditionalFormatting>
  <conditionalFormatting sqref="F64">
    <cfRule type="containsBlanks" dxfId="68" priority="13">
      <formula>LEN(TRIM(F64))=0</formula>
    </cfRule>
  </conditionalFormatting>
  <conditionalFormatting sqref="F65">
    <cfRule type="containsBlanks" dxfId="67" priority="14">
      <formula>LEN(TRIM(F65))=0</formula>
    </cfRule>
  </conditionalFormatting>
  <conditionalFormatting sqref="H33:I35">
    <cfRule type="containsText" dxfId="66" priority="15" operator="containsText" text="Oil and Gas">
      <formula>NOT(ISERROR(SEARCH(("Oil and Gas"),(H33))))</formula>
    </cfRule>
  </conditionalFormatting>
  <conditionalFormatting sqref="H33:I35">
    <cfRule type="containsText" dxfId="65" priority="16" operator="containsText" text="Gas">
      <formula>NOT(ISERROR(SEARCH(("Gas"),(H33))))</formula>
    </cfRule>
  </conditionalFormatting>
  <conditionalFormatting sqref="H33:I35">
    <cfRule type="containsText" dxfId="64" priority="17" operator="containsText" text="Oil">
      <formula>NOT(ISERROR(SEARCH(("Oil"),(H33))))</formula>
    </cfRule>
  </conditionalFormatting>
  <conditionalFormatting sqref="N33:V35">
    <cfRule type="cellIs" dxfId="63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topLeftCell="E43" workbookViewId="0">
      <selection activeCell="K106" sqref="K106"/>
    </sheetView>
  </sheetViews>
  <sheetFormatPr baseColWidth="10" defaultColWidth="14.44140625" defaultRowHeight="15" customHeight="1" x14ac:dyDescent="0.3"/>
  <cols>
    <col min="1" max="2" width="9.109375" customWidth="1"/>
    <col min="3" max="5" width="18.5546875" customWidth="1"/>
    <col min="6" max="6" width="20.33203125" customWidth="1"/>
    <col min="7" max="7" width="9.109375" customWidth="1"/>
    <col min="8" max="8" width="33.6640625" customWidth="1"/>
    <col min="9" max="9" width="27.109375" customWidth="1"/>
    <col min="10" max="10" width="17" customWidth="1"/>
    <col min="11" max="11" width="24.5546875" customWidth="1"/>
    <col min="12" max="12" width="27.33203125" customWidth="1"/>
    <col min="13" max="13" width="12.5546875" customWidth="1"/>
    <col min="14" max="14" width="30.5546875" customWidth="1"/>
    <col min="15" max="15" width="11.88671875" customWidth="1"/>
    <col min="16" max="16" width="11" customWidth="1"/>
    <col min="17" max="17" width="13.88671875" customWidth="1"/>
    <col min="18" max="18" width="10.88671875" customWidth="1"/>
    <col min="19" max="19" width="10.5546875" customWidth="1"/>
    <col min="20" max="20" width="10.88671875" customWidth="1"/>
    <col min="21" max="21" width="9.5546875" customWidth="1"/>
    <col min="22" max="22" width="10.5546875" customWidth="1"/>
    <col min="23" max="23" width="9.5546875" customWidth="1"/>
    <col min="24" max="24" width="9.88671875" customWidth="1"/>
    <col min="25" max="25" width="9.5546875" customWidth="1"/>
    <col min="26" max="26" width="10.5546875" customWidth="1"/>
    <col min="27" max="27" width="9.109375" customWidth="1"/>
    <col min="28" max="28" width="14.109375" customWidth="1"/>
    <col min="29" max="29" width="9.109375" customWidth="1"/>
    <col min="30" max="30" width="13.5546875" customWidth="1"/>
    <col min="31" max="39" width="9.109375" customWidth="1"/>
    <col min="40" max="40" width="11" customWidth="1"/>
    <col min="41" max="45" width="9.109375" customWidth="1"/>
    <col min="46" max="46" width="22.109375" customWidth="1"/>
    <col min="47" max="48" width="9.109375" customWidth="1"/>
    <col min="49" max="49" width="22" customWidth="1"/>
    <col min="50" max="60" width="9.109375" customWidth="1"/>
    <col min="61" max="61" width="11" customWidth="1"/>
  </cols>
  <sheetData>
    <row r="1" spans="8:61" ht="14.4" x14ac:dyDescent="0.3">
      <c r="L1" s="306"/>
      <c r="M1" s="306"/>
      <c r="Q1" s="222">
        <f>+'4.1 Ref_Cart'!E8</f>
        <v>6.0871741676095334</v>
      </c>
      <c r="R1" s="12" t="s">
        <v>1238</v>
      </c>
      <c r="T1" s="12">
        <v>5.7</v>
      </c>
      <c r="U1" s="12" t="s">
        <v>1239</v>
      </c>
    </row>
    <row r="2" spans="8:61" ht="14.4" x14ac:dyDescent="0.3">
      <c r="L2" s="306"/>
      <c r="M2" s="306"/>
      <c r="Q2" s="12">
        <f>+Q1/1000</f>
        <v>6.0871741676095338E-3</v>
      </c>
      <c r="R2" s="12" t="s">
        <v>1240</v>
      </c>
      <c r="T2" s="12">
        <f>+T1/1000</f>
        <v>5.7000000000000002E-3</v>
      </c>
      <c r="U2" s="12" t="s">
        <v>1240</v>
      </c>
    </row>
    <row r="3" spans="8:61" ht="14.4" x14ac:dyDescent="0.3">
      <c r="L3" s="306"/>
      <c r="M3" s="306"/>
    </row>
    <row r="4" spans="8:61" ht="15.6" x14ac:dyDescent="0.3">
      <c r="L4" s="306"/>
      <c r="M4" s="306"/>
      <c r="O4" s="451" t="s">
        <v>1241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1242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1242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" x14ac:dyDescent="0.3">
      <c r="H5" s="456" t="s">
        <v>1122</v>
      </c>
      <c r="I5" s="456" t="s">
        <v>1123</v>
      </c>
      <c r="J5" s="426" t="s">
        <v>1124</v>
      </c>
      <c r="K5" s="456" t="s">
        <v>1125</v>
      </c>
      <c r="L5" s="456" t="s">
        <v>1126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1243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1244</v>
      </c>
      <c r="AT5" s="446" t="s">
        <v>1245</v>
      </c>
      <c r="AU5" s="12" t="s">
        <v>1246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1244</v>
      </c>
    </row>
    <row r="6" spans="8:61" ht="15.6" x14ac:dyDescent="0.3">
      <c r="H6" s="431" t="s">
        <v>1142</v>
      </c>
      <c r="I6" s="432" t="s">
        <v>1143</v>
      </c>
      <c r="J6" s="432" t="s">
        <v>1144</v>
      </c>
      <c r="K6" s="432" t="s">
        <v>1145</v>
      </c>
      <c r="L6" s="433" t="s">
        <v>1146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1146</v>
      </c>
      <c r="AS6" s="205"/>
      <c r="AT6" s="472" t="s">
        <v>1247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6" x14ac:dyDescent="0.3">
      <c r="H7" s="431" t="s">
        <v>1142</v>
      </c>
      <c r="I7" s="432" t="s">
        <v>1143</v>
      </c>
      <c r="J7" s="432" t="s">
        <v>1144</v>
      </c>
      <c r="K7" s="432" t="s">
        <v>1145</v>
      </c>
      <c r="L7" s="433" t="s">
        <v>1147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1147</v>
      </c>
      <c r="AT7" s="476" t="s">
        <v>1248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ht="14.4" x14ac:dyDescent="0.3">
      <c r="H8" s="431" t="s">
        <v>1142</v>
      </c>
      <c r="I8" s="432" t="s">
        <v>1143</v>
      </c>
      <c r="J8" s="432" t="s">
        <v>1148</v>
      </c>
      <c r="K8" s="432" t="s">
        <v>1149</v>
      </c>
      <c r="L8" s="433" t="s">
        <v>1150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1150</v>
      </c>
      <c r="AT8" s="479" t="s">
        <v>1249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28.8" x14ac:dyDescent="0.3">
      <c r="H9" s="431" t="s">
        <v>1142</v>
      </c>
      <c r="I9" s="432" t="s">
        <v>1143</v>
      </c>
      <c r="J9" s="432" t="s">
        <v>1151</v>
      </c>
      <c r="K9" s="432" t="s">
        <v>1149</v>
      </c>
      <c r="L9" s="433" t="s">
        <v>1152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1152</v>
      </c>
      <c r="AT9" s="479" t="s">
        <v>1250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ht="14.4" x14ac:dyDescent="0.3">
      <c r="H10" s="431" t="s">
        <v>1142</v>
      </c>
      <c r="I10" s="432" t="s">
        <v>1143</v>
      </c>
      <c r="J10" s="432" t="s">
        <v>1153</v>
      </c>
      <c r="K10" s="432" t="s">
        <v>1149</v>
      </c>
      <c r="L10" s="433" t="s">
        <v>1154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1154</v>
      </c>
      <c r="AT10" s="479" t="s">
        <v>1251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6" x14ac:dyDescent="0.3">
      <c r="H11" s="431" t="s">
        <v>1142</v>
      </c>
      <c r="I11" s="432" t="s">
        <v>1143</v>
      </c>
      <c r="J11" s="432" t="s">
        <v>1155</v>
      </c>
      <c r="K11" s="432" t="s">
        <v>1149</v>
      </c>
      <c r="L11" s="433" t="s">
        <v>1156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1156</v>
      </c>
      <c r="AT11" s="480" t="s">
        <v>1252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6" x14ac:dyDescent="0.3">
      <c r="H12" s="431" t="s">
        <v>1142</v>
      </c>
      <c r="I12" s="432" t="s">
        <v>1143</v>
      </c>
      <c r="J12" s="432" t="s">
        <v>1155</v>
      </c>
      <c r="K12" s="432" t="s">
        <v>1149</v>
      </c>
      <c r="L12" s="433" t="s">
        <v>1157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1157</v>
      </c>
      <c r="AT12" s="484"/>
    </row>
    <row r="13" spans="8:61" ht="14.4" x14ac:dyDescent="0.3">
      <c r="H13" s="431" t="s">
        <v>1142</v>
      </c>
      <c r="I13" s="432" t="s">
        <v>1143</v>
      </c>
      <c r="J13" s="432" t="s">
        <v>1158</v>
      </c>
      <c r="K13" s="432" t="s">
        <v>1149</v>
      </c>
      <c r="L13" s="433" t="s">
        <v>1159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1159</v>
      </c>
      <c r="AV13" s="293">
        <f>+SUM(AV6:BH11)</f>
        <v>5175.1741990991441</v>
      </c>
    </row>
    <row r="14" spans="8:61" ht="27.6" x14ac:dyDescent="0.3">
      <c r="H14" s="431" t="s">
        <v>1142</v>
      </c>
      <c r="I14" s="432" t="s">
        <v>1143</v>
      </c>
      <c r="J14" s="432" t="s">
        <v>1160</v>
      </c>
      <c r="K14" s="432" t="s">
        <v>1149</v>
      </c>
      <c r="L14" s="433" t="s">
        <v>1161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1161</v>
      </c>
    </row>
    <row r="15" spans="8:61" ht="14.4" x14ac:dyDescent="0.3">
      <c r="H15" s="431" t="s">
        <v>1142</v>
      </c>
      <c r="I15" s="432" t="s">
        <v>1143</v>
      </c>
      <c r="J15" s="432" t="s">
        <v>1162</v>
      </c>
      <c r="K15" s="432" t="s">
        <v>1149</v>
      </c>
      <c r="L15" s="433" t="s">
        <v>1163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1163</v>
      </c>
      <c r="BI15" s="12">
        <f>15*BI11</f>
        <v>-10.906059809289212</v>
      </c>
    </row>
    <row r="16" spans="8:61" ht="14.4" x14ac:dyDescent="0.3">
      <c r="H16" s="431" t="s">
        <v>1142</v>
      </c>
      <c r="I16" s="432" t="s">
        <v>1143</v>
      </c>
      <c r="J16" s="432" t="s">
        <v>1162</v>
      </c>
      <c r="K16" s="432" t="s">
        <v>1149</v>
      </c>
      <c r="L16" s="433" t="s">
        <v>1164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1164</v>
      </c>
      <c r="BI16" s="293">
        <f>+AV11+BI15</f>
        <v>11.839307116564433</v>
      </c>
    </row>
    <row r="17" spans="1:61" ht="14.4" x14ac:dyDescent="0.3">
      <c r="H17" s="431" t="s">
        <v>1142</v>
      </c>
      <c r="I17" s="432" t="s">
        <v>1143</v>
      </c>
      <c r="J17" s="432" t="s">
        <v>1165</v>
      </c>
      <c r="K17" s="432" t="s">
        <v>1149</v>
      </c>
      <c r="L17" s="433" t="s">
        <v>1166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1166</v>
      </c>
      <c r="BH17" s="293"/>
    </row>
    <row r="18" spans="1:61" ht="14.4" x14ac:dyDescent="0.3">
      <c r="H18" s="431" t="s">
        <v>1142</v>
      </c>
      <c r="I18" s="432" t="s">
        <v>1143</v>
      </c>
      <c r="J18" s="432" t="s">
        <v>1167</v>
      </c>
      <c r="K18" s="432" t="s">
        <v>1168</v>
      </c>
      <c r="L18" s="433" t="s">
        <v>1167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1167</v>
      </c>
      <c r="BI18" s="485"/>
    </row>
    <row r="19" spans="1:61" ht="14.4" x14ac:dyDescent="0.3">
      <c r="H19" s="431" t="s">
        <v>1142</v>
      </c>
      <c r="I19" s="432" t="s">
        <v>1143</v>
      </c>
      <c r="J19" s="432" t="s">
        <v>1169</v>
      </c>
      <c r="K19" s="432" t="s">
        <v>1170</v>
      </c>
      <c r="L19" s="433" t="s">
        <v>1171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1171</v>
      </c>
    </row>
    <row r="20" spans="1:61" ht="14.4" x14ac:dyDescent="0.3">
      <c r="H20" s="431" t="s">
        <v>1142</v>
      </c>
      <c r="I20" s="432" t="s">
        <v>1143</v>
      </c>
      <c r="J20" s="432" t="s">
        <v>1172</v>
      </c>
      <c r="K20" s="432" t="s">
        <v>1170</v>
      </c>
      <c r="L20" s="433" t="s">
        <v>1173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1173</v>
      </c>
    </row>
    <row r="21" spans="1:61" ht="15.75" customHeight="1" x14ac:dyDescent="0.3">
      <c r="H21" s="431" t="s">
        <v>1142</v>
      </c>
      <c r="I21" s="432" t="s">
        <v>1143</v>
      </c>
      <c r="J21" s="432" t="s">
        <v>1174</v>
      </c>
      <c r="K21" s="432" t="s">
        <v>1170</v>
      </c>
      <c r="L21" s="433" t="s">
        <v>1175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1175</v>
      </c>
    </row>
    <row r="22" spans="1:61" ht="15.75" customHeight="1" x14ac:dyDescent="0.3">
      <c r="H22" s="431" t="s">
        <v>1142</v>
      </c>
      <c r="I22" s="432" t="s">
        <v>1143</v>
      </c>
      <c r="J22" s="432" t="s">
        <v>1176</v>
      </c>
      <c r="K22" s="432" t="s">
        <v>1170</v>
      </c>
      <c r="L22" s="433" t="s">
        <v>1177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1177</v>
      </c>
    </row>
    <row r="23" spans="1:61" ht="15.75" customHeight="1" x14ac:dyDescent="0.3">
      <c r="H23" s="431" t="s">
        <v>1142</v>
      </c>
      <c r="I23" s="432" t="s">
        <v>1143</v>
      </c>
      <c r="J23" s="432" t="s">
        <v>1178</v>
      </c>
      <c r="K23" s="432" t="s">
        <v>1179</v>
      </c>
      <c r="L23" s="433" t="s">
        <v>1180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1180</v>
      </c>
    </row>
    <row r="24" spans="1:61" ht="15.75" customHeight="1" x14ac:dyDescent="0.3">
      <c r="H24" s="431" t="s">
        <v>1142</v>
      </c>
      <c r="I24" s="432" t="s">
        <v>1143</v>
      </c>
      <c r="J24" s="432" t="s">
        <v>1181</v>
      </c>
      <c r="K24" s="432" t="s">
        <v>1179</v>
      </c>
      <c r="L24" s="433" t="s">
        <v>1182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1182</v>
      </c>
    </row>
    <row r="25" spans="1:61" ht="15.75" customHeight="1" x14ac:dyDescent="0.3">
      <c r="H25" s="431" t="s">
        <v>1142</v>
      </c>
      <c r="I25" s="432" t="s">
        <v>1143</v>
      </c>
      <c r="J25" s="432" t="s">
        <v>1183</v>
      </c>
      <c r="K25" s="432" t="s">
        <v>1179</v>
      </c>
      <c r="L25" s="438" t="s">
        <v>1184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1184</v>
      </c>
    </row>
    <row r="26" spans="1:61" ht="15.75" customHeight="1" x14ac:dyDescent="0.3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1188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1188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3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1191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1191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3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1192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1192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3">
      <c r="L29" s="306"/>
      <c r="M29" s="306"/>
    </row>
    <row r="30" spans="1:61" ht="18" customHeight="1" x14ac:dyDescent="0.3">
      <c r="L30" s="306"/>
      <c r="M30" s="490">
        <f>+SUM(M6:M25)</f>
        <v>1690.7105163294189</v>
      </c>
      <c r="N30" s="12" t="s">
        <v>1246</v>
      </c>
      <c r="O30" s="231"/>
      <c r="AO30" s="205">
        <f>+SUM(AC6:AO25)-SUM(AC20:AO20)</f>
        <v>5175.9134734434429</v>
      </c>
    </row>
    <row r="31" spans="1:61" ht="15.75" customHeight="1" x14ac:dyDescent="0.3">
      <c r="L31" s="306"/>
      <c r="M31" s="306"/>
      <c r="O31" s="231"/>
    </row>
    <row r="32" spans="1:61" ht="15.75" customHeight="1" x14ac:dyDescent="0.3">
      <c r="L32" s="306"/>
      <c r="M32" s="306"/>
    </row>
    <row r="33" spans="1:43" ht="15.75" customHeight="1" x14ac:dyDescent="0.3">
      <c r="I33" s="12">
        <v>5800</v>
      </c>
      <c r="J33" s="12" t="s">
        <v>667</v>
      </c>
      <c r="L33" s="306"/>
      <c r="M33" s="306"/>
    </row>
    <row r="34" spans="1:43" ht="15.75" customHeight="1" x14ac:dyDescent="0.3">
      <c r="I34" s="491">
        <v>5800000</v>
      </c>
      <c r="J34" s="12" t="s">
        <v>575</v>
      </c>
      <c r="L34" s="306"/>
      <c r="M34" s="306"/>
    </row>
    <row r="35" spans="1:43" ht="15.75" customHeight="1" x14ac:dyDescent="0.3">
      <c r="I35" s="12">
        <v>5.7</v>
      </c>
      <c r="J35" s="12" t="s">
        <v>1253</v>
      </c>
      <c r="L35" s="306"/>
      <c r="M35" s="306"/>
    </row>
    <row r="36" spans="1:43" ht="15.75" customHeight="1" x14ac:dyDescent="0.3">
      <c r="I36" s="12">
        <v>1</v>
      </c>
      <c r="J36" s="12" t="s">
        <v>1254</v>
      </c>
      <c r="L36" s="306"/>
      <c r="M36" s="306"/>
    </row>
    <row r="37" spans="1:43" ht="15.75" customHeight="1" x14ac:dyDescent="0.3">
      <c r="D37" s="14" t="s">
        <v>1246</v>
      </c>
      <c r="E37" s="14" t="s">
        <v>1246</v>
      </c>
      <c r="L37" s="306"/>
      <c r="M37" s="492"/>
      <c r="N37" s="1029" t="s">
        <v>1255</v>
      </c>
      <c r="O37" s="980"/>
      <c r="P37" s="980"/>
      <c r="Q37" s="980"/>
      <c r="R37" s="980"/>
      <c r="S37" s="980"/>
      <c r="T37" s="980"/>
      <c r="U37" s="980"/>
      <c r="V37" s="980"/>
      <c r="W37" s="981"/>
      <c r="X37" s="492"/>
      <c r="Y37" s="492"/>
      <c r="Z37" s="492"/>
      <c r="AE37" s="1030" t="s">
        <v>1256</v>
      </c>
      <c r="AF37" s="980"/>
      <c r="AG37" s="980"/>
      <c r="AH37" s="980"/>
      <c r="AI37" s="980"/>
      <c r="AJ37" s="980"/>
      <c r="AK37" s="980"/>
      <c r="AL37" s="980"/>
      <c r="AM37" s="980"/>
      <c r="AN37" s="981"/>
      <c r="AO37" s="216"/>
      <c r="AP37" s="216"/>
      <c r="AQ37" s="216"/>
    </row>
    <row r="38" spans="1:43" ht="15.75" customHeight="1" x14ac:dyDescent="0.3">
      <c r="D38" s="12" t="s">
        <v>1257</v>
      </c>
      <c r="E38" s="493" t="str">
        <f>"-RR2050"</f>
        <v>-RR2050</v>
      </c>
      <c r="F38" s="446" t="s">
        <v>1258</v>
      </c>
      <c r="G38" s="446" t="s">
        <v>1259</v>
      </c>
      <c r="H38" s="446" t="s">
        <v>1260</v>
      </c>
      <c r="I38" s="446" t="s">
        <v>1261</v>
      </c>
      <c r="J38" s="446" t="s">
        <v>1262</v>
      </c>
      <c r="K38" s="446" t="s">
        <v>1263</v>
      </c>
      <c r="L38" s="494" t="s">
        <v>1264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1265</v>
      </c>
      <c r="AB38" s="466" t="s">
        <v>1266</v>
      </c>
      <c r="AC38" s="499" t="s">
        <v>1267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3">
      <c r="A39" s="231"/>
      <c r="B39" s="12" t="s">
        <v>1268</v>
      </c>
      <c r="C39" s="12" t="s">
        <v>1164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1164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3">
      <c r="B40" s="12" t="s">
        <v>1268</v>
      </c>
      <c r="C40" s="12" t="s">
        <v>1166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1166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3">
      <c r="B41" s="12" t="s">
        <v>1268</v>
      </c>
      <c r="C41" s="12" t="s">
        <v>1269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1269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3">
      <c r="B42" s="12" t="s">
        <v>1268</v>
      </c>
      <c r="C42" s="12" t="s">
        <v>1147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1147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3">
      <c r="B43" s="12" t="s">
        <v>1268</v>
      </c>
      <c r="C43" s="12" t="s">
        <v>1171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1171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3">
      <c r="B44" s="12" t="s">
        <v>1268</v>
      </c>
      <c r="C44" s="1" t="s">
        <v>1270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1270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3">
      <c r="B45" s="12" t="s">
        <v>1268</v>
      </c>
      <c r="C45" s="1" t="s">
        <v>1271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1271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3">
      <c r="B46" s="12" t="s">
        <v>552</v>
      </c>
      <c r="C46" s="1" t="s">
        <v>1272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1272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3">
      <c r="B47" s="12" t="s">
        <v>552</v>
      </c>
      <c r="C47" s="1" t="s">
        <v>1273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1273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3">
      <c r="B48" s="12" t="s">
        <v>552</v>
      </c>
      <c r="C48" s="1" t="s">
        <v>1163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1163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3">
      <c r="B49" s="12" t="s">
        <v>552</v>
      </c>
      <c r="C49" s="1" t="s">
        <v>1274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1274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3">
      <c r="B50" s="12" t="s">
        <v>552</v>
      </c>
      <c r="C50" s="1" t="s">
        <v>1146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1146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3">
      <c r="B51" s="12" t="s">
        <v>552</v>
      </c>
      <c r="C51" s="1" t="s">
        <v>1275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1275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3">
      <c r="B52" s="12" t="s">
        <v>1276</v>
      </c>
      <c r="C52" s="1" t="s">
        <v>1277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1277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3">
      <c r="B53" s="12" t="s">
        <v>552</v>
      </c>
      <c r="C53" s="1" t="s">
        <v>1278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1278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3">
      <c r="B54" s="12" t="s">
        <v>1276</v>
      </c>
      <c r="C54" s="1" t="s">
        <v>1279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1279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3">
      <c r="B55" s="12" t="s">
        <v>552</v>
      </c>
      <c r="C55" s="1" t="s">
        <v>1280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1280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3">
      <c r="B56" s="12" t="s">
        <v>1276</v>
      </c>
      <c r="C56" s="1" t="s">
        <v>1281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1281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3">
      <c r="B57" s="12" t="s">
        <v>1276</v>
      </c>
      <c r="C57" s="1" t="s">
        <v>1282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1282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3">
      <c r="B58" s="12" t="s">
        <v>552</v>
      </c>
      <c r="C58" s="1" t="s">
        <v>1283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1283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3">
      <c r="B59" s="12" t="s">
        <v>1276</v>
      </c>
      <c r="C59" s="1" t="s">
        <v>1284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1284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3">
      <c r="B60" s="12" t="s">
        <v>552</v>
      </c>
      <c r="C60" s="1" t="s">
        <v>1285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1285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3">
      <c r="B61" s="12" t="s">
        <v>552</v>
      </c>
      <c r="C61" s="1" t="s">
        <v>1150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1150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3">
      <c r="B62" s="12" t="s">
        <v>552</v>
      </c>
      <c r="C62" s="1" t="s">
        <v>1286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1286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3">
      <c r="B63" s="12" t="s">
        <v>552</v>
      </c>
      <c r="C63" s="1" t="s">
        <v>1177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1177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3">
      <c r="B64" s="12" t="s">
        <v>552</v>
      </c>
      <c r="C64" s="1" t="s">
        <v>1167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1167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3">
      <c r="B65" s="12" t="s">
        <v>552</v>
      </c>
      <c r="C65" s="1" t="s">
        <v>1287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1287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3">
      <c r="B66" s="12" t="s">
        <v>552</v>
      </c>
      <c r="C66" s="1" t="s">
        <v>1288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1288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3">
      <c r="B67" s="12" t="s">
        <v>552</v>
      </c>
      <c r="C67" s="1" t="s">
        <v>1159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1159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3">
      <c r="B68" s="12" t="s">
        <v>552</v>
      </c>
      <c r="C68" s="1" t="s">
        <v>1182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1182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3">
      <c r="B69" s="12" t="s">
        <v>552</v>
      </c>
      <c r="C69" s="1" t="s">
        <v>1289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1289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3">
      <c r="B70" s="12" t="s">
        <v>552</v>
      </c>
      <c r="C70" s="1" t="s">
        <v>1184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1184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3">
      <c r="B71" s="12" t="s">
        <v>552</v>
      </c>
      <c r="C71" s="12" t="s">
        <v>1175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1290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3">
      <c r="C72" s="488" t="s">
        <v>1188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1188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3">
      <c r="C73" s="488" t="s">
        <v>1191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1191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3">
      <c r="C74" s="488" t="s">
        <v>1192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1192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3">
      <c r="L75" s="306"/>
      <c r="M75" s="306"/>
    </row>
    <row r="76" spans="2:43" ht="15.75" customHeight="1" x14ac:dyDescent="0.3">
      <c r="L76" s="306" t="s">
        <v>1291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3">
      <c r="L77" s="306" t="s">
        <v>1292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3">
      <c r="L78" s="306" t="s">
        <v>1293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3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1294</v>
      </c>
      <c r="M79" s="306"/>
    </row>
    <row r="80" spans="2:43" ht="15.75" customHeight="1" x14ac:dyDescent="0.3">
      <c r="F80" s="12" t="s">
        <v>1295</v>
      </c>
      <c r="G80" s="12">
        <f>+G65*N65*I33/1000000</f>
        <v>209.39642547425473</v>
      </c>
      <c r="H80" s="12" t="s">
        <v>670</v>
      </c>
      <c r="L80" s="306"/>
      <c r="M80" s="306"/>
    </row>
    <row r="81" spans="3:26" ht="15.75" customHeight="1" x14ac:dyDescent="0.3">
      <c r="F81" s="12" t="s">
        <v>1296</v>
      </c>
      <c r="G81" s="12">
        <f>+(H51*N51)*I33/1000000</f>
        <v>177.17312143246573</v>
      </c>
      <c r="H81" s="12" t="s">
        <v>670</v>
      </c>
      <c r="L81" s="306"/>
      <c r="M81" s="306"/>
    </row>
    <row r="82" spans="3:26" ht="15.75" customHeight="1" x14ac:dyDescent="0.3">
      <c r="F82" s="12" t="s">
        <v>1277</v>
      </c>
      <c r="G82" s="12">
        <f>+(H52*N52)*I33/1000000</f>
        <v>0</v>
      </c>
      <c r="H82" s="12" t="s">
        <v>670</v>
      </c>
      <c r="L82" s="306"/>
      <c r="M82" s="306"/>
    </row>
    <row r="83" spans="3:26" ht="15.75" customHeight="1" x14ac:dyDescent="0.3">
      <c r="F83" s="12" t="s">
        <v>1278</v>
      </c>
      <c r="G83" s="12">
        <f>+(H53*N53)*I33/1000000</f>
        <v>59.792875880758814</v>
      </c>
      <c r="H83" s="12" t="s">
        <v>670</v>
      </c>
      <c r="L83" s="306"/>
      <c r="M83" s="306"/>
    </row>
    <row r="84" spans="3:26" ht="15.75" customHeight="1" x14ac:dyDescent="0.3">
      <c r="L84" s="306"/>
      <c r="M84" s="306"/>
      <c r="Q84" s="231"/>
    </row>
    <row r="85" spans="3:26" ht="15.75" customHeight="1" x14ac:dyDescent="0.3">
      <c r="L85" s="306"/>
      <c r="M85" s="306"/>
    </row>
    <row r="86" spans="3:26" ht="15.75" customHeight="1" x14ac:dyDescent="0.3">
      <c r="L86" s="306"/>
      <c r="M86" s="492"/>
      <c r="N86" s="1029" t="s">
        <v>1255</v>
      </c>
      <c r="O86" s="980"/>
      <c r="P86" s="980"/>
      <c r="Q86" s="980"/>
      <c r="R86" s="980"/>
      <c r="S86" s="980"/>
      <c r="T86" s="980"/>
      <c r="U86" s="980"/>
      <c r="V86" s="980"/>
      <c r="W86" s="981"/>
      <c r="X86" s="492"/>
      <c r="Y86" s="492"/>
      <c r="Z86" s="492"/>
    </row>
    <row r="87" spans="3:26" ht="15.75" customHeight="1" x14ac:dyDescent="0.3">
      <c r="H87" s="456" t="s">
        <v>1122</v>
      </c>
      <c r="I87" s="456" t="s">
        <v>1123</v>
      </c>
      <c r="J87" s="426" t="s">
        <v>1124</v>
      </c>
      <c r="K87" s="456" t="s">
        <v>1125</v>
      </c>
      <c r="L87" s="456" t="s">
        <v>1126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3">
      <c r="H88" s="431" t="s">
        <v>1142</v>
      </c>
      <c r="I88" s="432" t="s">
        <v>1143</v>
      </c>
      <c r="J88" s="432" t="s">
        <v>1144</v>
      </c>
      <c r="K88" s="432" t="s">
        <v>1145</v>
      </c>
      <c r="L88" s="389" t="s">
        <v>1146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3">
      <c r="H89" s="431" t="s">
        <v>1142</v>
      </c>
      <c r="I89" s="432" t="s">
        <v>1143</v>
      </c>
      <c r="J89" s="432" t="s">
        <v>1144</v>
      </c>
      <c r="K89" s="432" t="s">
        <v>1145</v>
      </c>
      <c r="L89" s="389" t="s">
        <v>1147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3">
      <c r="H90" s="431" t="s">
        <v>1142</v>
      </c>
      <c r="I90" s="432" t="s">
        <v>1143</v>
      </c>
      <c r="J90" s="432" t="s">
        <v>1148</v>
      </c>
      <c r="K90" s="432" t="s">
        <v>1149</v>
      </c>
      <c r="L90" s="389" t="s">
        <v>1150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3">
      <c r="H91" s="431" t="s">
        <v>1142</v>
      </c>
      <c r="I91" s="432" t="s">
        <v>1143</v>
      </c>
      <c r="J91" s="432" t="s">
        <v>1151</v>
      </c>
      <c r="K91" s="432" t="s">
        <v>1149</v>
      </c>
      <c r="L91" s="389" t="s">
        <v>1152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3">
      <c r="H92" s="431" t="s">
        <v>1142</v>
      </c>
      <c r="I92" s="432" t="s">
        <v>1143</v>
      </c>
      <c r="J92" s="432" t="s">
        <v>1153</v>
      </c>
      <c r="K92" s="432" t="s">
        <v>1149</v>
      </c>
      <c r="L92" s="389" t="s">
        <v>1154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3">
      <c r="C93" s="12">
        <f>+M65+M66</f>
        <v>59550</v>
      </c>
      <c r="H93" s="431" t="s">
        <v>1142</v>
      </c>
      <c r="I93" s="432" t="s">
        <v>1143</v>
      </c>
      <c r="J93" s="432" t="s">
        <v>1155</v>
      </c>
      <c r="K93" s="432" t="s">
        <v>1149</v>
      </c>
      <c r="L93" s="389" t="s">
        <v>1156</v>
      </c>
      <c r="M93" s="529">
        <f>+IF((M65+M66)&gt;0,M65+M66,"")</f>
        <v>59550</v>
      </c>
      <c r="N93" s="529">
        <f t="shared" ref="N93:Z93" si="114">+IF((N65+N66)&gt;0,N65+N66,"")</f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3">
      <c r="C94" s="12">
        <v>8450</v>
      </c>
      <c r="H94" s="431" t="s">
        <v>1142</v>
      </c>
      <c r="I94" s="432" t="s">
        <v>1143</v>
      </c>
      <c r="J94" s="432" t="s">
        <v>1155</v>
      </c>
      <c r="K94" s="432" t="s">
        <v>1149</v>
      </c>
      <c r="L94" s="389" t="s">
        <v>1157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3">
      <c r="C95" s="12">
        <v>112500</v>
      </c>
      <c r="H95" s="431" t="s">
        <v>1142</v>
      </c>
      <c r="I95" s="432" t="s">
        <v>1143</v>
      </c>
      <c r="J95" s="432" t="s">
        <v>1158</v>
      </c>
      <c r="K95" s="432" t="s">
        <v>1149</v>
      </c>
      <c r="L95" s="389" t="s">
        <v>1159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3">
      <c r="C96" s="12">
        <v>112200</v>
      </c>
      <c r="H96" s="431" t="s">
        <v>1142</v>
      </c>
      <c r="I96" s="432" t="s">
        <v>1143</v>
      </c>
      <c r="J96" s="432" t="s">
        <v>1160</v>
      </c>
      <c r="K96" s="432" t="s">
        <v>1149</v>
      </c>
      <c r="L96" s="389" t="s">
        <v>1161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3">
      <c r="C97" s="12">
        <v>69000</v>
      </c>
      <c r="H97" s="431" t="s">
        <v>1142</v>
      </c>
      <c r="I97" s="432" t="s">
        <v>1143</v>
      </c>
      <c r="J97" s="432" t="s">
        <v>1162</v>
      </c>
      <c r="K97" s="432" t="s">
        <v>1149</v>
      </c>
      <c r="L97" s="389" t="s">
        <v>1163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3">
      <c r="C98" s="12">
        <v>19000</v>
      </c>
      <c r="H98" s="431" t="s">
        <v>1142</v>
      </c>
      <c r="I98" s="432" t="s">
        <v>1143</v>
      </c>
      <c r="J98" s="432" t="s">
        <v>1162</v>
      </c>
      <c r="K98" s="432" t="s">
        <v>1149</v>
      </c>
      <c r="L98" s="389" t="s">
        <v>1164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3">
      <c r="C99" s="12">
        <v>4210</v>
      </c>
      <c r="H99" s="431" t="s">
        <v>1142</v>
      </c>
      <c r="I99" s="432" t="s">
        <v>1143</v>
      </c>
      <c r="J99" s="432" t="s">
        <v>1165</v>
      </c>
      <c r="K99" s="432" t="s">
        <v>1149</v>
      </c>
      <c r="L99" s="389" t="s">
        <v>1166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3">
      <c r="C100" s="12">
        <v>1900</v>
      </c>
      <c r="H100" s="431" t="s">
        <v>1142</v>
      </c>
      <c r="I100" s="432" t="s">
        <v>1143</v>
      </c>
      <c r="J100" s="432" t="s">
        <v>1167</v>
      </c>
      <c r="K100" s="432" t="s">
        <v>1168</v>
      </c>
      <c r="L100" s="389" t="s">
        <v>1167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3">
      <c r="C101" s="12">
        <v>11750</v>
      </c>
      <c r="H101" s="431" t="s">
        <v>1142</v>
      </c>
      <c r="I101" s="432" t="s">
        <v>1143</v>
      </c>
      <c r="J101" s="432" t="s">
        <v>1169</v>
      </c>
      <c r="K101" s="432" t="s">
        <v>1170</v>
      </c>
      <c r="L101" s="389" t="s">
        <v>1171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3">
      <c r="C102" s="12">
        <v>1500</v>
      </c>
      <c r="H102" s="431" t="s">
        <v>1142</v>
      </c>
      <c r="I102" s="432" t="s">
        <v>1143</v>
      </c>
      <c r="J102" s="432" t="s">
        <v>1172</v>
      </c>
      <c r="K102" s="432" t="s">
        <v>1170</v>
      </c>
      <c r="L102" s="389" t="s">
        <v>1173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3">
      <c r="C103" s="12">
        <v>18000</v>
      </c>
      <c r="H103" s="431" t="s">
        <v>1142</v>
      </c>
      <c r="I103" s="432" t="s">
        <v>1143</v>
      </c>
      <c r="J103" s="432" t="s">
        <v>1174</v>
      </c>
      <c r="K103" s="432" t="s">
        <v>1170</v>
      </c>
      <c r="L103" s="389" t="s">
        <v>1175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3">
      <c r="C104" s="12">
        <v>42100</v>
      </c>
      <c r="H104" s="431" t="s">
        <v>1142</v>
      </c>
      <c r="I104" s="432" t="s">
        <v>1143</v>
      </c>
      <c r="J104" s="432" t="s">
        <v>1176</v>
      </c>
      <c r="K104" s="432" t="s">
        <v>1170</v>
      </c>
      <c r="L104" s="389" t="s">
        <v>1177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3">
      <c r="C105" s="12">
        <v>4850</v>
      </c>
      <c r="H105" s="431" t="s">
        <v>1142</v>
      </c>
      <c r="I105" s="432" t="s">
        <v>1143</v>
      </c>
      <c r="J105" s="432" t="s">
        <v>1178</v>
      </c>
      <c r="K105" s="432" t="s">
        <v>1179</v>
      </c>
      <c r="L105" s="389" t="s">
        <v>1180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3">
      <c r="C106" s="12">
        <v>4000</v>
      </c>
      <c r="H106" s="431" t="s">
        <v>1142</v>
      </c>
      <c r="I106" s="432" t="s">
        <v>1143</v>
      </c>
      <c r="J106" s="432" t="s">
        <v>1181</v>
      </c>
      <c r="K106" s="432" t="s">
        <v>1179</v>
      </c>
      <c r="L106" s="389" t="s">
        <v>1182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3">
      <c r="A107" s="1"/>
      <c r="B107" s="1"/>
      <c r="C107" s="1">
        <v>4000</v>
      </c>
      <c r="D107" s="1"/>
      <c r="E107" s="1"/>
      <c r="F107" s="1"/>
      <c r="G107" s="1"/>
      <c r="H107" s="431" t="s">
        <v>1142</v>
      </c>
      <c r="I107" s="432" t="s">
        <v>1143</v>
      </c>
      <c r="J107" s="432" t="s">
        <v>1183</v>
      </c>
      <c r="K107" s="432" t="s">
        <v>1179</v>
      </c>
      <c r="L107" s="389" t="s">
        <v>1184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1188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1191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1192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1029" t="s">
        <v>1255</v>
      </c>
      <c r="O115" s="980"/>
      <c r="P115" s="980"/>
      <c r="Q115" s="980"/>
      <c r="R115" s="980"/>
      <c r="S115" s="980"/>
      <c r="T115" s="980"/>
      <c r="U115" s="980"/>
      <c r="V115" s="980"/>
      <c r="W115" s="981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1126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1146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1147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1150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1152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1154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1156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1157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1159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1161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1163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1164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1166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1167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1171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1173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1175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1177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1180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1182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1184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1188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1191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1192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3">
      <c r="L179" s="306"/>
      <c r="M179" s="306"/>
    </row>
    <row r="180" spans="1:61" ht="15.75" customHeight="1" x14ac:dyDescent="0.3">
      <c r="L180" s="306"/>
      <c r="M180" s="306"/>
    </row>
    <row r="181" spans="1:61" ht="15.75" customHeight="1" x14ac:dyDescent="0.3">
      <c r="L181" s="306"/>
      <c r="M181" s="306"/>
    </row>
    <row r="182" spans="1:61" ht="15.75" customHeight="1" x14ac:dyDescent="0.3">
      <c r="L182" s="306"/>
      <c r="M182" s="306"/>
    </row>
    <row r="183" spans="1:61" ht="15.75" customHeight="1" x14ac:dyDescent="0.3">
      <c r="L183" s="306"/>
      <c r="M183" s="306"/>
    </row>
    <row r="184" spans="1:61" ht="15.75" customHeight="1" x14ac:dyDescent="0.3">
      <c r="L184" s="306"/>
      <c r="M184" s="306"/>
    </row>
    <row r="185" spans="1:61" ht="15.75" customHeight="1" x14ac:dyDescent="0.3">
      <c r="L185" s="306"/>
      <c r="M185" s="306"/>
    </row>
    <row r="186" spans="1:61" ht="15.75" customHeight="1" x14ac:dyDescent="0.3">
      <c r="L186" s="306"/>
      <c r="M186" s="306"/>
    </row>
    <row r="187" spans="1:61" ht="15.75" customHeight="1" x14ac:dyDescent="0.3">
      <c r="L187" s="306"/>
      <c r="M187" s="306"/>
    </row>
    <row r="188" spans="1:61" ht="15.75" customHeight="1" x14ac:dyDescent="0.3">
      <c r="L188" s="306"/>
      <c r="M188" s="306"/>
    </row>
    <row r="189" spans="1:61" ht="15.75" customHeight="1" x14ac:dyDescent="0.3">
      <c r="L189" s="306"/>
      <c r="M189" s="306"/>
    </row>
    <row r="190" spans="1:61" ht="15.75" customHeight="1" x14ac:dyDescent="0.3">
      <c r="L190" s="306"/>
      <c r="M190" s="306"/>
    </row>
    <row r="191" spans="1:61" ht="15.75" customHeight="1" x14ac:dyDescent="0.3">
      <c r="L191" s="306"/>
      <c r="M191" s="306"/>
    </row>
    <row r="192" spans="1:61" ht="15.75" customHeight="1" x14ac:dyDescent="0.3">
      <c r="L192" s="306"/>
      <c r="M192" s="306"/>
    </row>
    <row r="193" spans="12:13" ht="15.75" customHeight="1" x14ac:dyDescent="0.3">
      <c r="L193" s="306"/>
      <c r="M193" s="306"/>
    </row>
    <row r="194" spans="12:13" ht="15.75" customHeight="1" x14ac:dyDescent="0.3">
      <c r="L194" s="306"/>
      <c r="M194" s="306"/>
    </row>
    <row r="195" spans="12:13" ht="15.75" customHeight="1" x14ac:dyDescent="0.3">
      <c r="L195" s="306"/>
      <c r="M195" s="306"/>
    </row>
    <row r="196" spans="12:13" ht="15.75" customHeight="1" x14ac:dyDescent="0.3">
      <c r="L196" s="306"/>
      <c r="M196" s="306"/>
    </row>
    <row r="197" spans="12:13" ht="15.75" customHeight="1" x14ac:dyDescent="0.3">
      <c r="L197" s="306"/>
      <c r="M197" s="306"/>
    </row>
    <row r="198" spans="12:13" ht="15.75" customHeight="1" x14ac:dyDescent="0.3">
      <c r="L198" s="306"/>
      <c r="M198" s="306"/>
    </row>
    <row r="199" spans="12:13" ht="15.75" customHeight="1" x14ac:dyDescent="0.3">
      <c r="L199" s="306"/>
      <c r="M199" s="306"/>
    </row>
    <row r="200" spans="12:13" ht="15.75" customHeight="1" x14ac:dyDescent="0.3">
      <c r="L200" s="306"/>
      <c r="M200" s="306"/>
    </row>
    <row r="201" spans="12:13" ht="15.75" customHeight="1" x14ac:dyDescent="0.3">
      <c r="L201" s="306"/>
      <c r="M201" s="306"/>
    </row>
    <row r="202" spans="12:13" ht="15.75" customHeight="1" x14ac:dyDescent="0.3">
      <c r="L202" s="306"/>
      <c r="M202" s="306"/>
    </row>
    <row r="203" spans="12:13" ht="15.75" customHeight="1" x14ac:dyDescent="0.3">
      <c r="L203" s="306"/>
      <c r="M203" s="306"/>
    </row>
    <row r="204" spans="12:13" ht="15.75" customHeight="1" x14ac:dyDescent="0.3">
      <c r="L204" s="306"/>
      <c r="M204" s="306"/>
    </row>
    <row r="205" spans="12:13" ht="15.75" customHeight="1" x14ac:dyDescent="0.3">
      <c r="L205" s="306"/>
      <c r="M205" s="306"/>
    </row>
    <row r="206" spans="12:13" ht="15.75" customHeight="1" x14ac:dyDescent="0.3">
      <c r="L206" s="306"/>
      <c r="M206" s="306"/>
    </row>
    <row r="207" spans="12:13" ht="15.75" customHeight="1" x14ac:dyDescent="0.3">
      <c r="L207" s="306"/>
      <c r="M207" s="306"/>
    </row>
    <row r="208" spans="12:13" ht="15.75" customHeight="1" x14ac:dyDescent="0.3">
      <c r="L208" s="306"/>
      <c r="M208" s="306"/>
    </row>
    <row r="209" spans="12:13" ht="15.75" customHeight="1" x14ac:dyDescent="0.3">
      <c r="L209" s="306"/>
      <c r="M209" s="306"/>
    </row>
    <row r="210" spans="12:13" ht="15.75" customHeight="1" x14ac:dyDescent="0.3">
      <c r="L210" s="306"/>
      <c r="M210" s="306"/>
    </row>
    <row r="211" spans="12:13" ht="15.75" customHeight="1" x14ac:dyDescent="0.3">
      <c r="L211" s="306"/>
      <c r="M211" s="306"/>
    </row>
    <row r="212" spans="12:13" ht="15.75" customHeight="1" x14ac:dyDescent="0.3">
      <c r="L212" s="306"/>
      <c r="M212" s="306"/>
    </row>
    <row r="213" spans="12:13" ht="15.75" customHeight="1" x14ac:dyDescent="0.3">
      <c r="L213" s="306"/>
      <c r="M213" s="306"/>
    </row>
    <row r="214" spans="12:13" ht="15.75" customHeight="1" x14ac:dyDescent="0.3">
      <c r="L214" s="306"/>
      <c r="M214" s="306"/>
    </row>
    <row r="215" spans="12:13" ht="15.75" customHeight="1" x14ac:dyDescent="0.3">
      <c r="L215" s="306"/>
      <c r="M215" s="306"/>
    </row>
    <row r="216" spans="12:13" ht="15.75" customHeight="1" x14ac:dyDescent="0.3">
      <c r="L216" s="306"/>
      <c r="M216" s="306"/>
    </row>
    <row r="217" spans="12:13" ht="15.75" customHeight="1" x14ac:dyDescent="0.3">
      <c r="L217" s="306"/>
      <c r="M217" s="306"/>
    </row>
    <row r="218" spans="12:13" ht="15.75" customHeight="1" x14ac:dyDescent="0.3">
      <c r="L218" s="306"/>
      <c r="M218" s="306"/>
    </row>
    <row r="219" spans="12:13" ht="15.75" customHeight="1" x14ac:dyDescent="0.3">
      <c r="L219" s="306"/>
      <c r="M219" s="306"/>
    </row>
    <row r="220" spans="12:13" ht="15.75" customHeight="1" x14ac:dyDescent="0.3">
      <c r="L220" s="306"/>
      <c r="M220" s="306"/>
    </row>
    <row r="221" spans="12:13" ht="15.75" customHeight="1" x14ac:dyDescent="0.3">
      <c r="L221" s="306"/>
      <c r="M221" s="306"/>
    </row>
    <row r="222" spans="12:13" ht="15.75" customHeight="1" x14ac:dyDescent="0.3">
      <c r="L222" s="306"/>
      <c r="M222" s="306"/>
    </row>
    <row r="223" spans="12:13" ht="15.75" customHeight="1" x14ac:dyDescent="0.3">
      <c r="L223" s="306"/>
      <c r="M223" s="306"/>
    </row>
    <row r="224" spans="12:13" ht="15.75" customHeight="1" x14ac:dyDescent="0.3">
      <c r="L224" s="306"/>
      <c r="M224" s="306"/>
    </row>
    <row r="225" spans="12:13" ht="15.75" customHeight="1" x14ac:dyDescent="0.3">
      <c r="L225" s="306"/>
      <c r="M225" s="306"/>
    </row>
    <row r="226" spans="12:13" ht="15.75" customHeight="1" x14ac:dyDescent="0.3">
      <c r="L226" s="306"/>
      <c r="M226" s="306"/>
    </row>
    <row r="227" spans="12:13" ht="15.75" customHeight="1" x14ac:dyDescent="0.3">
      <c r="L227" s="306"/>
      <c r="M227" s="306"/>
    </row>
    <row r="228" spans="12:13" ht="15.75" customHeight="1" x14ac:dyDescent="0.3">
      <c r="L228" s="306"/>
      <c r="M228" s="306"/>
    </row>
    <row r="229" spans="12:13" ht="15.75" customHeight="1" x14ac:dyDescent="0.3">
      <c r="L229" s="306"/>
      <c r="M229" s="306"/>
    </row>
    <row r="230" spans="12:13" ht="15.75" customHeight="1" x14ac:dyDescent="0.3">
      <c r="L230" s="306"/>
      <c r="M230" s="306"/>
    </row>
    <row r="231" spans="12:13" ht="15.75" customHeight="1" x14ac:dyDescent="0.3">
      <c r="L231" s="306"/>
      <c r="M231" s="306"/>
    </row>
    <row r="232" spans="12:13" ht="15.75" customHeight="1" x14ac:dyDescent="0.3">
      <c r="L232" s="306"/>
      <c r="M232" s="306"/>
    </row>
    <row r="233" spans="12:13" ht="15.75" customHeight="1" x14ac:dyDescent="0.3">
      <c r="L233" s="306"/>
      <c r="M233" s="306"/>
    </row>
    <row r="234" spans="12:13" ht="15.75" customHeight="1" x14ac:dyDescent="0.3">
      <c r="L234" s="306"/>
      <c r="M234" s="306"/>
    </row>
    <row r="235" spans="12:13" ht="15.75" customHeight="1" x14ac:dyDescent="0.3">
      <c r="L235" s="306"/>
      <c r="M235" s="306"/>
    </row>
    <row r="236" spans="12:13" ht="15.75" customHeight="1" x14ac:dyDescent="0.3">
      <c r="L236" s="306"/>
      <c r="M236" s="306"/>
    </row>
    <row r="237" spans="12:13" ht="15.75" customHeight="1" x14ac:dyDescent="0.3">
      <c r="L237" s="306"/>
      <c r="M237" s="306"/>
    </row>
    <row r="238" spans="12:13" ht="15.75" customHeight="1" x14ac:dyDescent="0.3">
      <c r="L238" s="306"/>
      <c r="M238" s="306"/>
    </row>
    <row r="239" spans="12:13" ht="15.75" customHeight="1" x14ac:dyDescent="0.3">
      <c r="L239" s="306"/>
      <c r="M239" s="306"/>
    </row>
    <row r="240" spans="12:13" ht="15.75" customHeight="1" x14ac:dyDescent="0.3">
      <c r="L240" s="306"/>
      <c r="M240" s="306"/>
    </row>
    <row r="241" spans="12:13" ht="15.75" customHeight="1" x14ac:dyDescent="0.3">
      <c r="L241" s="306"/>
      <c r="M241" s="306"/>
    </row>
    <row r="242" spans="12:13" ht="15.75" customHeight="1" x14ac:dyDescent="0.3">
      <c r="L242" s="306"/>
      <c r="M242" s="306"/>
    </row>
    <row r="243" spans="12:13" ht="15.75" customHeight="1" x14ac:dyDescent="0.3">
      <c r="L243" s="306"/>
      <c r="M243" s="306"/>
    </row>
    <row r="244" spans="12:13" ht="15.75" customHeight="1" x14ac:dyDescent="0.3">
      <c r="L244" s="306"/>
      <c r="M244" s="306"/>
    </row>
    <row r="245" spans="12:13" ht="15.75" customHeight="1" x14ac:dyDescent="0.3">
      <c r="L245" s="306"/>
      <c r="M245" s="306"/>
    </row>
    <row r="246" spans="12:13" ht="15.75" customHeight="1" x14ac:dyDescent="0.3">
      <c r="L246" s="306"/>
      <c r="M246" s="306"/>
    </row>
    <row r="247" spans="12:13" ht="15.75" customHeight="1" x14ac:dyDescent="0.3">
      <c r="L247" s="306"/>
      <c r="M247" s="306"/>
    </row>
    <row r="248" spans="12:13" ht="15.75" customHeight="1" x14ac:dyDescent="0.3">
      <c r="L248" s="306"/>
      <c r="M248" s="306"/>
    </row>
    <row r="249" spans="12:13" ht="15.75" customHeight="1" x14ac:dyDescent="0.3">
      <c r="L249" s="306"/>
      <c r="M249" s="306"/>
    </row>
    <row r="250" spans="12:13" ht="15.75" customHeight="1" x14ac:dyDescent="0.3">
      <c r="L250" s="306"/>
      <c r="M250" s="306"/>
    </row>
    <row r="251" spans="12:13" ht="15.75" customHeight="1" x14ac:dyDescent="0.3">
      <c r="L251" s="306"/>
      <c r="M251" s="306"/>
    </row>
    <row r="252" spans="12:13" ht="15.75" customHeight="1" x14ac:dyDescent="0.3">
      <c r="L252" s="306"/>
      <c r="M252" s="306"/>
    </row>
    <row r="253" spans="12:13" ht="15.75" customHeight="1" x14ac:dyDescent="0.3">
      <c r="L253" s="306"/>
      <c r="M253" s="306"/>
    </row>
    <row r="254" spans="12:13" ht="15.75" customHeight="1" x14ac:dyDescent="0.3">
      <c r="L254" s="306"/>
      <c r="M254" s="306"/>
    </row>
    <row r="255" spans="12:13" ht="15.75" customHeight="1" x14ac:dyDescent="0.3">
      <c r="L255" s="306"/>
      <c r="M255" s="306"/>
    </row>
    <row r="256" spans="12:13" ht="15.75" customHeight="1" x14ac:dyDescent="0.3">
      <c r="L256" s="306"/>
      <c r="M256" s="306"/>
    </row>
    <row r="257" spans="12:13" ht="15.75" customHeight="1" x14ac:dyDescent="0.3">
      <c r="L257" s="306"/>
      <c r="M257" s="306"/>
    </row>
    <row r="258" spans="12:13" ht="15.75" customHeight="1" x14ac:dyDescent="0.3">
      <c r="L258" s="306"/>
      <c r="M258" s="306"/>
    </row>
    <row r="259" spans="12:13" ht="15.75" customHeight="1" x14ac:dyDescent="0.3">
      <c r="L259" s="306"/>
      <c r="M259" s="306"/>
    </row>
    <row r="260" spans="12:13" ht="15.75" customHeight="1" x14ac:dyDescent="0.3">
      <c r="L260" s="306"/>
      <c r="M260" s="306"/>
    </row>
    <row r="261" spans="12:13" ht="15.75" customHeight="1" x14ac:dyDescent="0.3">
      <c r="L261" s="306"/>
      <c r="M261" s="306"/>
    </row>
    <row r="262" spans="12:13" ht="15.75" customHeight="1" x14ac:dyDescent="0.3">
      <c r="L262" s="306"/>
      <c r="M262" s="306"/>
    </row>
    <row r="263" spans="12:13" ht="15.75" customHeight="1" x14ac:dyDescent="0.3">
      <c r="L263" s="306"/>
      <c r="M263" s="306"/>
    </row>
    <row r="264" spans="12:13" ht="15.75" customHeight="1" x14ac:dyDescent="0.3">
      <c r="L264" s="306"/>
      <c r="M264" s="306"/>
    </row>
    <row r="265" spans="12:13" ht="15.75" customHeight="1" x14ac:dyDescent="0.3">
      <c r="L265" s="306"/>
      <c r="M265" s="306"/>
    </row>
    <row r="266" spans="12:13" ht="15.75" customHeight="1" x14ac:dyDescent="0.3">
      <c r="L266" s="306"/>
      <c r="M266" s="306"/>
    </row>
    <row r="267" spans="12:13" ht="15.75" customHeight="1" x14ac:dyDescent="0.3">
      <c r="L267" s="306"/>
      <c r="M267" s="306"/>
    </row>
    <row r="268" spans="12:13" ht="15.75" customHeight="1" x14ac:dyDescent="0.3">
      <c r="L268" s="306"/>
      <c r="M268" s="306"/>
    </row>
    <row r="269" spans="12:13" ht="15.75" customHeight="1" x14ac:dyDescent="0.3">
      <c r="L269" s="306"/>
      <c r="M269" s="306"/>
    </row>
    <row r="270" spans="12:13" ht="15.75" customHeight="1" x14ac:dyDescent="0.3">
      <c r="L270" s="306"/>
      <c r="M270" s="306"/>
    </row>
    <row r="271" spans="12:13" ht="15.75" customHeight="1" x14ac:dyDescent="0.3">
      <c r="L271" s="306"/>
      <c r="M271" s="306"/>
    </row>
    <row r="272" spans="12:13" ht="15.75" customHeight="1" x14ac:dyDescent="0.3">
      <c r="L272" s="306"/>
      <c r="M272" s="306"/>
    </row>
    <row r="273" spans="12:13" ht="15.75" customHeight="1" x14ac:dyDescent="0.3">
      <c r="L273" s="306"/>
      <c r="M273" s="306"/>
    </row>
    <row r="274" spans="12:13" ht="15.75" customHeight="1" x14ac:dyDescent="0.3">
      <c r="L274" s="306"/>
      <c r="M274" s="306"/>
    </row>
    <row r="275" spans="12:13" ht="15.75" customHeight="1" x14ac:dyDescent="0.3">
      <c r="L275" s="306"/>
      <c r="M275" s="306"/>
    </row>
    <row r="276" spans="12:13" ht="15.75" customHeight="1" x14ac:dyDescent="0.3">
      <c r="L276" s="306"/>
      <c r="M276" s="306"/>
    </row>
    <row r="277" spans="12:13" ht="15.75" customHeight="1" x14ac:dyDescent="0.3">
      <c r="L277" s="306"/>
      <c r="M277" s="306"/>
    </row>
    <row r="278" spans="12:13" ht="15.75" customHeight="1" x14ac:dyDescent="0.3">
      <c r="L278" s="306"/>
      <c r="M278" s="306"/>
    </row>
    <row r="279" spans="12:13" ht="15.75" customHeight="1" x14ac:dyDescent="0.3">
      <c r="L279" s="306"/>
      <c r="M279" s="306"/>
    </row>
    <row r="280" spans="12:13" ht="15.75" customHeight="1" x14ac:dyDescent="0.3">
      <c r="L280" s="306"/>
      <c r="M280" s="306"/>
    </row>
    <row r="281" spans="12:13" ht="15.75" customHeight="1" x14ac:dyDescent="0.3">
      <c r="L281" s="306"/>
      <c r="M281" s="306"/>
    </row>
    <row r="282" spans="12:13" ht="15.75" customHeight="1" x14ac:dyDescent="0.3">
      <c r="L282" s="306"/>
      <c r="M282" s="306"/>
    </row>
    <row r="283" spans="12:13" ht="15.75" customHeight="1" x14ac:dyDescent="0.3">
      <c r="L283" s="306"/>
      <c r="M283" s="306"/>
    </row>
    <row r="284" spans="12:13" ht="15.75" customHeight="1" x14ac:dyDescent="0.3">
      <c r="L284" s="306"/>
      <c r="M284" s="306"/>
    </row>
    <row r="285" spans="12:13" ht="15.75" customHeight="1" x14ac:dyDescent="0.3">
      <c r="L285" s="306"/>
      <c r="M285" s="306"/>
    </row>
    <row r="286" spans="12:13" ht="15.75" customHeight="1" x14ac:dyDescent="0.3">
      <c r="L286" s="306"/>
      <c r="M286" s="306"/>
    </row>
    <row r="287" spans="12:13" ht="15.75" customHeight="1" x14ac:dyDescent="0.3">
      <c r="L287" s="306"/>
      <c r="M287" s="306"/>
    </row>
    <row r="288" spans="12:13" ht="15.75" customHeight="1" x14ac:dyDescent="0.3">
      <c r="L288" s="306"/>
      <c r="M288" s="306"/>
    </row>
    <row r="289" spans="12:13" ht="15.75" customHeight="1" x14ac:dyDescent="0.3">
      <c r="L289" s="306"/>
      <c r="M289" s="306"/>
    </row>
    <row r="290" spans="12:13" ht="15.75" customHeight="1" x14ac:dyDescent="0.3">
      <c r="L290" s="306"/>
      <c r="M290" s="306"/>
    </row>
    <row r="291" spans="12:13" ht="15.75" customHeight="1" x14ac:dyDescent="0.3">
      <c r="L291" s="306"/>
      <c r="M291" s="306"/>
    </row>
    <row r="292" spans="12:13" ht="15.75" customHeight="1" x14ac:dyDescent="0.3">
      <c r="L292" s="306"/>
      <c r="M292" s="306"/>
    </row>
    <row r="293" spans="12:13" ht="15.75" customHeight="1" x14ac:dyDescent="0.3">
      <c r="L293" s="306"/>
      <c r="M293" s="306"/>
    </row>
    <row r="294" spans="12:13" ht="15.75" customHeight="1" x14ac:dyDescent="0.3">
      <c r="L294" s="306"/>
      <c r="M294" s="306"/>
    </row>
    <row r="295" spans="12:13" ht="15.75" customHeight="1" x14ac:dyDescent="0.3">
      <c r="L295" s="306"/>
      <c r="M295" s="306"/>
    </row>
    <row r="296" spans="12:13" ht="15.75" customHeight="1" x14ac:dyDescent="0.3">
      <c r="L296" s="306"/>
      <c r="M296" s="306"/>
    </row>
    <row r="297" spans="12:13" ht="15.75" customHeight="1" x14ac:dyDescent="0.3">
      <c r="L297" s="306"/>
      <c r="M297" s="306"/>
    </row>
    <row r="298" spans="12:13" ht="15.75" customHeight="1" x14ac:dyDescent="0.3">
      <c r="L298" s="306"/>
      <c r="M298" s="306"/>
    </row>
    <row r="299" spans="12:13" ht="15.75" customHeight="1" x14ac:dyDescent="0.3">
      <c r="L299" s="306"/>
      <c r="M299" s="306"/>
    </row>
    <row r="300" spans="12:13" ht="15.75" customHeight="1" x14ac:dyDescent="0.3">
      <c r="L300" s="306"/>
      <c r="M300" s="306"/>
    </row>
    <row r="301" spans="12:13" ht="15.75" customHeight="1" x14ac:dyDescent="0.3">
      <c r="L301" s="306"/>
      <c r="M301" s="306"/>
    </row>
    <row r="302" spans="12:13" ht="15.75" customHeight="1" x14ac:dyDescent="0.3">
      <c r="L302" s="306"/>
      <c r="M302" s="306"/>
    </row>
    <row r="303" spans="12:13" ht="15.75" customHeight="1" x14ac:dyDescent="0.3">
      <c r="L303" s="306"/>
      <c r="M303" s="306"/>
    </row>
    <row r="304" spans="12:13" ht="15.75" customHeight="1" x14ac:dyDescent="0.3">
      <c r="L304" s="306"/>
      <c r="M304" s="306"/>
    </row>
    <row r="305" spans="12:13" ht="15.75" customHeight="1" x14ac:dyDescent="0.3">
      <c r="L305" s="306"/>
      <c r="M305" s="306"/>
    </row>
    <row r="306" spans="12:13" ht="15.75" customHeight="1" x14ac:dyDescent="0.3">
      <c r="L306" s="306"/>
      <c r="M306" s="306"/>
    </row>
    <row r="307" spans="12:13" ht="15.75" customHeight="1" x14ac:dyDescent="0.3">
      <c r="L307" s="306"/>
      <c r="M307" s="306"/>
    </row>
    <row r="308" spans="12:13" ht="15.75" customHeight="1" x14ac:dyDescent="0.3">
      <c r="L308" s="306"/>
      <c r="M308" s="306"/>
    </row>
    <row r="309" spans="12:13" ht="15.75" customHeight="1" x14ac:dyDescent="0.3">
      <c r="L309" s="306"/>
      <c r="M309" s="306"/>
    </row>
    <row r="310" spans="12:13" ht="15.75" customHeight="1" x14ac:dyDescent="0.3">
      <c r="L310" s="306"/>
      <c r="M310" s="306"/>
    </row>
    <row r="311" spans="12:13" ht="15.75" customHeight="1" x14ac:dyDescent="0.3">
      <c r="L311" s="306"/>
      <c r="M311" s="306"/>
    </row>
    <row r="312" spans="12:13" ht="15.75" customHeight="1" x14ac:dyDescent="0.3">
      <c r="L312" s="306"/>
      <c r="M312" s="306"/>
    </row>
    <row r="313" spans="12:13" ht="15.75" customHeight="1" x14ac:dyDescent="0.3">
      <c r="L313" s="306"/>
      <c r="M313" s="306"/>
    </row>
    <row r="314" spans="12:13" ht="15.75" customHeight="1" x14ac:dyDescent="0.3">
      <c r="L314" s="306"/>
      <c r="M314" s="306"/>
    </row>
    <row r="315" spans="12:13" ht="15.75" customHeight="1" x14ac:dyDescent="0.3">
      <c r="L315" s="306"/>
      <c r="M315" s="306"/>
    </row>
    <row r="316" spans="12:13" ht="15.75" customHeight="1" x14ac:dyDescent="0.3">
      <c r="L316" s="306"/>
      <c r="M316" s="306"/>
    </row>
    <row r="317" spans="12:13" ht="15.75" customHeight="1" x14ac:dyDescent="0.3">
      <c r="L317" s="306"/>
      <c r="M317" s="306"/>
    </row>
    <row r="318" spans="12:13" ht="15.75" customHeight="1" x14ac:dyDescent="0.3">
      <c r="L318" s="306"/>
      <c r="M318" s="306"/>
    </row>
    <row r="319" spans="12:13" ht="15.75" customHeight="1" x14ac:dyDescent="0.3">
      <c r="L319" s="306"/>
      <c r="M319" s="306"/>
    </row>
    <row r="320" spans="12:13" ht="15.75" customHeight="1" x14ac:dyDescent="0.3">
      <c r="L320" s="306"/>
      <c r="M320" s="306"/>
    </row>
    <row r="321" spans="12:13" ht="15.75" customHeight="1" x14ac:dyDescent="0.3">
      <c r="L321" s="306"/>
      <c r="M321" s="306"/>
    </row>
    <row r="322" spans="12:13" ht="15.75" customHeight="1" x14ac:dyDescent="0.3">
      <c r="L322" s="306"/>
      <c r="M322" s="306"/>
    </row>
    <row r="323" spans="12:13" ht="15.75" customHeight="1" x14ac:dyDescent="0.3">
      <c r="L323" s="306"/>
      <c r="M323" s="306"/>
    </row>
    <row r="324" spans="12:13" ht="15.75" customHeight="1" x14ac:dyDescent="0.3">
      <c r="L324" s="306"/>
      <c r="M324" s="306"/>
    </row>
    <row r="325" spans="12:13" ht="15.75" customHeight="1" x14ac:dyDescent="0.3">
      <c r="L325" s="306"/>
      <c r="M325" s="306"/>
    </row>
    <row r="326" spans="12:13" ht="15.75" customHeight="1" x14ac:dyDescent="0.3">
      <c r="L326" s="306"/>
      <c r="M326" s="306"/>
    </row>
    <row r="327" spans="12:13" ht="15.75" customHeight="1" x14ac:dyDescent="0.3">
      <c r="L327" s="306"/>
      <c r="M327" s="306"/>
    </row>
    <row r="328" spans="12:13" ht="15.75" customHeight="1" x14ac:dyDescent="0.3">
      <c r="L328" s="306"/>
      <c r="M328" s="306"/>
    </row>
    <row r="329" spans="12:13" ht="15.75" customHeight="1" x14ac:dyDescent="0.3">
      <c r="L329" s="306"/>
      <c r="M329" s="306"/>
    </row>
    <row r="330" spans="12:13" ht="15.75" customHeight="1" x14ac:dyDescent="0.3">
      <c r="L330" s="306"/>
      <c r="M330" s="306"/>
    </row>
    <row r="331" spans="12:13" ht="15.75" customHeight="1" x14ac:dyDescent="0.3">
      <c r="L331" s="306"/>
      <c r="M331" s="306"/>
    </row>
    <row r="332" spans="12:13" ht="15.75" customHeight="1" x14ac:dyDescent="0.3">
      <c r="L332" s="306"/>
      <c r="M332" s="306"/>
    </row>
    <row r="333" spans="12:13" ht="15.75" customHeight="1" x14ac:dyDescent="0.3">
      <c r="L333" s="306"/>
      <c r="M333" s="306"/>
    </row>
    <row r="334" spans="12:13" ht="15.75" customHeight="1" x14ac:dyDescent="0.3">
      <c r="L334" s="306"/>
      <c r="M334" s="306"/>
    </row>
    <row r="335" spans="12:13" ht="15.75" customHeight="1" x14ac:dyDescent="0.3">
      <c r="L335" s="306"/>
      <c r="M335" s="306"/>
    </row>
    <row r="336" spans="12:13" ht="15.75" customHeight="1" x14ac:dyDescent="0.3">
      <c r="L336" s="306"/>
      <c r="M336" s="306"/>
    </row>
    <row r="337" spans="12:13" ht="15.75" customHeight="1" x14ac:dyDescent="0.3">
      <c r="L337" s="306"/>
      <c r="M337" s="306"/>
    </row>
    <row r="338" spans="12:13" ht="15.75" customHeight="1" x14ac:dyDescent="0.3">
      <c r="L338" s="306"/>
      <c r="M338" s="306"/>
    </row>
    <row r="339" spans="12:13" ht="15.75" customHeight="1" x14ac:dyDescent="0.3">
      <c r="L339" s="306"/>
      <c r="M339" s="306"/>
    </row>
    <row r="340" spans="12:13" ht="15.75" customHeight="1" x14ac:dyDescent="0.3">
      <c r="L340" s="306"/>
      <c r="M340" s="306"/>
    </row>
    <row r="341" spans="12:13" ht="15.75" customHeight="1" x14ac:dyDescent="0.3">
      <c r="L341" s="306"/>
      <c r="M341" s="306"/>
    </row>
    <row r="342" spans="12:13" ht="15.75" customHeight="1" x14ac:dyDescent="0.3">
      <c r="L342" s="306"/>
      <c r="M342" s="306"/>
    </row>
    <row r="343" spans="12:13" ht="15.75" customHeight="1" x14ac:dyDescent="0.3">
      <c r="L343" s="306"/>
      <c r="M343" s="306"/>
    </row>
    <row r="344" spans="12:13" ht="15.75" customHeight="1" x14ac:dyDescent="0.3">
      <c r="L344" s="306"/>
      <c r="M344" s="306"/>
    </row>
    <row r="345" spans="12:13" ht="15.75" customHeight="1" x14ac:dyDescent="0.3">
      <c r="L345" s="306"/>
      <c r="M345" s="306"/>
    </row>
    <row r="346" spans="12:13" ht="15.75" customHeight="1" x14ac:dyDescent="0.3">
      <c r="L346" s="306"/>
      <c r="M346" s="306"/>
    </row>
    <row r="347" spans="12:13" ht="15.75" customHeight="1" x14ac:dyDescent="0.3">
      <c r="L347" s="306"/>
      <c r="M347" s="306"/>
    </row>
    <row r="348" spans="12:13" ht="15.75" customHeight="1" x14ac:dyDescent="0.3">
      <c r="L348" s="306"/>
      <c r="M348" s="306"/>
    </row>
    <row r="349" spans="12:13" ht="15.75" customHeight="1" x14ac:dyDescent="0.3">
      <c r="L349" s="306"/>
      <c r="M349" s="306"/>
    </row>
    <row r="350" spans="12:13" ht="15.75" customHeight="1" x14ac:dyDescent="0.3">
      <c r="L350" s="306"/>
      <c r="M350" s="306"/>
    </row>
    <row r="351" spans="12:13" ht="15.75" customHeight="1" x14ac:dyDescent="0.3">
      <c r="L351" s="306"/>
      <c r="M351" s="306"/>
    </row>
    <row r="352" spans="12:13" ht="15.75" customHeight="1" x14ac:dyDescent="0.3">
      <c r="L352" s="306"/>
      <c r="M352" s="306"/>
    </row>
    <row r="353" spans="12:13" ht="15.75" customHeight="1" x14ac:dyDescent="0.3">
      <c r="L353" s="306"/>
      <c r="M353" s="306"/>
    </row>
    <row r="354" spans="12:13" ht="15.75" customHeight="1" x14ac:dyDescent="0.3">
      <c r="L354" s="306"/>
      <c r="M354" s="306"/>
    </row>
    <row r="355" spans="12:13" ht="15.75" customHeight="1" x14ac:dyDescent="0.3">
      <c r="L355" s="306"/>
      <c r="M355" s="306"/>
    </row>
    <row r="356" spans="12:13" ht="15.75" customHeight="1" x14ac:dyDescent="0.3">
      <c r="L356" s="306"/>
      <c r="M356" s="306"/>
    </row>
    <row r="357" spans="12:13" ht="15.75" customHeight="1" x14ac:dyDescent="0.3">
      <c r="L357" s="306"/>
      <c r="M357" s="306"/>
    </row>
    <row r="358" spans="12:13" ht="15.75" customHeight="1" x14ac:dyDescent="0.3">
      <c r="L358" s="306"/>
      <c r="M358" s="306"/>
    </row>
    <row r="359" spans="12:13" ht="15.75" customHeight="1" x14ac:dyDescent="0.3">
      <c r="L359" s="306"/>
      <c r="M359" s="306"/>
    </row>
    <row r="360" spans="12:13" ht="15.75" customHeight="1" x14ac:dyDescent="0.3">
      <c r="L360" s="306"/>
      <c r="M360" s="306"/>
    </row>
    <row r="361" spans="12:13" ht="15.75" customHeight="1" x14ac:dyDescent="0.3">
      <c r="L361" s="306"/>
      <c r="M361" s="306"/>
    </row>
    <row r="362" spans="12:13" ht="15.75" customHeight="1" x14ac:dyDescent="0.3">
      <c r="L362" s="306"/>
      <c r="M362" s="306"/>
    </row>
    <row r="363" spans="12:13" ht="15.75" customHeight="1" x14ac:dyDescent="0.3">
      <c r="L363" s="306"/>
      <c r="M363" s="306"/>
    </row>
    <row r="364" spans="12:13" ht="15.75" customHeight="1" x14ac:dyDescent="0.3">
      <c r="L364" s="306"/>
      <c r="M364" s="306"/>
    </row>
    <row r="365" spans="12:13" ht="15.75" customHeight="1" x14ac:dyDescent="0.3">
      <c r="L365" s="306"/>
      <c r="M365" s="306"/>
    </row>
    <row r="366" spans="12:13" ht="15.75" customHeight="1" x14ac:dyDescent="0.3">
      <c r="L366" s="306"/>
      <c r="M366" s="306"/>
    </row>
    <row r="367" spans="12:13" ht="15.75" customHeight="1" x14ac:dyDescent="0.3">
      <c r="L367" s="306"/>
      <c r="M367" s="306"/>
    </row>
    <row r="368" spans="12:13" ht="15.75" customHeight="1" x14ac:dyDescent="0.3">
      <c r="L368" s="306"/>
      <c r="M368" s="306"/>
    </row>
    <row r="369" spans="12:13" ht="15.75" customHeight="1" x14ac:dyDescent="0.3">
      <c r="L369" s="306"/>
      <c r="M369" s="306"/>
    </row>
    <row r="370" spans="12:13" ht="15.75" customHeight="1" x14ac:dyDescent="0.3">
      <c r="L370" s="306"/>
      <c r="M370" s="306"/>
    </row>
    <row r="371" spans="12:13" ht="15.75" customHeight="1" x14ac:dyDescent="0.3">
      <c r="L371" s="306"/>
      <c r="M371" s="306"/>
    </row>
    <row r="372" spans="12:13" ht="15.75" customHeight="1" x14ac:dyDescent="0.3">
      <c r="L372" s="306"/>
      <c r="M372" s="306"/>
    </row>
    <row r="373" spans="12:13" ht="15.75" customHeight="1" x14ac:dyDescent="0.3">
      <c r="L373" s="306"/>
      <c r="M373" s="306"/>
    </row>
    <row r="374" spans="12:13" ht="15.75" customHeight="1" x14ac:dyDescent="0.3">
      <c r="L374" s="306"/>
      <c r="M374" s="306"/>
    </row>
    <row r="375" spans="12:13" ht="15.75" customHeight="1" x14ac:dyDescent="0.3">
      <c r="L375" s="306"/>
      <c r="M375" s="306"/>
    </row>
    <row r="376" spans="12:13" ht="15.75" customHeight="1" x14ac:dyDescent="0.3">
      <c r="L376" s="306"/>
      <c r="M376" s="306"/>
    </row>
    <row r="377" spans="12:13" ht="15.75" customHeight="1" x14ac:dyDescent="0.3">
      <c r="L377" s="306"/>
      <c r="M377" s="306"/>
    </row>
    <row r="378" spans="12:13" ht="15.75" customHeight="1" x14ac:dyDescent="0.3">
      <c r="L378" s="306"/>
      <c r="M378" s="306"/>
    </row>
    <row r="379" spans="12:13" ht="15.75" customHeight="1" x14ac:dyDescent="0.3">
      <c r="L379" s="306"/>
      <c r="M379" s="306"/>
    </row>
    <row r="380" spans="12:13" ht="15.75" customHeight="1" x14ac:dyDescent="0.3">
      <c r="L380" s="306"/>
      <c r="M380" s="306"/>
    </row>
    <row r="381" spans="12:13" ht="15.75" customHeight="1" x14ac:dyDescent="0.3">
      <c r="L381" s="306"/>
      <c r="M381" s="306"/>
    </row>
    <row r="382" spans="12:13" ht="15.75" customHeight="1" x14ac:dyDescent="0.3">
      <c r="L382" s="306"/>
      <c r="M382" s="306"/>
    </row>
    <row r="383" spans="12:13" ht="15.75" customHeight="1" x14ac:dyDescent="0.3">
      <c r="L383" s="306"/>
      <c r="M383" s="306"/>
    </row>
    <row r="384" spans="12:13" ht="15.75" customHeight="1" x14ac:dyDescent="0.3">
      <c r="L384" s="306"/>
      <c r="M384" s="306"/>
    </row>
    <row r="385" spans="12:13" ht="15.75" customHeight="1" x14ac:dyDescent="0.3">
      <c r="L385" s="306"/>
      <c r="M385" s="306"/>
    </row>
    <row r="386" spans="12:13" ht="15.75" customHeight="1" x14ac:dyDescent="0.3">
      <c r="L386" s="306"/>
      <c r="M386" s="306"/>
    </row>
    <row r="387" spans="12:13" ht="15.75" customHeight="1" x14ac:dyDescent="0.3">
      <c r="L387" s="306"/>
      <c r="M387" s="306"/>
    </row>
    <row r="388" spans="12:13" ht="15.75" customHeight="1" x14ac:dyDescent="0.3">
      <c r="L388" s="306"/>
      <c r="M388" s="306"/>
    </row>
    <row r="389" spans="12:13" ht="15.75" customHeight="1" x14ac:dyDescent="0.3">
      <c r="L389" s="306"/>
      <c r="M389" s="306"/>
    </row>
    <row r="390" spans="12:13" ht="15.75" customHeight="1" x14ac:dyDescent="0.3">
      <c r="L390" s="306"/>
      <c r="M390" s="306"/>
    </row>
    <row r="391" spans="12:13" ht="15.75" customHeight="1" x14ac:dyDescent="0.3">
      <c r="L391" s="306"/>
      <c r="M391" s="306"/>
    </row>
    <row r="392" spans="12:13" ht="15.75" customHeight="1" x14ac:dyDescent="0.3">
      <c r="L392" s="306"/>
      <c r="M392" s="306"/>
    </row>
    <row r="393" spans="12:13" ht="15.75" customHeight="1" x14ac:dyDescent="0.3">
      <c r="L393" s="306"/>
      <c r="M393" s="306"/>
    </row>
    <row r="394" spans="12:13" ht="15.75" customHeight="1" x14ac:dyDescent="0.3">
      <c r="L394" s="306"/>
      <c r="M394" s="306"/>
    </row>
    <row r="395" spans="12:13" ht="15.75" customHeight="1" x14ac:dyDescent="0.3">
      <c r="L395" s="306"/>
      <c r="M395" s="306"/>
    </row>
    <row r="396" spans="12:13" ht="15.75" customHeight="1" x14ac:dyDescent="0.3">
      <c r="L396" s="306"/>
      <c r="M396" s="306"/>
    </row>
    <row r="397" spans="12:13" ht="15.75" customHeight="1" x14ac:dyDescent="0.3">
      <c r="L397" s="306"/>
      <c r="M397" s="306"/>
    </row>
    <row r="398" spans="12:13" ht="15.75" customHeight="1" x14ac:dyDescent="0.3">
      <c r="L398" s="306"/>
      <c r="M398" s="306"/>
    </row>
    <row r="399" spans="12:13" ht="15.75" customHeight="1" x14ac:dyDescent="0.3">
      <c r="L399" s="306"/>
      <c r="M399" s="306"/>
    </row>
    <row r="400" spans="12:13" ht="15.75" customHeight="1" x14ac:dyDescent="0.3">
      <c r="L400" s="306"/>
      <c r="M400" s="306"/>
    </row>
    <row r="401" spans="12:13" ht="15.75" customHeight="1" x14ac:dyDescent="0.3">
      <c r="L401" s="306"/>
      <c r="M401" s="306"/>
    </row>
    <row r="402" spans="12:13" ht="15.75" customHeight="1" x14ac:dyDescent="0.3">
      <c r="L402" s="306"/>
      <c r="M402" s="306"/>
    </row>
    <row r="403" spans="12:13" ht="15.75" customHeight="1" x14ac:dyDescent="0.3">
      <c r="L403" s="306"/>
      <c r="M403" s="306"/>
    </row>
    <row r="404" spans="12:13" ht="15.75" customHeight="1" x14ac:dyDescent="0.3">
      <c r="L404" s="306"/>
      <c r="M404" s="306"/>
    </row>
    <row r="405" spans="12:13" ht="15.75" customHeight="1" x14ac:dyDescent="0.3">
      <c r="L405" s="306"/>
      <c r="M405" s="306"/>
    </row>
    <row r="406" spans="12:13" ht="15.75" customHeight="1" x14ac:dyDescent="0.3">
      <c r="L406" s="306"/>
      <c r="M406" s="306"/>
    </row>
    <row r="407" spans="12:13" ht="15.75" customHeight="1" x14ac:dyDescent="0.3">
      <c r="L407" s="306"/>
      <c r="M407" s="306"/>
    </row>
    <row r="408" spans="12:13" ht="15.75" customHeight="1" x14ac:dyDescent="0.3">
      <c r="L408" s="306"/>
      <c r="M408" s="306"/>
    </row>
    <row r="409" spans="12:13" ht="15.75" customHeight="1" x14ac:dyDescent="0.3">
      <c r="L409" s="306"/>
      <c r="M409" s="306"/>
    </row>
    <row r="410" spans="12:13" ht="15.75" customHeight="1" x14ac:dyDescent="0.3">
      <c r="L410" s="306"/>
      <c r="M410" s="306"/>
    </row>
    <row r="411" spans="12:13" ht="15.75" customHeight="1" x14ac:dyDescent="0.3">
      <c r="L411" s="306"/>
      <c r="M411" s="306"/>
    </row>
    <row r="412" spans="12:13" ht="15.75" customHeight="1" x14ac:dyDescent="0.3">
      <c r="L412" s="306"/>
      <c r="M412" s="306"/>
    </row>
    <row r="413" spans="12:13" ht="15.75" customHeight="1" x14ac:dyDescent="0.3">
      <c r="L413" s="306"/>
      <c r="M413" s="306"/>
    </row>
    <row r="414" spans="12:13" ht="15.75" customHeight="1" x14ac:dyDescent="0.3">
      <c r="L414" s="306"/>
      <c r="M414" s="306"/>
    </row>
    <row r="415" spans="12:13" ht="15.75" customHeight="1" x14ac:dyDescent="0.3">
      <c r="L415" s="306"/>
      <c r="M415" s="306"/>
    </row>
    <row r="416" spans="12:13" ht="15.75" customHeight="1" x14ac:dyDescent="0.3">
      <c r="L416" s="306"/>
      <c r="M416" s="306"/>
    </row>
    <row r="417" spans="12:13" ht="15.75" customHeight="1" x14ac:dyDescent="0.3">
      <c r="L417" s="306"/>
      <c r="M417" s="306"/>
    </row>
    <row r="418" spans="12:13" ht="15.75" customHeight="1" x14ac:dyDescent="0.3">
      <c r="L418" s="306"/>
      <c r="M418" s="306"/>
    </row>
    <row r="419" spans="12:13" ht="15.75" customHeight="1" x14ac:dyDescent="0.3">
      <c r="L419" s="306"/>
      <c r="M419" s="306"/>
    </row>
    <row r="420" spans="12:13" ht="15.75" customHeight="1" x14ac:dyDescent="0.3">
      <c r="L420" s="306"/>
      <c r="M420" s="306"/>
    </row>
    <row r="421" spans="12:13" ht="15.75" customHeight="1" x14ac:dyDescent="0.3">
      <c r="L421" s="306"/>
      <c r="M421" s="306"/>
    </row>
    <row r="422" spans="12:13" ht="15.75" customHeight="1" x14ac:dyDescent="0.3">
      <c r="L422" s="306"/>
      <c r="M422" s="306"/>
    </row>
    <row r="423" spans="12:13" ht="15.75" customHeight="1" x14ac:dyDescent="0.3">
      <c r="L423" s="306"/>
      <c r="M423" s="306"/>
    </row>
    <row r="424" spans="12:13" ht="15.75" customHeight="1" x14ac:dyDescent="0.3">
      <c r="L424" s="306"/>
      <c r="M424" s="306"/>
    </row>
    <row r="425" spans="12:13" ht="15.75" customHeight="1" x14ac:dyDescent="0.3">
      <c r="L425" s="306"/>
      <c r="M425" s="306"/>
    </row>
    <row r="426" spans="12:13" ht="15.75" customHeight="1" x14ac:dyDescent="0.3">
      <c r="L426" s="306"/>
      <c r="M426" s="306"/>
    </row>
    <row r="427" spans="12:13" ht="15.75" customHeight="1" x14ac:dyDescent="0.3">
      <c r="L427" s="306"/>
      <c r="M427" s="306"/>
    </row>
    <row r="428" spans="12:13" ht="15.75" customHeight="1" x14ac:dyDescent="0.3">
      <c r="L428" s="306"/>
      <c r="M428" s="306"/>
    </row>
    <row r="429" spans="12:13" ht="15.75" customHeight="1" x14ac:dyDescent="0.3">
      <c r="L429" s="306"/>
      <c r="M429" s="306"/>
    </row>
    <row r="430" spans="12:13" ht="15.75" customHeight="1" x14ac:dyDescent="0.3">
      <c r="L430" s="306"/>
      <c r="M430" s="306"/>
    </row>
    <row r="431" spans="12:13" ht="15.75" customHeight="1" x14ac:dyDescent="0.3">
      <c r="L431" s="306"/>
      <c r="M431" s="306"/>
    </row>
    <row r="432" spans="12:13" ht="15.75" customHeight="1" x14ac:dyDescent="0.3">
      <c r="L432" s="306"/>
      <c r="M432" s="306"/>
    </row>
    <row r="433" spans="12:13" ht="15.75" customHeight="1" x14ac:dyDescent="0.3">
      <c r="L433" s="306"/>
      <c r="M433" s="306"/>
    </row>
    <row r="434" spans="12:13" ht="15.75" customHeight="1" x14ac:dyDescent="0.3">
      <c r="L434" s="306"/>
      <c r="M434" s="306"/>
    </row>
    <row r="435" spans="12:13" ht="15.75" customHeight="1" x14ac:dyDescent="0.3">
      <c r="L435" s="306"/>
      <c r="M435" s="306"/>
    </row>
    <row r="436" spans="12:13" ht="15.75" customHeight="1" x14ac:dyDescent="0.3">
      <c r="L436" s="306"/>
      <c r="M436" s="306"/>
    </row>
    <row r="437" spans="12:13" ht="15.75" customHeight="1" x14ac:dyDescent="0.3">
      <c r="L437" s="306"/>
      <c r="M437" s="306"/>
    </row>
    <row r="438" spans="12:13" ht="15.75" customHeight="1" x14ac:dyDescent="0.3">
      <c r="L438" s="306"/>
      <c r="M438" s="306"/>
    </row>
    <row r="439" spans="12:13" ht="15.75" customHeight="1" x14ac:dyDescent="0.3">
      <c r="L439" s="306"/>
      <c r="M439" s="306"/>
    </row>
    <row r="440" spans="12:13" ht="15.75" customHeight="1" x14ac:dyDescent="0.3">
      <c r="L440" s="306"/>
      <c r="M440" s="306"/>
    </row>
    <row r="441" spans="12:13" ht="15.75" customHeight="1" x14ac:dyDescent="0.3">
      <c r="L441" s="306"/>
      <c r="M441" s="306"/>
    </row>
    <row r="442" spans="12:13" ht="15.75" customHeight="1" x14ac:dyDescent="0.3">
      <c r="L442" s="306"/>
      <c r="M442" s="306"/>
    </row>
    <row r="443" spans="12:13" ht="15.75" customHeight="1" x14ac:dyDescent="0.3">
      <c r="L443" s="306"/>
      <c r="M443" s="306"/>
    </row>
    <row r="444" spans="12:13" ht="15.75" customHeight="1" x14ac:dyDescent="0.3">
      <c r="L444" s="306"/>
      <c r="M444" s="306"/>
    </row>
    <row r="445" spans="12:13" ht="15.75" customHeight="1" x14ac:dyDescent="0.3">
      <c r="L445" s="306"/>
      <c r="M445" s="306"/>
    </row>
    <row r="446" spans="12:13" ht="15.75" customHeight="1" x14ac:dyDescent="0.3">
      <c r="L446" s="306"/>
      <c r="M446" s="306"/>
    </row>
    <row r="447" spans="12:13" ht="15.75" customHeight="1" x14ac:dyDescent="0.3">
      <c r="L447" s="306"/>
      <c r="M447" s="306"/>
    </row>
    <row r="448" spans="12:13" ht="15.75" customHeight="1" x14ac:dyDescent="0.3">
      <c r="L448" s="306"/>
      <c r="M448" s="306"/>
    </row>
    <row r="449" spans="12:13" ht="15.75" customHeight="1" x14ac:dyDescent="0.3">
      <c r="L449" s="306"/>
      <c r="M449" s="306"/>
    </row>
    <row r="450" spans="12:13" ht="15.75" customHeight="1" x14ac:dyDescent="0.3">
      <c r="L450" s="306"/>
      <c r="M450" s="306"/>
    </row>
    <row r="451" spans="12:13" ht="15.75" customHeight="1" x14ac:dyDescent="0.3">
      <c r="L451" s="306"/>
      <c r="M451" s="306"/>
    </row>
    <row r="452" spans="12:13" ht="15.75" customHeight="1" x14ac:dyDescent="0.3">
      <c r="L452" s="306"/>
      <c r="M452" s="306"/>
    </row>
    <row r="453" spans="12:13" ht="15.75" customHeight="1" x14ac:dyDescent="0.3">
      <c r="L453" s="306"/>
      <c r="M453" s="306"/>
    </row>
    <row r="454" spans="12:13" ht="15.75" customHeight="1" x14ac:dyDescent="0.3">
      <c r="L454" s="306"/>
      <c r="M454" s="306"/>
    </row>
    <row r="455" spans="12:13" ht="15.75" customHeight="1" x14ac:dyDescent="0.3">
      <c r="L455" s="306"/>
      <c r="M455" s="306"/>
    </row>
    <row r="456" spans="12:13" ht="15.75" customHeight="1" x14ac:dyDescent="0.3">
      <c r="L456" s="306"/>
      <c r="M456" s="306"/>
    </row>
    <row r="457" spans="12:13" ht="15.75" customHeight="1" x14ac:dyDescent="0.3">
      <c r="L457" s="306"/>
      <c r="M457" s="306"/>
    </row>
    <row r="458" spans="12:13" ht="15.75" customHeight="1" x14ac:dyDescent="0.3">
      <c r="L458" s="306"/>
      <c r="M458" s="306"/>
    </row>
    <row r="459" spans="12:13" ht="15.75" customHeight="1" x14ac:dyDescent="0.3">
      <c r="L459" s="306"/>
      <c r="M459" s="306"/>
    </row>
    <row r="460" spans="12:13" ht="15.75" customHeight="1" x14ac:dyDescent="0.3">
      <c r="L460" s="306"/>
      <c r="M460" s="306"/>
    </row>
    <row r="461" spans="12:13" ht="15.75" customHeight="1" x14ac:dyDescent="0.3">
      <c r="L461" s="306"/>
      <c r="M461" s="306"/>
    </row>
    <row r="462" spans="12:13" ht="15.75" customHeight="1" x14ac:dyDescent="0.3">
      <c r="L462" s="306"/>
      <c r="M462" s="306"/>
    </row>
    <row r="463" spans="12:13" ht="15.75" customHeight="1" x14ac:dyDescent="0.3">
      <c r="L463" s="306"/>
      <c r="M463" s="306"/>
    </row>
    <row r="464" spans="12:13" ht="15.75" customHeight="1" x14ac:dyDescent="0.3">
      <c r="L464" s="306"/>
      <c r="M464" s="306"/>
    </row>
    <row r="465" spans="12:13" ht="15.75" customHeight="1" x14ac:dyDescent="0.3">
      <c r="L465" s="306"/>
      <c r="M465" s="306"/>
    </row>
    <row r="466" spans="12:13" ht="15.75" customHeight="1" x14ac:dyDescent="0.3">
      <c r="L466" s="306"/>
      <c r="M466" s="306"/>
    </row>
    <row r="467" spans="12:13" ht="15.75" customHeight="1" x14ac:dyDescent="0.3">
      <c r="L467" s="306"/>
      <c r="M467" s="306"/>
    </row>
    <row r="468" spans="12:13" ht="15.75" customHeight="1" x14ac:dyDescent="0.3">
      <c r="L468" s="306"/>
      <c r="M468" s="306"/>
    </row>
    <row r="469" spans="12:13" ht="15.75" customHeight="1" x14ac:dyDescent="0.3">
      <c r="L469" s="306"/>
      <c r="M469" s="306"/>
    </row>
    <row r="470" spans="12:13" ht="15.75" customHeight="1" x14ac:dyDescent="0.3">
      <c r="L470" s="306"/>
      <c r="M470" s="306"/>
    </row>
    <row r="471" spans="12:13" ht="15.75" customHeight="1" x14ac:dyDescent="0.3">
      <c r="L471" s="306"/>
      <c r="M471" s="306"/>
    </row>
    <row r="472" spans="12:13" ht="15.75" customHeight="1" x14ac:dyDescent="0.3">
      <c r="L472" s="306"/>
      <c r="M472" s="306"/>
    </row>
    <row r="473" spans="12:13" ht="15.75" customHeight="1" x14ac:dyDescent="0.3">
      <c r="L473" s="306"/>
      <c r="M473" s="306"/>
    </row>
    <row r="474" spans="12:13" ht="15.75" customHeight="1" x14ac:dyDescent="0.3">
      <c r="L474" s="306"/>
      <c r="M474" s="306"/>
    </row>
    <row r="475" spans="12:13" ht="15.75" customHeight="1" x14ac:dyDescent="0.3">
      <c r="L475" s="306"/>
      <c r="M475" s="306"/>
    </row>
    <row r="476" spans="12:13" ht="15.75" customHeight="1" x14ac:dyDescent="0.3">
      <c r="L476" s="306"/>
      <c r="M476" s="306"/>
    </row>
    <row r="477" spans="12:13" ht="15.75" customHeight="1" x14ac:dyDescent="0.3">
      <c r="L477" s="306"/>
      <c r="M477" s="306"/>
    </row>
    <row r="478" spans="12:13" ht="15.75" customHeight="1" x14ac:dyDescent="0.3">
      <c r="L478" s="306"/>
      <c r="M478" s="306"/>
    </row>
    <row r="479" spans="12:13" ht="15.75" customHeight="1" x14ac:dyDescent="0.3">
      <c r="L479" s="306"/>
      <c r="M479" s="306"/>
    </row>
    <row r="480" spans="12:13" ht="15.75" customHeight="1" x14ac:dyDescent="0.3">
      <c r="L480" s="306"/>
      <c r="M480" s="306"/>
    </row>
    <row r="481" spans="12:13" ht="15.75" customHeight="1" x14ac:dyDescent="0.3">
      <c r="L481" s="306"/>
      <c r="M481" s="306"/>
    </row>
    <row r="482" spans="12:13" ht="15.75" customHeight="1" x14ac:dyDescent="0.3">
      <c r="L482" s="306"/>
      <c r="M482" s="306"/>
    </row>
    <row r="483" spans="12:13" ht="15.75" customHeight="1" x14ac:dyDescent="0.3">
      <c r="L483" s="306"/>
      <c r="M483" s="306"/>
    </row>
    <row r="484" spans="12:13" ht="15.75" customHeight="1" x14ac:dyDescent="0.3">
      <c r="L484" s="306"/>
      <c r="M484" s="306"/>
    </row>
    <row r="485" spans="12:13" ht="15.75" customHeight="1" x14ac:dyDescent="0.3">
      <c r="L485" s="306"/>
      <c r="M485" s="306"/>
    </row>
    <row r="486" spans="12:13" ht="15.75" customHeight="1" x14ac:dyDescent="0.3">
      <c r="L486" s="306"/>
      <c r="M486" s="306"/>
    </row>
    <row r="487" spans="12:13" ht="15.75" customHeight="1" x14ac:dyDescent="0.3">
      <c r="L487" s="306"/>
      <c r="M487" s="306"/>
    </row>
    <row r="488" spans="12:13" ht="15.75" customHeight="1" x14ac:dyDescent="0.3">
      <c r="L488" s="306"/>
      <c r="M488" s="306"/>
    </row>
    <row r="489" spans="12:13" ht="15.75" customHeight="1" x14ac:dyDescent="0.3">
      <c r="L489" s="306"/>
      <c r="M489" s="306"/>
    </row>
    <row r="490" spans="12:13" ht="15.75" customHeight="1" x14ac:dyDescent="0.3">
      <c r="L490" s="306"/>
      <c r="M490" s="306"/>
    </row>
    <row r="491" spans="12:13" ht="15.75" customHeight="1" x14ac:dyDescent="0.3">
      <c r="L491" s="306"/>
      <c r="M491" s="306"/>
    </row>
    <row r="492" spans="12:13" ht="15.75" customHeight="1" x14ac:dyDescent="0.3">
      <c r="L492" s="306"/>
      <c r="M492" s="306"/>
    </row>
    <row r="493" spans="12:13" ht="15.75" customHeight="1" x14ac:dyDescent="0.3">
      <c r="L493" s="306"/>
      <c r="M493" s="306"/>
    </row>
    <row r="494" spans="12:13" ht="15.75" customHeight="1" x14ac:dyDescent="0.3">
      <c r="L494" s="306"/>
      <c r="M494" s="306"/>
    </row>
    <row r="495" spans="12:13" ht="15.75" customHeight="1" x14ac:dyDescent="0.3">
      <c r="L495" s="306"/>
      <c r="M495" s="306"/>
    </row>
    <row r="496" spans="12:13" ht="15.75" customHeight="1" x14ac:dyDescent="0.3">
      <c r="L496" s="306"/>
      <c r="M496" s="306"/>
    </row>
    <row r="497" spans="12:13" ht="15.75" customHeight="1" x14ac:dyDescent="0.3">
      <c r="L497" s="306"/>
      <c r="M497" s="306"/>
    </row>
    <row r="498" spans="12:13" ht="15.75" customHeight="1" x14ac:dyDescent="0.3">
      <c r="L498" s="306"/>
      <c r="M498" s="306"/>
    </row>
    <row r="499" spans="12:13" ht="15.75" customHeight="1" x14ac:dyDescent="0.3">
      <c r="L499" s="306"/>
      <c r="M499" s="306"/>
    </row>
    <row r="500" spans="12:13" ht="15.75" customHeight="1" x14ac:dyDescent="0.3">
      <c r="L500" s="306"/>
      <c r="M500" s="306"/>
    </row>
    <row r="501" spans="12:13" ht="15.75" customHeight="1" x14ac:dyDescent="0.3">
      <c r="L501" s="306"/>
      <c r="M501" s="306"/>
    </row>
    <row r="502" spans="12:13" ht="15.75" customHeight="1" x14ac:dyDescent="0.3">
      <c r="L502" s="306"/>
      <c r="M502" s="306"/>
    </row>
    <row r="503" spans="12:13" ht="15.75" customHeight="1" x14ac:dyDescent="0.3">
      <c r="L503" s="306"/>
      <c r="M503" s="306"/>
    </row>
    <row r="504" spans="12:13" ht="15.75" customHeight="1" x14ac:dyDescent="0.3">
      <c r="L504" s="306"/>
      <c r="M504" s="306"/>
    </row>
    <row r="505" spans="12:13" ht="15.75" customHeight="1" x14ac:dyDescent="0.3">
      <c r="L505" s="306"/>
      <c r="M505" s="306"/>
    </row>
    <row r="506" spans="12:13" ht="15.75" customHeight="1" x14ac:dyDescent="0.3">
      <c r="L506" s="306"/>
      <c r="M506" s="306"/>
    </row>
    <row r="507" spans="12:13" ht="15.75" customHeight="1" x14ac:dyDescent="0.3">
      <c r="L507" s="306"/>
      <c r="M507" s="306"/>
    </row>
    <row r="508" spans="12:13" ht="15.75" customHeight="1" x14ac:dyDescent="0.3">
      <c r="L508" s="306"/>
      <c r="M508" s="306"/>
    </row>
    <row r="509" spans="12:13" ht="15.75" customHeight="1" x14ac:dyDescent="0.3">
      <c r="L509" s="306"/>
      <c r="M509" s="306"/>
    </row>
    <row r="510" spans="12:13" ht="15.75" customHeight="1" x14ac:dyDescent="0.3">
      <c r="L510" s="306"/>
      <c r="M510" s="306"/>
    </row>
    <row r="511" spans="12:13" ht="15.75" customHeight="1" x14ac:dyDescent="0.3">
      <c r="L511" s="306"/>
      <c r="M511" s="306"/>
    </row>
    <row r="512" spans="12:13" ht="15.75" customHeight="1" x14ac:dyDescent="0.3">
      <c r="L512" s="306"/>
      <c r="M512" s="306"/>
    </row>
    <row r="513" spans="12:13" ht="15.75" customHeight="1" x14ac:dyDescent="0.3">
      <c r="L513" s="306"/>
      <c r="M513" s="306"/>
    </row>
    <row r="514" spans="12:13" ht="15.75" customHeight="1" x14ac:dyDescent="0.3">
      <c r="L514" s="306"/>
      <c r="M514" s="306"/>
    </row>
    <row r="515" spans="12:13" ht="15.75" customHeight="1" x14ac:dyDescent="0.3">
      <c r="L515" s="306"/>
      <c r="M515" s="306"/>
    </row>
    <row r="516" spans="12:13" ht="15.75" customHeight="1" x14ac:dyDescent="0.3">
      <c r="L516" s="306"/>
      <c r="M516" s="306"/>
    </row>
    <row r="517" spans="12:13" ht="15.75" customHeight="1" x14ac:dyDescent="0.3">
      <c r="L517" s="306"/>
      <c r="M517" s="306"/>
    </row>
    <row r="518" spans="12:13" ht="15.75" customHeight="1" x14ac:dyDescent="0.3">
      <c r="L518" s="306"/>
      <c r="M518" s="306"/>
    </row>
    <row r="519" spans="12:13" ht="15.75" customHeight="1" x14ac:dyDescent="0.3">
      <c r="L519" s="306"/>
      <c r="M519" s="306"/>
    </row>
    <row r="520" spans="12:13" ht="15.75" customHeight="1" x14ac:dyDescent="0.3">
      <c r="L520" s="306"/>
      <c r="M520" s="306"/>
    </row>
    <row r="521" spans="12:13" ht="15.75" customHeight="1" x14ac:dyDescent="0.3">
      <c r="L521" s="306"/>
      <c r="M521" s="306"/>
    </row>
    <row r="522" spans="12:13" ht="15.75" customHeight="1" x14ac:dyDescent="0.3">
      <c r="L522" s="306"/>
      <c r="M522" s="306"/>
    </row>
    <row r="523" spans="12:13" ht="15.75" customHeight="1" x14ac:dyDescent="0.3">
      <c r="L523" s="306"/>
      <c r="M523" s="306"/>
    </row>
    <row r="524" spans="12:13" ht="15.75" customHeight="1" x14ac:dyDescent="0.3">
      <c r="L524" s="306"/>
      <c r="M524" s="306"/>
    </row>
    <row r="525" spans="12:13" ht="15.75" customHeight="1" x14ac:dyDescent="0.3">
      <c r="L525" s="306"/>
      <c r="M525" s="306"/>
    </row>
    <row r="526" spans="12:13" ht="15.75" customHeight="1" x14ac:dyDescent="0.3">
      <c r="L526" s="306"/>
      <c r="M526" s="306"/>
    </row>
    <row r="527" spans="12:13" ht="15.75" customHeight="1" x14ac:dyDescent="0.3">
      <c r="L527" s="306"/>
      <c r="M527" s="306"/>
    </row>
    <row r="528" spans="12:13" ht="15.75" customHeight="1" x14ac:dyDescent="0.3">
      <c r="L528" s="306"/>
      <c r="M528" s="306"/>
    </row>
    <row r="529" spans="12:13" ht="15.75" customHeight="1" x14ac:dyDescent="0.3">
      <c r="L529" s="306"/>
      <c r="M529" s="306"/>
    </row>
    <row r="530" spans="12:13" ht="15.75" customHeight="1" x14ac:dyDescent="0.3">
      <c r="L530" s="306"/>
      <c r="M530" s="306"/>
    </row>
    <row r="531" spans="12:13" ht="15.75" customHeight="1" x14ac:dyDescent="0.3">
      <c r="L531" s="306"/>
      <c r="M531" s="306"/>
    </row>
    <row r="532" spans="12:13" ht="15.75" customHeight="1" x14ac:dyDescent="0.3">
      <c r="L532" s="306"/>
      <c r="M532" s="306"/>
    </row>
    <row r="533" spans="12:13" ht="15.75" customHeight="1" x14ac:dyDescent="0.3">
      <c r="L533" s="306"/>
      <c r="M533" s="306"/>
    </row>
    <row r="534" spans="12:13" ht="15.75" customHeight="1" x14ac:dyDescent="0.3">
      <c r="L534" s="306"/>
      <c r="M534" s="306"/>
    </row>
    <row r="535" spans="12:13" ht="15.75" customHeight="1" x14ac:dyDescent="0.3">
      <c r="L535" s="306"/>
      <c r="M535" s="306"/>
    </row>
    <row r="536" spans="12:13" ht="15.75" customHeight="1" x14ac:dyDescent="0.3">
      <c r="L536" s="306"/>
      <c r="M536" s="306"/>
    </row>
    <row r="537" spans="12:13" ht="15.75" customHeight="1" x14ac:dyDescent="0.3">
      <c r="L537" s="306"/>
      <c r="M537" s="306"/>
    </row>
    <row r="538" spans="12:13" ht="15.75" customHeight="1" x14ac:dyDescent="0.3">
      <c r="L538" s="306"/>
      <c r="M538" s="306"/>
    </row>
    <row r="539" spans="12:13" ht="15.75" customHeight="1" x14ac:dyDescent="0.3">
      <c r="L539" s="306"/>
      <c r="M539" s="306"/>
    </row>
    <row r="540" spans="12:13" ht="15.75" customHeight="1" x14ac:dyDescent="0.3">
      <c r="L540" s="306"/>
      <c r="M540" s="306"/>
    </row>
    <row r="541" spans="12:13" ht="15.75" customHeight="1" x14ac:dyDescent="0.3">
      <c r="L541" s="306"/>
      <c r="M541" s="306"/>
    </row>
    <row r="542" spans="12:13" ht="15.75" customHeight="1" x14ac:dyDescent="0.3">
      <c r="L542" s="306"/>
      <c r="M542" s="306"/>
    </row>
    <row r="543" spans="12:13" ht="15.75" customHeight="1" x14ac:dyDescent="0.3">
      <c r="L543" s="306"/>
      <c r="M543" s="306"/>
    </row>
    <row r="544" spans="12:13" ht="15.75" customHeight="1" x14ac:dyDescent="0.3">
      <c r="L544" s="306"/>
      <c r="M544" s="306"/>
    </row>
    <row r="545" spans="12:13" ht="15.75" customHeight="1" x14ac:dyDescent="0.3">
      <c r="L545" s="306"/>
      <c r="M545" s="306"/>
    </row>
    <row r="546" spans="12:13" ht="15.75" customHeight="1" x14ac:dyDescent="0.3">
      <c r="L546" s="306"/>
      <c r="M546" s="306"/>
    </row>
    <row r="547" spans="12:13" ht="15.75" customHeight="1" x14ac:dyDescent="0.3">
      <c r="L547" s="306"/>
      <c r="M547" s="306"/>
    </row>
    <row r="548" spans="12:13" ht="15.75" customHeight="1" x14ac:dyDescent="0.3">
      <c r="L548" s="306"/>
      <c r="M548" s="306"/>
    </row>
    <row r="549" spans="12:13" ht="15.75" customHeight="1" x14ac:dyDescent="0.3">
      <c r="L549" s="306"/>
      <c r="M549" s="306"/>
    </row>
    <row r="550" spans="12:13" ht="15.75" customHeight="1" x14ac:dyDescent="0.3">
      <c r="L550" s="306"/>
      <c r="M550" s="306"/>
    </row>
    <row r="551" spans="12:13" ht="15.75" customHeight="1" x14ac:dyDescent="0.3">
      <c r="L551" s="306"/>
      <c r="M551" s="306"/>
    </row>
    <row r="552" spans="12:13" ht="15.75" customHeight="1" x14ac:dyDescent="0.3">
      <c r="L552" s="306"/>
      <c r="M552" s="306"/>
    </row>
    <row r="553" spans="12:13" ht="15.75" customHeight="1" x14ac:dyDescent="0.3">
      <c r="L553" s="306"/>
      <c r="M553" s="306"/>
    </row>
    <row r="554" spans="12:13" ht="15.75" customHeight="1" x14ac:dyDescent="0.3">
      <c r="L554" s="306"/>
      <c r="M554" s="306"/>
    </row>
    <row r="555" spans="12:13" ht="15.75" customHeight="1" x14ac:dyDescent="0.3">
      <c r="L555" s="306"/>
      <c r="M555" s="306"/>
    </row>
    <row r="556" spans="12:13" ht="15.75" customHeight="1" x14ac:dyDescent="0.3">
      <c r="L556" s="306"/>
      <c r="M556" s="306"/>
    </row>
    <row r="557" spans="12:13" ht="15.75" customHeight="1" x14ac:dyDescent="0.3">
      <c r="L557" s="306"/>
      <c r="M557" s="306"/>
    </row>
    <row r="558" spans="12:13" ht="15.75" customHeight="1" x14ac:dyDescent="0.3">
      <c r="L558" s="306"/>
      <c r="M558" s="306"/>
    </row>
    <row r="559" spans="12:13" ht="15.75" customHeight="1" x14ac:dyDescent="0.3">
      <c r="L559" s="306"/>
      <c r="M559" s="306"/>
    </row>
    <row r="560" spans="12:13" ht="15.75" customHeight="1" x14ac:dyDescent="0.3">
      <c r="L560" s="306"/>
      <c r="M560" s="306"/>
    </row>
    <row r="561" spans="12:13" ht="15.75" customHeight="1" x14ac:dyDescent="0.3">
      <c r="L561" s="306"/>
      <c r="M561" s="306"/>
    </row>
    <row r="562" spans="12:13" ht="15.75" customHeight="1" x14ac:dyDescent="0.3">
      <c r="L562" s="306"/>
      <c r="M562" s="306"/>
    </row>
    <row r="563" spans="12:13" ht="15.75" customHeight="1" x14ac:dyDescent="0.3">
      <c r="L563" s="306"/>
      <c r="M563" s="306"/>
    </row>
    <row r="564" spans="12:13" ht="15.75" customHeight="1" x14ac:dyDescent="0.3">
      <c r="L564" s="306"/>
      <c r="M564" s="306"/>
    </row>
    <row r="565" spans="12:13" ht="15.75" customHeight="1" x14ac:dyDescent="0.3">
      <c r="L565" s="306"/>
      <c r="M565" s="306"/>
    </row>
    <row r="566" spans="12:13" ht="15.75" customHeight="1" x14ac:dyDescent="0.3">
      <c r="L566" s="306"/>
      <c r="M566" s="306"/>
    </row>
    <row r="567" spans="12:13" ht="15.75" customHeight="1" x14ac:dyDescent="0.3">
      <c r="L567" s="306"/>
      <c r="M567" s="306"/>
    </row>
    <row r="568" spans="12:13" ht="15.75" customHeight="1" x14ac:dyDescent="0.3">
      <c r="L568" s="306"/>
      <c r="M568" s="306"/>
    </row>
    <row r="569" spans="12:13" ht="15.75" customHeight="1" x14ac:dyDescent="0.3">
      <c r="L569" s="306"/>
      <c r="M569" s="306"/>
    </row>
    <row r="570" spans="12:13" ht="15.75" customHeight="1" x14ac:dyDescent="0.3">
      <c r="L570" s="306"/>
      <c r="M570" s="306"/>
    </row>
    <row r="571" spans="12:13" ht="15.75" customHeight="1" x14ac:dyDescent="0.3">
      <c r="L571" s="306"/>
      <c r="M571" s="306"/>
    </row>
    <row r="572" spans="12:13" ht="15.75" customHeight="1" x14ac:dyDescent="0.3">
      <c r="L572" s="306"/>
      <c r="M572" s="306"/>
    </row>
    <row r="573" spans="12:13" ht="15.75" customHeight="1" x14ac:dyDescent="0.3">
      <c r="L573" s="306"/>
      <c r="M573" s="306"/>
    </row>
    <row r="574" spans="12:13" ht="15.75" customHeight="1" x14ac:dyDescent="0.3">
      <c r="L574" s="306"/>
      <c r="M574" s="306"/>
    </row>
    <row r="575" spans="12:13" ht="15.75" customHeight="1" x14ac:dyDescent="0.3">
      <c r="L575" s="306"/>
      <c r="M575" s="306"/>
    </row>
    <row r="576" spans="12:13" ht="15.75" customHeight="1" x14ac:dyDescent="0.3">
      <c r="L576" s="306"/>
      <c r="M576" s="306"/>
    </row>
    <row r="577" spans="12:13" ht="15.75" customHeight="1" x14ac:dyDescent="0.3">
      <c r="L577" s="306"/>
      <c r="M577" s="306"/>
    </row>
    <row r="578" spans="12:13" ht="15.75" customHeight="1" x14ac:dyDescent="0.3">
      <c r="L578" s="306"/>
      <c r="M578" s="306"/>
    </row>
    <row r="579" spans="12:13" ht="15.75" customHeight="1" x14ac:dyDescent="0.3">
      <c r="L579" s="306"/>
      <c r="M579" s="306"/>
    </row>
    <row r="580" spans="12:13" ht="15.75" customHeight="1" x14ac:dyDescent="0.3">
      <c r="L580" s="306"/>
      <c r="M580" s="306"/>
    </row>
    <row r="581" spans="12:13" ht="15.75" customHeight="1" x14ac:dyDescent="0.3">
      <c r="L581" s="306"/>
      <c r="M581" s="306"/>
    </row>
    <row r="582" spans="12:13" ht="15.75" customHeight="1" x14ac:dyDescent="0.3">
      <c r="L582" s="306"/>
      <c r="M582" s="306"/>
    </row>
    <row r="583" spans="12:13" ht="15.75" customHeight="1" x14ac:dyDescent="0.3">
      <c r="L583" s="306"/>
      <c r="M583" s="306"/>
    </row>
    <row r="584" spans="12:13" ht="15.75" customHeight="1" x14ac:dyDescent="0.3">
      <c r="L584" s="306"/>
      <c r="M584" s="306"/>
    </row>
    <row r="585" spans="12:13" ht="15.75" customHeight="1" x14ac:dyDescent="0.3">
      <c r="L585" s="306"/>
      <c r="M585" s="306"/>
    </row>
    <row r="586" spans="12:13" ht="15.75" customHeight="1" x14ac:dyDescent="0.3">
      <c r="L586" s="306"/>
      <c r="M586" s="306"/>
    </row>
    <row r="587" spans="12:13" ht="15.75" customHeight="1" x14ac:dyDescent="0.3">
      <c r="L587" s="306"/>
      <c r="M587" s="306"/>
    </row>
    <row r="588" spans="12:13" ht="15.75" customHeight="1" x14ac:dyDescent="0.3">
      <c r="L588" s="306"/>
      <c r="M588" s="306"/>
    </row>
    <row r="589" spans="12:13" ht="15.75" customHeight="1" x14ac:dyDescent="0.3">
      <c r="L589" s="306"/>
      <c r="M589" s="306"/>
    </row>
    <row r="590" spans="12:13" ht="15.75" customHeight="1" x14ac:dyDescent="0.3">
      <c r="L590" s="306"/>
      <c r="M590" s="306"/>
    </row>
    <row r="591" spans="12:13" ht="15.75" customHeight="1" x14ac:dyDescent="0.3">
      <c r="L591" s="306"/>
      <c r="M591" s="306"/>
    </row>
    <row r="592" spans="12:13" ht="15.75" customHeight="1" x14ac:dyDescent="0.3">
      <c r="L592" s="306"/>
      <c r="M592" s="306"/>
    </row>
    <row r="593" spans="12:13" ht="15.75" customHeight="1" x14ac:dyDescent="0.3">
      <c r="L593" s="306"/>
      <c r="M593" s="306"/>
    </row>
    <row r="594" spans="12:13" ht="15.75" customHeight="1" x14ac:dyDescent="0.3">
      <c r="L594" s="306"/>
      <c r="M594" s="306"/>
    </row>
    <row r="595" spans="12:13" ht="15.75" customHeight="1" x14ac:dyDescent="0.3">
      <c r="L595" s="306"/>
      <c r="M595" s="306"/>
    </row>
    <row r="596" spans="12:13" ht="15.75" customHeight="1" x14ac:dyDescent="0.3">
      <c r="L596" s="306"/>
      <c r="M596" s="306"/>
    </row>
    <row r="597" spans="12:13" ht="15.75" customHeight="1" x14ac:dyDescent="0.3">
      <c r="L597" s="306"/>
      <c r="M597" s="306"/>
    </row>
    <row r="598" spans="12:13" ht="15.75" customHeight="1" x14ac:dyDescent="0.3">
      <c r="L598" s="306"/>
      <c r="M598" s="306"/>
    </row>
    <row r="599" spans="12:13" ht="15.75" customHeight="1" x14ac:dyDescent="0.3">
      <c r="L599" s="306"/>
      <c r="M599" s="306"/>
    </row>
    <row r="600" spans="12:13" ht="15.75" customHeight="1" x14ac:dyDescent="0.3">
      <c r="L600" s="306"/>
      <c r="M600" s="306"/>
    </row>
    <row r="601" spans="12:13" ht="15.75" customHeight="1" x14ac:dyDescent="0.3">
      <c r="L601" s="306"/>
      <c r="M601" s="306"/>
    </row>
    <row r="602" spans="12:13" ht="15.75" customHeight="1" x14ac:dyDescent="0.3">
      <c r="L602" s="306"/>
      <c r="M602" s="306"/>
    </row>
    <row r="603" spans="12:13" ht="15.75" customHeight="1" x14ac:dyDescent="0.3">
      <c r="L603" s="306"/>
      <c r="M603" s="306"/>
    </row>
    <row r="604" spans="12:13" ht="15.75" customHeight="1" x14ac:dyDescent="0.3">
      <c r="L604" s="306"/>
      <c r="M604" s="306"/>
    </row>
    <row r="605" spans="12:13" ht="15.75" customHeight="1" x14ac:dyDescent="0.3">
      <c r="L605" s="306"/>
      <c r="M605" s="306"/>
    </row>
    <row r="606" spans="12:13" ht="15.75" customHeight="1" x14ac:dyDescent="0.3">
      <c r="L606" s="306"/>
      <c r="M606" s="306"/>
    </row>
    <row r="607" spans="12:13" ht="15.75" customHeight="1" x14ac:dyDescent="0.3">
      <c r="L607" s="306"/>
      <c r="M607" s="306"/>
    </row>
    <row r="608" spans="12:13" ht="15.75" customHeight="1" x14ac:dyDescent="0.3">
      <c r="L608" s="306"/>
      <c r="M608" s="306"/>
    </row>
    <row r="609" spans="12:13" ht="15.75" customHeight="1" x14ac:dyDescent="0.3">
      <c r="L609" s="306"/>
      <c r="M609" s="306"/>
    </row>
    <row r="610" spans="12:13" ht="15.75" customHeight="1" x14ac:dyDescent="0.3">
      <c r="L610" s="306"/>
      <c r="M610" s="306"/>
    </row>
    <row r="611" spans="12:13" ht="15.75" customHeight="1" x14ac:dyDescent="0.3">
      <c r="L611" s="306"/>
      <c r="M611" s="306"/>
    </row>
    <row r="612" spans="12:13" ht="15.75" customHeight="1" x14ac:dyDescent="0.3">
      <c r="L612" s="306"/>
      <c r="M612" s="306"/>
    </row>
    <row r="613" spans="12:13" ht="15.75" customHeight="1" x14ac:dyDescent="0.3">
      <c r="L613" s="306"/>
      <c r="M613" s="306"/>
    </row>
    <row r="614" spans="12:13" ht="15.75" customHeight="1" x14ac:dyDescent="0.3">
      <c r="L614" s="306"/>
      <c r="M614" s="306"/>
    </row>
    <row r="615" spans="12:13" ht="15.75" customHeight="1" x14ac:dyDescent="0.3">
      <c r="L615" s="306"/>
      <c r="M615" s="306"/>
    </row>
    <row r="616" spans="12:13" ht="15.75" customHeight="1" x14ac:dyDescent="0.3">
      <c r="L616" s="306"/>
      <c r="M616" s="306"/>
    </row>
    <row r="617" spans="12:13" ht="15.75" customHeight="1" x14ac:dyDescent="0.3">
      <c r="L617" s="306"/>
      <c r="M617" s="306"/>
    </row>
    <row r="618" spans="12:13" ht="15.75" customHeight="1" x14ac:dyDescent="0.3">
      <c r="L618" s="306"/>
      <c r="M618" s="306"/>
    </row>
    <row r="619" spans="12:13" ht="15.75" customHeight="1" x14ac:dyDescent="0.3">
      <c r="L619" s="306"/>
      <c r="M619" s="306"/>
    </row>
    <row r="620" spans="12:13" ht="15.75" customHeight="1" x14ac:dyDescent="0.3">
      <c r="L620" s="306"/>
      <c r="M620" s="306"/>
    </row>
    <row r="621" spans="12:13" ht="15.75" customHeight="1" x14ac:dyDescent="0.3">
      <c r="L621" s="306"/>
      <c r="M621" s="306"/>
    </row>
    <row r="622" spans="12:13" ht="15.75" customHeight="1" x14ac:dyDescent="0.3">
      <c r="L622" s="306"/>
      <c r="M622" s="306"/>
    </row>
    <row r="623" spans="12:13" ht="15.75" customHeight="1" x14ac:dyDescent="0.3">
      <c r="L623" s="306"/>
      <c r="M623" s="306"/>
    </row>
    <row r="624" spans="12:13" ht="15.75" customHeight="1" x14ac:dyDescent="0.3">
      <c r="L624" s="306"/>
      <c r="M624" s="306"/>
    </row>
    <row r="625" spans="12:13" ht="15.75" customHeight="1" x14ac:dyDescent="0.3">
      <c r="L625" s="306"/>
      <c r="M625" s="306"/>
    </row>
    <row r="626" spans="12:13" ht="15.75" customHeight="1" x14ac:dyDescent="0.3">
      <c r="L626" s="306"/>
      <c r="M626" s="306"/>
    </row>
    <row r="627" spans="12:13" ht="15.75" customHeight="1" x14ac:dyDescent="0.3">
      <c r="L627" s="306"/>
      <c r="M627" s="306"/>
    </row>
    <row r="628" spans="12:13" ht="15.75" customHeight="1" x14ac:dyDescent="0.3">
      <c r="L628" s="306"/>
      <c r="M628" s="306"/>
    </row>
    <row r="629" spans="12:13" ht="15.75" customHeight="1" x14ac:dyDescent="0.3">
      <c r="L629" s="306"/>
      <c r="M629" s="306"/>
    </row>
    <row r="630" spans="12:13" ht="15.75" customHeight="1" x14ac:dyDescent="0.3">
      <c r="L630" s="306"/>
      <c r="M630" s="306"/>
    </row>
    <row r="631" spans="12:13" ht="15.75" customHeight="1" x14ac:dyDescent="0.3">
      <c r="L631" s="306"/>
      <c r="M631" s="306"/>
    </row>
    <row r="632" spans="12:13" ht="15.75" customHeight="1" x14ac:dyDescent="0.3">
      <c r="L632" s="306"/>
      <c r="M632" s="306"/>
    </row>
    <row r="633" spans="12:13" ht="15.75" customHeight="1" x14ac:dyDescent="0.3">
      <c r="L633" s="306"/>
      <c r="M633" s="306"/>
    </row>
    <row r="634" spans="12:13" ht="15.75" customHeight="1" x14ac:dyDescent="0.3">
      <c r="L634" s="306"/>
      <c r="M634" s="306"/>
    </row>
    <row r="635" spans="12:13" ht="15.75" customHeight="1" x14ac:dyDescent="0.3">
      <c r="L635" s="306"/>
      <c r="M635" s="306"/>
    </row>
    <row r="636" spans="12:13" ht="15.75" customHeight="1" x14ac:dyDescent="0.3">
      <c r="L636" s="306"/>
      <c r="M636" s="306"/>
    </row>
    <row r="637" spans="12:13" ht="15.75" customHeight="1" x14ac:dyDescent="0.3">
      <c r="L637" s="306"/>
      <c r="M637" s="306"/>
    </row>
    <row r="638" spans="12:13" ht="15.75" customHeight="1" x14ac:dyDescent="0.3">
      <c r="L638" s="306"/>
      <c r="M638" s="306"/>
    </row>
    <row r="639" spans="12:13" ht="15.75" customHeight="1" x14ac:dyDescent="0.3">
      <c r="L639" s="306"/>
      <c r="M639" s="306"/>
    </row>
    <row r="640" spans="12:13" ht="15.75" customHeight="1" x14ac:dyDescent="0.3">
      <c r="L640" s="306"/>
      <c r="M640" s="306"/>
    </row>
    <row r="641" spans="12:13" ht="15.75" customHeight="1" x14ac:dyDescent="0.3">
      <c r="L641" s="306"/>
      <c r="M641" s="306"/>
    </row>
    <row r="642" spans="12:13" ht="15.75" customHeight="1" x14ac:dyDescent="0.3">
      <c r="L642" s="306"/>
      <c r="M642" s="306"/>
    </row>
    <row r="643" spans="12:13" ht="15.75" customHeight="1" x14ac:dyDescent="0.3">
      <c r="L643" s="306"/>
      <c r="M643" s="306"/>
    </row>
    <row r="644" spans="12:13" ht="15.75" customHeight="1" x14ac:dyDescent="0.3">
      <c r="L644" s="306"/>
      <c r="M644" s="306"/>
    </row>
    <row r="645" spans="12:13" ht="15.75" customHeight="1" x14ac:dyDescent="0.3">
      <c r="L645" s="306"/>
      <c r="M645" s="306"/>
    </row>
    <row r="646" spans="12:13" ht="15.75" customHeight="1" x14ac:dyDescent="0.3">
      <c r="L646" s="306"/>
      <c r="M646" s="306"/>
    </row>
    <row r="647" spans="12:13" ht="15.75" customHeight="1" x14ac:dyDescent="0.3">
      <c r="L647" s="306"/>
      <c r="M647" s="306"/>
    </row>
    <row r="648" spans="12:13" ht="15.75" customHeight="1" x14ac:dyDescent="0.3">
      <c r="L648" s="306"/>
      <c r="M648" s="306"/>
    </row>
    <row r="649" spans="12:13" ht="15.75" customHeight="1" x14ac:dyDescent="0.3">
      <c r="L649" s="306"/>
      <c r="M649" s="306"/>
    </row>
    <row r="650" spans="12:13" ht="15.75" customHeight="1" x14ac:dyDescent="0.3">
      <c r="L650" s="306"/>
      <c r="M650" s="306"/>
    </row>
    <row r="651" spans="12:13" ht="15.75" customHeight="1" x14ac:dyDescent="0.3">
      <c r="L651" s="306"/>
      <c r="M651" s="306"/>
    </row>
    <row r="652" spans="12:13" ht="15.75" customHeight="1" x14ac:dyDescent="0.3">
      <c r="L652" s="306"/>
      <c r="M652" s="306"/>
    </row>
    <row r="653" spans="12:13" ht="15.75" customHeight="1" x14ac:dyDescent="0.3">
      <c r="L653" s="306"/>
      <c r="M653" s="306"/>
    </row>
    <row r="654" spans="12:13" ht="15.75" customHeight="1" x14ac:dyDescent="0.3">
      <c r="L654" s="306"/>
      <c r="M654" s="306"/>
    </row>
    <row r="655" spans="12:13" ht="15.75" customHeight="1" x14ac:dyDescent="0.3">
      <c r="L655" s="306"/>
      <c r="M655" s="306"/>
    </row>
    <row r="656" spans="12:13" ht="15.75" customHeight="1" x14ac:dyDescent="0.3">
      <c r="L656" s="306"/>
      <c r="M656" s="306"/>
    </row>
    <row r="657" spans="12:13" ht="15.75" customHeight="1" x14ac:dyDescent="0.3">
      <c r="L657" s="306"/>
      <c r="M657" s="306"/>
    </row>
    <row r="658" spans="12:13" ht="15.75" customHeight="1" x14ac:dyDescent="0.3">
      <c r="L658" s="306"/>
      <c r="M658" s="306"/>
    </row>
    <row r="659" spans="12:13" ht="15.75" customHeight="1" x14ac:dyDescent="0.3">
      <c r="L659" s="306"/>
      <c r="M659" s="306"/>
    </row>
    <row r="660" spans="12:13" ht="15.75" customHeight="1" x14ac:dyDescent="0.3">
      <c r="L660" s="306"/>
      <c r="M660" s="306"/>
    </row>
    <row r="661" spans="12:13" ht="15.75" customHeight="1" x14ac:dyDescent="0.3">
      <c r="L661" s="306"/>
      <c r="M661" s="306"/>
    </row>
    <row r="662" spans="12:13" ht="15.75" customHeight="1" x14ac:dyDescent="0.3">
      <c r="L662" s="306"/>
      <c r="M662" s="306"/>
    </row>
    <row r="663" spans="12:13" ht="15.75" customHeight="1" x14ac:dyDescent="0.3">
      <c r="L663" s="306"/>
      <c r="M663" s="306"/>
    </row>
    <row r="664" spans="12:13" ht="15.75" customHeight="1" x14ac:dyDescent="0.3">
      <c r="L664" s="306"/>
      <c r="M664" s="306"/>
    </row>
    <row r="665" spans="12:13" ht="15.75" customHeight="1" x14ac:dyDescent="0.3">
      <c r="L665" s="306"/>
      <c r="M665" s="306"/>
    </row>
    <row r="666" spans="12:13" ht="15.75" customHeight="1" x14ac:dyDescent="0.3">
      <c r="L666" s="306"/>
      <c r="M666" s="306"/>
    </row>
    <row r="667" spans="12:13" ht="15.75" customHeight="1" x14ac:dyDescent="0.3">
      <c r="L667" s="306"/>
      <c r="M667" s="306"/>
    </row>
    <row r="668" spans="12:13" ht="15.75" customHeight="1" x14ac:dyDescent="0.3">
      <c r="L668" s="306"/>
      <c r="M668" s="306"/>
    </row>
    <row r="669" spans="12:13" ht="15.75" customHeight="1" x14ac:dyDescent="0.3">
      <c r="L669" s="306"/>
      <c r="M669" s="306"/>
    </row>
    <row r="670" spans="12:13" ht="15.75" customHeight="1" x14ac:dyDescent="0.3">
      <c r="L670" s="306"/>
      <c r="M670" s="306"/>
    </row>
    <row r="671" spans="12:13" ht="15.75" customHeight="1" x14ac:dyDescent="0.3">
      <c r="L671" s="306"/>
      <c r="M671" s="306"/>
    </row>
    <row r="672" spans="12:13" ht="15.75" customHeight="1" x14ac:dyDescent="0.3">
      <c r="L672" s="306"/>
      <c r="M672" s="306"/>
    </row>
    <row r="673" spans="12:13" ht="15.75" customHeight="1" x14ac:dyDescent="0.3">
      <c r="L673" s="306"/>
      <c r="M673" s="306"/>
    </row>
    <row r="674" spans="12:13" ht="15.75" customHeight="1" x14ac:dyDescent="0.3">
      <c r="L674" s="306"/>
      <c r="M674" s="306"/>
    </row>
    <row r="675" spans="12:13" ht="15.75" customHeight="1" x14ac:dyDescent="0.3">
      <c r="L675" s="306"/>
      <c r="M675" s="306"/>
    </row>
    <row r="676" spans="12:13" ht="15.75" customHeight="1" x14ac:dyDescent="0.3">
      <c r="L676" s="306"/>
      <c r="M676" s="306"/>
    </row>
    <row r="677" spans="12:13" ht="15.75" customHeight="1" x14ac:dyDescent="0.3">
      <c r="L677" s="306"/>
      <c r="M677" s="306"/>
    </row>
    <row r="678" spans="12:13" ht="15.75" customHeight="1" x14ac:dyDescent="0.3">
      <c r="L678" s="306"/>
      <c r="M678" s="306"/>
    </row>
    <row r="679" spans="12:13" ht="15.75" customHeight="1" x14ac:dyDescent="0.3">
      <c r="L679" s="306"/>
      <c r="M679" s="306"/>
    </row>
    <row r="680" spans="12:13" ht="15.75" customHeight="1" x14ac:dyDescent="0.3">
      <c r="L680" s="306"/>
      <c r="M680" s="306"/>
    </row>
    <row r="681" spans="12:13" ht="15.75" customHeight="1" x14ac:dyDescent="0.3">
      <c r="L681" s="306"/>
      <c r="M681" s="306"/>
    </row>
    <row r="682" spans="12:13" ht="15.75" customHeight="1" x14ac:dyDescent="0.3">
      <c r="L682" s="306"/>
      <c r="M682" s="306"/>
    </row>
    <row r="683" spans="12:13" ht="15.75" customHeight="1" x14ac:dyDescent="0.3">
      <c r="L683" s="306"/>
      <c r="M683" s="306"/>
    </row>
    <row r="684" spans="12:13" ht="15.75" customHeight="1" x14ac:dyDescent="0.3">
      <c r="L684" s="306"/>
      <c r="M684" s="306"/>
    </row>
    <row r="685" spans="12:13" ht="15.75" customHeight="1" x14ac:dyDescent="0.3">
      <c r="L685" s="306"/>
      <c r="M685" s="306"/>
    </row>
    <row r="686" spans="12:13" ht="15.75" customHeight="1" x14ac:dyDescent="0.3">
      <c r="L686" s="306"/>
      <c r="M686" s="306"/>
    </row>
    <row r="687" spans="12:13" ht="15.75" customHeight="1" x14ac:dyDescent="0.3">
      <c r="L687" s="306"/>
      <c r="M687" s="306"/>
    </row>
    <row r="688" spans="12:13" ht="15.75" customHeight="1" x14ac:dyDescent="0.3">
      <c r="L688" s="306"/>
      <c r="M688" s="306"/>
    </row>
    <row r="689" spans="12:13" ht="15.75" customHeight="1" x14ac:dyDescent="0.3">
      <c r="L689" s="306"/>
      <c r="M689" s="306"/>
    </row>
    <row r="690" spans="12:13" ht="15.75" customHeight="1" x14ac:dyDescent="0.3">
      <c r="L690" s="306"/>
      <c r="M690" s="306"/>
    </row>
    <row r="691" spans="12:13" ht="15.75" customHeight="1" x14ac:dyDescent="0.3">
      <c r="L691" s="306"/>
      <c r="M691" s="306"/>
    </row>
    <row r="692" spans="12:13" ht="15.75" customHeight="1" x14ac:dyDescent="0.3">
      <c r="L692" s="306"/>
      <c r="M692" s="306"/>
    </row>
    <row r="693" spans="12:13" ht="15.75" customHeight="1" x14ac:dyDescent="0.3">
      <c r="L693" s="306"/>
      <c r="M693" s="306"/>
    </row>
    <row r="694" spans="12:13" ht="15.75" customHeight="1" x14ac:dyDescent="0.3">
      <c r="L694" s="306"/>
      <c r="M694" s="306"/>
    </row>
    <row r="695" spans="12:13" ht="15.75" customHeight="1" x14ac:dyDescent="0.3">
      <c r="L695" s="306"/>
      <c r="M695" s="306"/>
    </row>
    <row r="696" spans="12:13" ht="15.75" customHeight="1" x14ac:dyDescent="0.3">
      <c r="L696" s="306"/>
      <c r="M696" s="306"/>
    </row>
    <row r="697" spans="12:13" ht="15.75" customHeight="1" x14ac:dyDescent="0.3">
      <c r="L697" s="306"/>
      <c r="M697" s="306"/>
    </row>
    <row r="698" spans="12:13" ht="15.75" customHeight="1" x14ac:dyDescent="0.3">
      <c r="L698" s="306"/>
      <c r="M698" s="306"/>
    </row>
    <row r="699" spans="12:13" ht="15.75" customHeight="1" x14ac:dyDescent="0.3">
      <c r="L699" s="306"/>
      <c r="M699" s="306"/>
    </row>
    <row r="700" spans="12:13" ht="15.75" customHeight="1" x14ac:dyDescent="0.3">
      <c r="L700" s="306"/>
      <c r="M700" s="306"/>
    </row>
    <row r="701" spans="12:13" ht="15.75" customHeight="1" x14ac:dyDescent="0.3">
      <c r="L701" s="306"/>
      <c r="M701" s="306"/>
    </row>
    <row r="702" spans="12:13" ht="15.75" customHeight="1" x14ac:dyDescent="0.3">
      <c r="L702" s="306"/>
      <c r="M702" s="306"/>
    </row>
    <row r="703" spans="12:13" ht="15.75" customHeight="1" x14ac:dyDescent="0.3">
      <c r="L703" s="306"/>
      <c r="M703" s="306"/>
    </row>
    <row r="704" spans="12:13" ht="15.75" customHeight="1" x14ac:dyDescent="0.3">
      <c r="L704" s="306"/>
      <c r="M704" s="306"/>
    </row>
    <row r="705" spans="12:13" ht="15.75" customHeight="1" x14ac:dyDescent="0.3">
      <c r="L705" s="306"/>
      <c r="M705" s="306"/>
    </row>
    <row r="706" spans="12:13" ht="15.75" customHeight="1" x14ac:dyDescent="0.3">
      <c r="L706" s="306"/>
      <c r="M706" s="306"/>
    </row>
    <row r="707" spans="12:13" ht="15.75" customHeight="1" x14ac:dyDescent="0.3">
      <c r="L707" s="306"/>
      <c r="M707" s="306"/>
    </row>
    <row r="708" spans="12:13" ht="15.75" customHeight="1" x14ac:dyDescent="0.3">
      <c r="L708" s="306"/>
      <c r="M708" s="306"/>
    </row>
    <row r="709" spans="12:13" ht="15.75" customHeight="1" x14ac:dyDescent="0.3">
      <c r="L709" s="306"/>
      <c r="M709" s="306"/>
    </row>
    <row r="710" spans="12:13" ht="15.75" customHeight="1" x14ac:dyDescent="0.3">
      <c r="L710" s="306"/>
      <c r="M710" s="306"/>
    </row>
    <row r="711" spans="12:13" ht="15.75" customHeight="1" x14ac:dyDescent="0.3">
      <c r="L711" s="306"/>
      <c r="M711" s="306"/>
    </row>
    <row r="712" spans="12:13" ht="15.75" customHeight="1" x14ac:dyDescent="0.3">
      <c r="L712" s="306"/>
      <c r="M712" s="306"/>
    </row>
    <row r="713" spans="12:13" ht="15.75" customHeight="1" x14ac:dyDescent="0.3">
      <c r="L713" s="306"/>
      <c r="M713" s="306"/>
    </row>
    <row r="714" spans="12:13" ht="15.75" customHeight="1" x14ac:dyDescent="0.3">
      <c r="L714" s="306"/>
      <c r="M714" s="306"/>
    </row>
    <row r="715" spans="12:13" ht="15.75" customHeight="1" x14ac:dyDescent="0.3">
      <c r="L715" s="306"/>
      <c r="M715" s="306"/>
    </row>
    <row r="716" spans="12:13" ht="15.75" customHeight="1" x14ac:dyDescent="0.3">
      <c r="L716" s="306"/>
      <c r="M716" s="306"/>
    </row>
    <row r="717" spans="12:13" ht="15.75" customHeight="1" x14ac:dyDescent="0.3">
      <c r="L717" s="306"/>
      <c r="M717" s="306"/>
    </row>
    <row r="718" spans="12:13" ht="15.75" customHeight="1" x14ac:dyDescent="0.3">
      <c r="L718" s="306"/>
      <c r="M718" s="306"/>
    </row>
    <row r="719" spans="12:13" ht="15.75" customHeight="1" x14ac:dyDescent="0.3">
      <c r="L719" s="306"/>
      <c r="M719" s="306"/>
    </row>
    <row r="720" spans="12:13" ht="15.75" customHeight="1" x14ac:dyDescent="0.3">
      <c r="L720" s="306"/>
      <c r="M720" s="306"/>
    </row>
    <row r="721" spans="12:13" ht="15.75" customHeight="1" x14ac:dyDescent="0.3">
      <c r="L721" s="306"/>
      <c r="M721" s="306"/>
    </row>
    <row r="722" spans="12:13" ht="15.75" customHeight="1" x14ac:dyDescent="0.3">
      <c r="L722" s="306"/>
      <c r="M722" s="306"/>
    </row>
    <row r="723" spans="12:13" ht="15.75" customHeight="1" x14ac:dyDescent="0.3">
      <c r="L723" s="306"/>
      <c r="M723" s="306"/>
    </row>
    <row r="724" spans="12:13" ht="15.75" customHeight="1" x14ac:dyDescent="0.3">
      <c r="L724" s="306"/>
      <c r="M724" s="306"/>
    </row>
    <row r="725" spans="12:13" ht="15.75" customHeight="1" x14ac:dyDescent="0.3">
      <c r="L725" s="306"/>
      <c r="M725" s="306"/>
    </row>
    <row r="726" spans="12:13" ht="15.75" customHeight="1" x14ac:dyDescent="0.3">
      <c r="L726" s="306"/>
      <c r="M726" s="306"/>
    </row>
    <row r="727" spans="12:13" ht="15.75" customHeight="1" x14ac:dyDescent="0.3">
      <c r="L727" s="306"/>
      <c r="M727" s="306"/>
    </row>
    <row r="728" spans="12:13" ht="15.75" customHeight="1" x14ac:dyDescent="0.3">
      <c r="L728" s="306"/>
      <c r="M728" s="306"/>
    </row>
    <row r="729" spans="12:13" ht="15.75" customHeight="1" x14ac:dyDescent="0.3">
      <c r="L729" s="306"/>
      <c r="M729" s="306"/>
    </row>
    <row r="730" spans="12:13" ht="15.75" customHeight="1" x14ac:dyDescent="0.3">
      <c r="L730" s="306"/>
      <c r="M730" s="306"/>
    </row>
    <row r="731" spans="12:13" ht="15.75" customHeight="1" x14ac:dyDescent="0.3">
      <c r="L731" s="306"/>
      <c r="M731" s="306"/>
    </row>
    <row r="732" spans="12:13" ht="15.75" customHeight="1" x14ac:dyDescent="0.3">
      <c r="L732" s="306"/>
      <c r="M732" s="306"/>
    </row>
    <row r="733" spans="12:13" ht="15.75" customHeight="1" x14ac:dyDescent="0.3">
      <c r="L733" s="306"/>
      <c r="M733" s="306"/>
    </row>
    <row r="734" spans="12:13" ht="15.75" customHeight="1" x14ac:dyDescent="0.3">
      <c r="L734" s="306"/>
      <c r="M734" s="306"/>
    </row>
    <row r="735" spans="12:13" ht="15.75" customHeight="1" x14ac:dyDescent="0.3">
      <c r="L735" s="306"/>
      <c r="M735" s="306"/>
    </row>
    <row r="736" spans="12:13" ht="15.75" customHeight="1" x14ac:dyDescent="0.3">
      <c r="L736" s="306"/>
      <c r="M736" s="306"/>
    </row>
    <row r="737" spans="12:13" ht="15.75" customHeight="1" x14ac:dyDescent="0.3">
      <c r="L737" s="306"/>
      <c r="M737" s="306"/>
    </row>
    <row r="738" spans="12:13" ht="15.75" customHeight="1" x14ac:dyDescent="0.3">
      <c r="L738" s="306"/>
      <c r="M738" s="306"/>
    </row>
    <row r="739" spans="12:13" ht="15.75" customHeight="1" x14ac:dyDescent="0.3">
      <c r="L739" s="306"/>
      <c r="M739" s="306"/>
    </row>
    <row r="740" spans="12:13" ht="15.75" customHeight="1" x14ac:dyDescent="0.3">
      <c r="L740" s="306"/>
      <c r="M740" s="306"/>
    </row>
    <row r="741" spans="12:13" ht="15.75" customHeight="1" x14ac:dyDescent="0.3">
      <c r="L741" s="306"/>
      <c r="M741" s="306"/>
    </row>
    <row r="742" spans="12:13" ht="15.75" customHeight="1" x14ac:dyDescent="0.3">
      <c r="L742" s="306"/>
      <c r="M742" s="306"/>
    </row>
    <row r="743" spans="12:13" ht="15.75" customHeight="1" x14ac:dyDescent="0.3">
      <c r="L743" s="306"/>
      <c r="M743" s="306"/>
    </row>
    <row r="744" spans="12:13" ht="15.75" customHeight="1" x14ac:dyDescent="0.3">
      <c r="L744" s="306"/>
      <c r="M744" s="306"/>
    </row>
    <row r="745" spans="12:13" ht="15.75" customHeight="1" x14ac:dyDescent="0.3">
      <c r="L745" s="306"/>
      <c r="M745" s="306"/>
    </row>
    <row r="746" spans="12:13" ht="15.75" customHeight="1" x14ac:dyDescent="0.3">
      <c r="L746" s="306"/>
      <c r="M746" s="306"/>
    </row>
    <row r="747" spans="12:13" ht="15.75" customHeight="1" x14ac:dyDescent="0.3">
      <c r="L747" s="306"/>
      <c r="M747" s="306"/>
    </row>
    <row r="748" spans="12:13" ht="15.75" customHeight="1" x14ac:dyDescent="0.3">
      <c r="L748" s="306"/>
      <c r="M748" s="306"/>
    </row>
    <row r="749" spans="12:13" ht="15.75" customHeight="1" x14ac:dyDescent="0.3">
      <c r="L749" s="306"/>
      <c r="M749" s="306"/>
    </row>
    <row r="750" spans="12:13" ht="15.75" customHeight="1" x14ac:dyDescent="0.3">
      <c r="L750" s="306"/>
      <c r="M750" s="306"/>
    </row>
    <row r="751" spans="12:13" ht="15.75" customHeight="1" x14ac:dyDescent="0.3">
      <c r="L751" s="306"/>
      <c r="M751" s="306"/>
    </row>
    <row r="752" spans="12:13" ht="15.75" customHeight="1" x14ac:dyDescent="0.3">
      <c r="L752" s="306"/>
      <c r="M752" s="306"/>
    </row>
    <row r="753" spans="12:13" ht="15.75" customHeight="1" x14ac:dyDescent="0.3">
      <c r="L753" s="306"/>
      <c r="M753" s="306"/>
    </row>
    <row r="754" spans="12:13" ht="15.75" customHeight="1" x14ac:dyDescent="0.3">
      <c r="L754" s="306"/>
      <c r="M754" s="306"/>
    </row>
    <row r="755" spans="12:13" ht="15.75" customHeight="1" x14ac:dyDescent="0.3">
      <c r="L755" s="306"/>
      <c r="M755" s="306"/>
    </row>
    <row r="756" spans="12:13" ht="15.75" customHeight="1" x14ac:dyDescent="0.3">
      <c r="L756" s="306"/>
      <c r="M756" s="306"/>
    </row>
    <row r="757" spans="12:13" ht="15.75" customHeight="1" x14ac:dyDescent="0.3">
      <c r="L757" s="306"/>
      <c r="M757" s="306"/>
    </row>
    <row r="758" spans="12:13" ht="15.75" customHeight="1" x14ac:dyDescent="0.3">
      <c r="L758" s="306"/>
      <c r="M758" s="306"/>
    </row>
    <row r="759" spans="12:13" ht="15.75" customHeight="1" x14ac:dyDescent="0.3">
      <c r="L759" s="306"/>
      <c r="M759" s="306"/>
    </row>
    <row r="760" spans="12:13" ht="15.75" customHeight="1" x14ac:dyDescent="0.3">
      <c r="L760" s="306"/>
      <c r="M760" s="306"/>
    </row>
    <row r="761" spans="12:13" ht="15.75" customHeight="1" x14ac:dyDescent="0.3">
      <c r="L761" s="306"/>
      <c r="M761" s="306"/>
    </row>
    <row r="762" spans="12:13" ht="15.75" customHeight="1" x14ac:dyDescent="0.3">
      <c r="L762" s="306"/>
      <c r="M762" s="306"/>
    </row>
    <row r="763" spans="12:13" ht="15.75" customHeight="1" x14ac:dyDescent="0.3">
      <c r="L763" s="306"/>
      <c r="M763" s="306"/>
    </row>
    <row r="764" spans="12:13" ht="15.75" customHeight="1" x14ac:dyDescent="0.3">
      <c r="L764" s="306"/>
      <c r="M764" s="306"/>
    </row>
    <row r="765" spans="12:13" ht="15.75" customHeight="1" x14ac:dyDescent="0.3">
      <c r="L765" s="306"/>
      <c r="M765" s="306"/>
    </row>
    <row r="766" spans="12:13" ht="15.75" customHeight="1" x14ac:dyDescent="0.3">
      <c r="L766" s="306"/>
      <c r="M766" s="306"/>
    </row>
    <row r="767" spans="12:13" ht="15.75" customHeight="1" x14ac:dyDescent="0.3">
      <c r="L767" s="306"/>
      <c r="M767" s="306"/>
    </row>
    <row r="768" spans="12:13" ht="15.75" customHeight="1" x14ac:dyDescent="0.3">
      <c r="L768" s="306"/>
      <c r="M768" s="306"/>
    </row>
    <row r="769" spans="12:13" ht="15.75" customHeight="1" x14ac:dyDescent="0.3">
      <c r="L769" s="306"/>
      <c r="M769" s="306"/>
    </row>
    <row r="770" spans="12:13" ht="15.75" customHeight="1" x14ac:dyDescent="0.3">
      <c r="L770" s="306"/>
      <c r="M770" s="306"/>
    </row>
    <row r="771" spans="12:13" ht="15.75" customHeight="1" x14ac:dyDescent="0.3">
      <c r="L771" s="306"/>
      <c r="M771" s="306"/>
    </row>
    <row r="772" spans="12:13" ht="15.75" customHeight="1" x14ac:dyDescent="0.3">
      <c r="L772" s="306"/>
      <c r="M772" s="306"/>
    </row>
    <row r="773" spans="12:13" ht="15.75" customHeight="1" x14ac:dyDescent="0.3">
      <c r="L773" s="306"/>
      <c r="M773" s="306"/>
    </row>
    <row r="774" spans="12:13" ht="15.75" customHeight="1" x14ac:dyDescent="0.3">
      <c r="L774" s="306"/>
      <c r="M774" s="306"/>
    </row>
    <row r="775" spans="12:13" ht="15.75" customHeight="1" x14ac:dyDescent="0.3">
      <c r="L775" s="306"/>
      <c r="M775" s="306"/>
    </row>
    <row r="776" spans="12:13" ht="15.75" customHeight="1" x14ac:dyDescent="0.3">
      <c r="L776" s="306"/>
      <c r="M776" s="306"/>
    </row>
    <row r="777" spans="12:13" ht="15.75" customHeight="1" x14ac:dyDescent="0.3">
      <c r="L777" s="306"/>
      <c r="M777" s="306"/>
    </row>
    <row r="778" spans="12:13" ht="15.75" customHeight="1" x14ac:dyDescent="0.3">
      <c r="L778" s="306"/>
      <c r="M778" s="306"/>
    </row>
    <row r="779" spans="12:13" ht="15.75" customHeight="1" x14ac:dyDescent="0.3">
      <c r="L779" s="306"/>
      <c r="M779" s="306"/>
    </row>
    <row r="780" spans="12:13" ht="15.75" customHeight="1" x14ac:dyDescent="0.3">
      <c r="L780" s="306"/>
      <c r="M780" s="306"/>
    </row>
    <row r="781" spans="12:13" ht="15.75" customHeight="1" x14ac:dyDescent="0.3">
      <c r="L781" s="306"/>
      <c r="M781" s="306"/>
    </row>
    <row r="782" spans="12:13" ht="15.75" customHeight="1" x14ac:dyDescent="0.3">
      <c r="L782" s="306"/>
      <c r="M782" s="306"/>
    </row>
    <row r="783" spans="12:13" ht="15.75" customHeight="1" x14ac:dyDescent="0.3">
      <c r="L783" s="306"/>
      <c r="M783" s="306"/>
    </row>
    <row r="784" spans="12:13" ht="15.75" customHeight="1" x14ac:dyDescent="0.3">
      <c r="L784" s="306"/>
      <c r="M784" s="306"/>
    </row>
    <row r="785" spans="12:13" ht="15.75" customHeight="1" x14ac:dyDescent="0.3">
      <c r="L785" s="306"/>
      <c r="M785" s="306"/>
    </row>
    <row r="786" spans="12:13" ht="15.75" customHeight="1" x14ac:dyDescent="0.3">
      <c r="L786" s="306"/>
      <c r="M786" s="306"/>
    </row>
    <row r="787" spans="12:13" ht="15.75" customHeight="1" x14ac:dyDescent="0.3">
      <c r="L787" s="306"/>
      <c r="M787" s="306"/>
    </row>
    <row r="788" spans="12:13" ht="15.75" customHeight="1" x14ac:dyDescent="0.3">
      <c r="L788" s="306"/>
      <c r="M788" s="306"/>
    </row>
    <row r="789" spans="12:13" ht="15.75" customHeight="1" x14ac:dyDescent="0.3">
      <c r="L789" s="306"/>
      <c r="M789" s="306"/>
    </row>
    <row r="790" spans="12:13" ht="15.75" customHeight="1" x14ac:dyDescent="0.3">
      <c r="L790" s="306"/>
      <c r="M790" s="306"/>
    </row>
    <row r="791" spans="12:13" ht="15.75" customHeight="1" x14ac:dyDescent="0.3">
      <c r="L791" s="306"/>
      <c r="M791" s="306"/>
    </row>
    <row r="792" spans="12:13" ht="15.75" customHeight="1" x14ac:dyDescent="0.3">
      <c r="L792" s="306"/>
      <c r="M792" s="306"/>
    </row>
    <row r="793" spans="12:13" ht="15.75" customHeight="1" x14ac:dyDescent="0.3">
      <c r="L793" s="306"/>
      <c r="M793" s="306"/>
    </row>
    <row r="794" spans="12:13" ht="15.75" customHeight="1" x14ac:dyDescent="0.3">
      <c r="L794" s="306"/>
      <c r="M794" s="306"/>
    </row>
    <row r="795" spans="12:13" ht="15.75" customHeight="1" x14ac:dyDescent="0.3">
      <c r="L795" s="306"/>
      <c r="M795" s="306"/>
    </row>
    <row r="796" spans="12:13" ht="15.75" customHeight="1" x14ac:dyDescent="0.3">
      <c r="L796" s="306"/>
      <c r="M796" s="306"/>
    </row>
    <row r="797" spans="12:13" ht="15.75" customHeight="1" x14ac:dyDescent="0.3">
      <c r="L797" s="306"/>
      <c r="M797" s="306"/>
    </row>
    <row r="798" spans="12:13" ht="15.75" customHeight="1" x14ac:dyDescent="0.3">
      <c r="L798" s="306"/>
      <c r="M798" s="306"/>
    </row>
    <row r="799" spans="12:13" ht="15.75" customHeight="1" x14ac:dyDescent="0.3">
      <c r="L799" s="306"/>
      <c r="M799" s="306"/>
    </row>
    <row r="800" spans="12:13" ht="15.75" customHeight="1" x14ac:dyDescent="0.3">
      <c r="L800" s="306"/>
      <c r="M800" s="306"/>
    </row>
    <row r="801" spans="12:13" ht="15.75" customHeight="1" x14ac:dyDescent="0.3">
      <c r="L801" s="306"/>
      <c r="M801" s="306"/>
    </row>
    <row r="802" spans="12:13" ht="15.75" customHeight="1" x14ac:dyDescent="0.3">
      <c r="L802" s="306"/>
      <c r="M802" s="306"/>
    </row>
    <row r="803" spans="12:13" ht="15.75" customHeight="1" x14ac:dyDescent="0.3">
      <c r="L803" s="306"/>
      <c r="M803" s="306"/>
    </row>
    <row r="804" spans="12:13" ht="15.75" customHeight="1" x14ac:dyDescent="0.3">
      <c r="L804" s="306"/>
      <c r="M804" s="306"/>
    </row>
    <row r="805" spans="12:13" ht="15.75" customHeight="1" x14ac:dyDescent="0.3">
      <c r="L805" s="306"/>
      <c r="M805" s="306"/>
    </row>
    <row r="806" spans="12:13" ht="15.75" customHeight="1" x14ac:dyDescent="0.3">
      <c r="L806" s="306"/>
      <c r="M806" s="306"/>
    </row>
    <row r="807" spans="12:13" ht="15.75" customHeight="1" x14ac:dyDescent="0.3">
      <c r="L807" s="306"/>
      <c r="M807" s="306"/>
    </row>
    <row r="808" spans="12:13" ht="15.75" customHeight="1" x14ac:dyDescent="0.3">
      <c r="L808" s="306"/>
      <c r="M808" s="306"/>
    </row>
    <row r="809" spans="12:13" ht="15.75" customHeight="1" x14ac:dyDescent="0.3">
      <c r="L809" s="306"/>
      <c r="M809" s="306"/>
    </row>
    <row r="810" spans="12:13" ht="15.75" customHeight="1" x14ac:dyDescent="0.3">
      <c r="L810" s="306"/>
      <c r="M810" s="306"/>
    </row>
    <row r="811" spans="12:13" ht="15.75" customHeight="1" x14ac:dyDescent="0.3">
      <c r="L811" s="306"/>
      <c r="M811" s="306"/>
    </row>
    <row r="812" spans="12:13" ht="15.75" customHeight="1" x14ac:dyDescent="0.3">
      <c r="L812" s="306"/>
      <c r="M812" s="306"/>
    </row>
    <row r="813" spans="12:13" ht="15.75" customHeight="1" x14ac:dyDescent="0.3">
      <c r="L813" s="306"/>
      <c r="M813" s="306"/>
    </row>
    <row r="814" spans="12:13" ht="15.75" customHeight="1" x14ac:dyDescent="0.3">
      <c r="L814" s="306"/>
      <c r="M814" s="306"/>
    </row>
    <row r="815" spans="12:13" ht="15.75" customHeight="1" x14ac:dyDescent="0.3">
      <c r="L815" s="306"/>
      <c r="M815" s="306"/>
    </row>
    <row r="816" spans="12:13" ht="15.75" customHeight="1" x14ac:dyDescent="0.3">
      <c r="L816" s="306"/>
      <c r="M816" s="306"/>
    </row>
    <row r="817" spans="12:13" ht="15.75" customHeight="1" x14ac:dyDescent="0.3">
      <c r="L817" s="306"/>
      <c r="M817" s="306"/>
    </row>
    <row r="818" spans="12:13" ht="15.75" customHeight="1" x14ac:dyDescent="0.3">
      <c r="L818" s="306"/>
      <c r="M818" s="306"/>
    </row>
    <row r="819" spans="12:13" ht="15.75" customHeight="1" x14ac:dyDescent="0.3">
      <c r="L819" s="306"/>
      <c r="M819" s="306"/>
    </row>
    <row r="820" spans="12:13" ht="15.75" customHeight="1" x14ac:dyDescent="0.3">
      <c r="L820" s="306"/>
      <c r="M820" s="306"/>
    </row>
    <row r="821" spans="12:13" ht="15.75" customHeight="1" x14ac:dyDescent="0.3">
      <c r="L821" s="306"/>
      <c r="M821" s="306"/>
    </row>
    <row r="822" spans="12:13" ht="15.75" customHeight="1" x14ac:dyDescent="0.3">
      <c r="L822" s="306"/>
      <c r="M822" s="306"/>
    </row>
    <row r="823" spans="12:13" ht="15.75" customHeight="1" x14ac:dyDescent="0.3">
      <c r="L823" s="306"/>
      <c r="M823" s="306"/>
    </row>
    <row r="824" spans="12:13" ht="15.75" customHeight="1" x14ac:dyDescent="0.3">
      <c r="L824" s="306"/>
      <c r="M824" s="306"/>
    </row>
    <row r="825" spans="12:13" ht="15.75" customHeight="1" x14ac:dyDescent="0.3">
      <c r="L825" s="306"/>
      <c r="M825" s="306"/>
    </row>
    <row r="826" spans="12:13" ht="15.75" customHeight="1" x14ac:dyDescent="0.3">
      <c r="L826" s="306"/>
      <c r="M826" s="306"/>
    </row>
    <row r="827" spans="12:13" ht="15.75" customHeight="1" x14ac:dyDescent="0.3">
      <c r="L827" s="306"/>
      <c r="M827" s="306"/>
    </row>
    <row r="828" spans="12:13" ht="15.75" customHeight="1" x14ac:dyDescent="0.3">
      <c r="L828" s="306"/>
      <c r="M828" s="306"/>
    </row>
    <row r="829" spans="12:13" ht="15.75" customHeight="1" x14ac:dyDescent="0.3">
      <c r="L829" s="306"/>
      <c r="M829" s="306"/>
    </row>
    <row r="830" spans="12:13" ht="15.75" customHeight="1" x14ac:dyDescent="0.3">
      <c r="L830" s="306"/>
      <c r="M830" s="306"/>
    </row>
    <row r="831" spans="12:13" ht="15.75" customHeight="1" x14ac:dyDescent="0.3">
      <c r="L831" s="306"/>
      <c r="M831" s="306"/>
    </row>
    <row r="832" spans="12:13" ht="15.75" customHeight="1" x14ac:dyDescent="0.3">
      <c r="L832" s="306"/>
      <c r="M832" s="306"/>
    </row>
    <row r="833" spans="12:13" ht="15.75" customHeight="1" x14ac:dyDescent="0.3">
      <c r="L833" s="306"/>
      <c r="M833" s="306"/>
    </row>
    <row r="834" spans="12:13" ht="15.75" customHeight="1" x14ac:dyDescent="0.3">
      <c r="L834" s="306"/>
      <c r="M834" s="306"/>
    </row>
    <row r="835" spans="12:13" ht="15.75" customHeight="1" x14ac:dyDescent="0.3">
      <c r="L835" s="306"/>
      <c r="M835" s="306"/>
    </row>
    <row r="836" spans="12:13" ht="15.75" customHeight="1" x14ac:dyDescent="0.3">
      <c r="L836" s="306"/>
      <c r="M836" s="306"/>
    </row>
    <row r="837" spans="12:13" ht="15.75" customHeight="1" x14ac:dyDescent="0.3">
      <c r="L837" s="306"/>
      <c r="M837" s="306"/>
    </row>
    <row r="838" spans="12:13" ht="15.75" customHeight="1" x14ac:dyDescent="0.3">
      <c r="L838" s="306"/>
      <c r="M838" s="306"/>
    </row>
    <row r="839" spans="12:13" ht="15.75" customHeight="1" x14ac:dyDescent="0.3">
      <c r="L839" s="306"/>
      <c r="M839" s="306"/>
    </row>
    <row r="840" spans="12:13" ht="15.75" customHeight="1" x14ac:dyDescent="0.3">
      <c r="L840" s="306"/>
      <c r="M840" s="306"/>
    </row>
    <row r="841" spans="12:13" ht="15.75" customHeight="1" x14ac:dyDescent="0.3">
      <c r="L841" s="306"/>
      <c r="M841" s="306"/>
    </row>
    <row r="842" spans="12:13" ht="15.75" customHeight="1" x14ac:dyDescent="0.3">
      <c r="L842" s="306"/>
      <c r="M842" s="306"/>
    </row>
    <row r="843" spans="12:13" ht="15.75" customHeight="1" x14ac:dyDescent="0.3">
      <c r="L843" s="306"/>
      <c r="M843" s="306"/>
    </row>
    <row r="844" spans="12:13" ht="15.75" customHeight="1" x14ac:dyDescent="0.3">
      <c r="L844" s="306"/>
      <c r="M844" s="306"/>
    </row>
    <row r="845" spans="12:13" ht="15.75" customHeight="1" x14ac:dyDescent="0.3">
      <c r="L845" s="306"/>
      <c r="M845" s="306"/>
    </row>
    <row r="846" spans="12:13" ht="15.75" customHeight="1" x14ac:dyDescent="0.3">
      <c r="L846" s="306"/>
      <c r="M846" s="306"/>
    </row>
    <row r="847" spans="12:13" ht="15.75" customHeight="1" x14ac:dyDescent="0.3">
      <c r="L847" s="306"/>
      <c r="M847" s="306"/>
    </row>
    <row r="848" spans="12:13" ht="15.75" customHeight="1" x14ac:dyDescent="0.3">
      <c r="L848" s="306"/>
      <c r="M848" s="306"/>
    </row>
    <row r="849" spans="12:13" ht="15.75" customHeight="1" x14ac:dyDescent="0.3">
      <c r="L849" s="306"/>
      <c r="M849" s="306"/>
    </row>
    <row r="850" spans="12:13" ht="15.75" customHeight="1" x14ac:dyDescent="0.3">
      <c r="L850" s="306"/>
      <c r="M850" s="306"/>
    </row>
    <row r="851" spans="12:13" ht="15.75" customHeight="1" x14ac:dyDescent="0.3">
      <c r="L851" s="306"/>
      <c r="M851" s="306"/>
    </row>
    <row r="852" spans="12:13" ht="15.75" customHeight="1" x14ac:dyDescent="0.3">
      <c r="L852" s="306"/>
      <c r="M852" s="306"/>
    </row>
    <row r="853" spans="12:13" ht="15.75" customHeight="1" x14ac:dyDescent="0.3">
      <c r="L853" s="306"/>
      <c r="M853" s="306"/>
    </row>
    <row r="854" spans="12:13" ht="15.75" customHeight="1" x14ac:dyDescent="0.3">
      <c r="L854" s="306"/>
      <c r="M854" s="306"/>
    </row>
    <row r="855" spans="12:13" ht="15.75" customHeight="1" x14ac:dyDescent="0.3">
      <c r="L855" s="306"/>
      <c r="M855" s="306"/>
    </row>
    <row r="856" spans="12:13" ht="15.75" customHeight="1" x14ac:dyDescent="0.3">
      <c r="L856" s="306"/>
      <c r="M856" s="306"/>
    </row>
    <row r="857" spans="12:13" ht="15.75" customHeight="1" x14ac:dyDescent="0.3">
      <c r="L857" s="306"/>
      <c r="M857" s="306"/>
    </row>
    <row r="858" spans="12:13" ht="15.75" customHeight="1" x14ac:dyDescent="0.3">
      <c r="L858" s="306"/>
      <c r="M858" s="306"/>
    </row>
    <row r="859" spans="12:13" ht="15.75" customHeight="1" x14ac:dyDescent="0.3">
      <c r="L859" s="306"/>
      <c r="M859" s="306"/>
    </row>
    <row r="860" spans="12:13" ht="15.75" customHeight="1" x14ac:dyDescent="0.3">
      <c r="L860" s="306"/>
      <c r="M860" s="306"/>
    </row>
    <row r="861" spans="12:13" ht="15.75" customHeight="1" x14ac:dyDescent="0.3">
      <c r="L861" s="306"/>
      <c r="M861" s="306"/>
    </row>
    <row r="862" spans="12:13" ht="15.75" customHeight="1" x14ac:dyDescent="0.3">
      <c r="L862" s="306"/>
      <c r="M862" s="306"/>
    </row>
    <row r="863" spans="12:13" ht="15.75" customHeight="1" x14ac:dyDescent="0.3">
      <c r="L863" s="306"/>
      <c r="M863" s="306"/>
    </row>
    <row r="864" spans="12:13" ht="15.75" customHeight="1" x14ac:dyDescent="0.3">
      <c r="L864" s="306"/>
      <c r="M864" s="306"/>
    </row>
    <row r="865" spans="12:13" ht="15.75" customHeight="1" x14ac:dyDescent="0.3">
      <c r="L865" s="306"/>
      <c r="M865" s="306"/>
    </row>
    <row r="866" spans="12:13" ht="15.75" customHeight="1" x14ac:dyDescent="0.3">
      <c r="L866" s="306"/>
      <c r="M866" s="306"/>
    </row>
    <row r="867" spans="12:13" ht="15.75" customHeight="1" x14ac:dyDescent="0.3">
      <c r="L867" s="306"/>
      <c r="M867" s="306"/>
    </row>
    <row r="868" spans="12:13" ht="15.75" customHeight="1" x14ac:dyDescent="0.3">
      <c r="L868" s="306"/>
      <c r="M868" s="306"/>
    </row>
    <row r="869" spans="12:13" ht="15.75" customHeight="1" x14ac:dyDescent="0.3">
      <c r="L869" s="306"/>
      <c r="M869" s="306"/>
    </row>
    <row r="870" spans="12:13" ht="15.75" customHeight="1" x14ac:dyDescent="0.3">
      <c r="L870" s="306"/>
      <c r="M870" s="306"/>
    </row>
    <row r="871" spans="12:13" ht="15.75" customHeight="1" x14ac:dyDescent="0.3">
      <c r="L871" s="306"/>
      <c r="M871" s="306"/>
    </row>
    <row r="872" spans="12:13" ht="15.75" customHeight="1" x14ac:dyDescent="0.3">
      <c r="L872" s="306"/>
      <c r="M872" s="306"/>
    </row>
    <row r="873" spans="12:13" ht="15.75" customHeight="1" x14ac:dyDescent="0.3">
      <c r="L873" s="306"/>
      <c r="M873" s="306"/>
    </row>
    <row r="874" spans="12:13" ht="15.75" customHeight="1" x14ac:dyDescent="0.3">
      <c r="L874" s="306"/>
      <c r="M874" s="306"/>
    </row>
    <row r="875" spans="12:13" ht="15.75" customHeight="1" x14ac:dyDescent="0.3">
      <c r="L875" s="306"/>
      <c r="M875" s="306"/>
    </row>
    <row r="876" spans="12:13" ht="15.75" customHeight="1" x14ac:dyDescent="0.3">
      <c r="L876" s="306"/>
      <c r="M876" s="306"/>
    </row>
    <row r="877" spans="12:13" ht="15.75" customHeight="1" x14ac:dyDescent="0.3">
      <c r="L877" s="306"/>
      <c r="M877" s="306"/>
    </row>
    <row r="878" spans="12:13" ht="15.75" customHeight="1" x14ac:dyDescent="0.3">
      <c r="L878" s="306"/>
      <c r="M878" s="306"/>
    </row>
    <row r="879" spans="12:13" ht="15.75" customHeight="1" x14ac:dyDescent="0.3">
      <c r="L879" s="306"/>
      <c r="M879" s="306"/>
    </row>
    <row r="880" spans="12:13" ht="15.75" customHeight="1" x14ac:dyDescent="0.3">
      <c r="L880" s="306"/>
      <c r="M880" s="306"/>
    </row>
    <row r="881" spans="12:13" ht="15.75" customHeight="1" x14ac:dyDescent="0.3">
      <c r="L881" s="306"/>
      <c r="M881" s="306"/>
    </row>
    <row r="882" spans="12:13" ht="15.75" customHeight="1" x14ac:dyDescent="0.3">
      <c r="L882" s="306"/>
      <c r="M882" s="306"/>
    </row>
    <row r="883" spans="12:13" ht="15.75" customHeight="1" x14ac:dyDescent="0.3">
      <c r="L883" s="306"/>
      <c r="M883" s="306"/>
    </row>
    <row r="884" spans="12:13" ht="15.75" customHeight="1" x14ac:dyDescent="0.3">
      <c r="L884" s="306"/>
      <c r="M884" s="306"/>
    </row>
    <row r="885" spans="12:13" ht="15.75" customHeight="1" x14ac:dyDescent="0.3">
      <c r="L885" s="306"/>
      <c r="M885" s="306"/>
    </row>
    <row r="886" spans="12:13" ht="15.75" customHeight="1" x14ac:dyDescent="0.3">
      <c r="L886" s="306"/>
      <c r="M886" s="306"/>
    </row>
    <row r="887" spans="12:13" ht="15.75" customHeight="1" x14ac:dyDescent="0.3">
      <c r="L887" s="306"/>
      <c r="M887" s="306"/>
    </row>
    <row r="888" spans="12:13" ht="15.75" customHeight="1" x14ac:dyDescent="0.3">
      <c r="L888" s="306"/>
      <c r="M888" s="306"/>
    </row>
    <row r="889" spans="12:13" ht="15.75" customHeight="1" x14ac:dyDescent="0.3">
      <c r="L889" s="306"/>
      <c r="M889" s="306"/>
    </row>
    <row r="890" spans="12:13" ht="15.75" customHeight="1" x14ac:dyDescent="0.3">
      <c r="L890" s="306"/>
      <c r="M890" s="306"/>
    </row>
    <row r="891" spans="12:13" ht="15.75" customHeight="1" x14ac:dyDescent="0.3">
      <c r="L891" s="306"/>
      <c r="M891" s="306"/>
    </row>
    <row r="892" spans="12:13" ht="15.75" customHeight="1" x14ac:dyDescent="0.3">
      <c r="L892" s="306"/>
      <c r="M892" s="306"/>
    </row>
    <row r="893" spans="12:13" ht="15.75" customHeight="1" x14ac:dyDescent="0.3">
      <c r="L893" s="306"/>
      <c r="M893" s="306"/>
    </row>
    <row r="894" spans="12:13" ht="15.75" customHeight="1" x14ac:dyDescent="0.3">
      <c r="L894" s="306"/>
      <c r="M894" s="306"/>
    </row>
    <row r="895" spans="12:13" ht="15.75" customHeight="1" x14ac:dyDescent="0.3">
      <c r="L895" s="306"/>
      <c r="M895" s="306"/>
    </row>
    <row r="896" spans="12:13" ht="15.75" customHeight="1" x14ac:dyDescent="0.3">
      <c r="L896" s="306"/>
      <c r="M896" s="306"/>
    </row>
    <row r="897" spans="12:13" ht="15.75" customHeight="1" x14ac:dyDescent="0.3">
      <c r="L897" s="306"/>
      <c r="M897" s="306"/>
    </row>
    <row r="898" spans="12:13" ht="15.75" customHeight="1" x14ac:dyDescent="0.3">
      <c r="L898" s="306"/>
      <c r="M898" s="306"/>
    </row>
    <row r="899" spans="12:13" ht="15.75" customHeight="1" x14ac:dyDescent="0.3">
      <c r="L899" s="306"/>
      <c r="M899" s="306"/>
    </row>
    <row r="900" spans="12:13" ht="15.75" customHeight="1" x14ac:dyDescent="0.3">
      <c r="L900" s="306"/>
      <c r="M900" s="306"/>
    </row>
    <row r="901" spans="12:13" ht="15.75" customHeight="1" x14ac:dyDescent="0.3">
      <c r="L901" s="306"/>
      <c r="M901" s="306"/>
    </row>
    <row r="902" spans="12:13" ht="15.75" customHeight="1" x14ac:dyDescent="0.3">
      <c r="L902" s="306"/>
      <c r="M902" s="306"/>
    </row>
    <row r="903" spans="12:13" ht="15.75" customHeight="1" x14ac:dyDescent="0.3">
      <c r="L903" s="306"/>
      <c r="M903" s="306"/>
    </row>
    <row r="904" spans="12:13" ht="15.75" customHeight="1" x14ac:dyDescent="0.3">
      <c r="L904" s="306"/>
      <c r="M904" s="306"/>
    </row>
    <row r="905" spans="12:13" ht="15.75" customHeight="1" x14ac:dyDescent="0.3">
      <c r="L905" s="306"/>
      <c r="M905" s="306"/>
    </row>
    <row r="906" spans="12:13" ht="15.75" customHeight="1" x14ac:dyDescent="0.3">
      <c r="L906" s="306"/>
      <c r="M906" s="306"/>
    </row>
    <row r="907" spans="12:13" ht="15.75" customHeight="1" x14ac:dyDescent="0.3">
      <c r="L907" s="306"/>
      <c r="M907" s="306"/>
    </row>
    <row r="908" spans="12:13" ht="15.75" customHeight="1" x14ac:dyDescent="0.3">
      <c r="L908" s="306"/>
      <c r="M908" s="306"/>
    </row>
    <row r="909" spans="12:13" ht="15.75" customHeight="1" x14ac:dyDescent="0.3">
      <c r="L909" s="306"/>
      <c r="M909" s="306"/>
    </row>
    <row r="910" spans="12:13" ht="15.75" customHeight="1" x14ac:dyDescent="0.3">
      <c r="L910" s="306"/>
      <c r="M910" s="306"/>
    </row>
    <row r="911" spans="12:13" ht="15.75" customHeight="1" x14ac:dyDescent="0.3">
      <c r="L911" s="306"/>
      <c r="M911" s="306"/>
    </row>
    <row r="912" spans="12:13" ht="15.75" customHeight="1" x14ac:dyDescent="0.3">
      <c r="L912" s="306"/>
      <c r="M912" s="306"/>
    </row>
    <row r="913" spans="12:13" ht="15.75" customHeight="1" x14ac:dyDescent="0.3">
      <c r="L913" s="306"/>
      <c r="M913" s="306"/>
    </row>
    <row r="914" spans="12:13" ht="15.75" customHeight="1" x14ac:dyDescent="0.3">
      <c r="L914" s="306"/>
      <c r="M914" s="306"/>
    </row>
    <row r="915" spans="12:13" ht="15.75" customHeight="1" x14ac:dyDescent="0.3">
      <c r="L915" s="306"/>
      <c r="M915" s="306"/>
    </row>
    <row r="916" spans="12:13" ht="15.75" customHeight="1" x14ac:dyDescent="0.3">
      <c r="L916" s="306"/>
      <c r="M916" s="306"/>
    </row>
    <row r="917" spans="12:13" ht="15.75" customHeight="1" x14ac:dyDescent="0.3">
      <c r="L917" s="306"/>
      <c r="M917" s="306"/>
    </row>
    <row r="918" spans="12:13" ht="15.75" customHeight="1" x14ac:dyDescent="0.3">
      <c r="L918" s="306"/>
      <c r="M918" s="306"/>
    </row>
    <row r="919" spans="12:13" ht="15.75" customHeight="1" x14ac:dyDescent="0.3">
      <c r="L919" s="306"/>
      <c r="M919" s="306"/>
    </row>
    <row r="920" spans="12:13" ht="15.75" customHeight="1" x14ac:dyDescent="0.3">
      <c r="L920" s="306"/>
      <c r="M920" s="306"/>
    </row>
    <row r="921" spans="12:13" ht="15.75" customHeight="1" x14ac:dyDescent="0.3">
      <c r="L921" s="306"/>
      <c r="M921" s="306"/>
    </row>
    <row r="922" spans="12:13" ht="15.75" customHeight="1" x14ac:dyDescent="0.3">
      <c r="L922" s="306"/>
      <c r="M922" s="306"/>
    </row>
    <row r="923" spans="12:13" ht="15.75" customHeight="1" x14ac:dyDescent="0.3">
      <c r="L923" s="306"/>
      <c r="M923" s="306"/>
    </row>
    <row r="924" spans="12:13" ht="15.75" customHeight="1" x14ac:dyDescent="0.3">
      <c r="L924" s="306"/>
      <c r="M924" s="306"/>
    </row>
    <row r="925" spans="12:13" ht="15.75" customHeight="1" x14ac:dyDescent="0.3">
      <c r="L925" s="306"/>
      <c r="M925" s="306"/>
    </row>
    <row r="926" spans="12:13" ht="15.75" customHeight="1" x14ac:dyDescent="0.3">
      <c r="L926" s="306"/>
      <c r="M926" s="306"/>
    </row>
    <row r="927" spans="12:13" ht="15.75" customHeight="1" x14ac:dyDescent="0.3">
      <c r="L927" s="306"/>
      <c r="M927" s="306"/>
    </row>
    <row r="928" spans="12:13" ht="15.75" customHeight="1" x14ac:dyDescent="0.3">
      <c r="L928" s="306"/>
      <c r="M928" s="306"/>
    </row>
    <row r="929" spans="12:13" ht="15.75" customHeight="1" x14ac:dyDescent="0.3">
      <c r="L929" s="306"/>
      <c r="M929" s="306"/>
    </row>
    <row r="930" spans="12:13" ht="15.75" customHeight="1" x14ac:dyDescent="0.3">
      <c r="L930" s="306"/>
      <c r="M930" s="306"/>
    </row>
    <row r="931" spans="12:13" ht="15.75" customHeight="1" x14ac:dyDescent="0.3">
      <c r="L931" s="306"/>
      <c r="M931" s="306"/>
    </row>
    <row r="932" spans="12:13" ht="15.75" customHeight="1" x14ac:dyDescent="0.3">
      <c r="L932" s="306"/>
      <c r="M932" s="306"/>
    </row>
    <row r="933" spans="12:13" ht="15.75" customHeight="1" x14ac:dyDescent="0.3">
      <c r="L933" s="306"/>
      <c r="M933" s="306"/>
    </row>
    <row r="934" spans="12:13" ht="15.75" customHeight="1" x14ac:dyDescent="0.3">
      <c r="L934" s="306"/>
      <c r="M934" s="306"/>
    </row>
    <row r="935" spans="12:13" ht="15.75" customHeight="1" x14ac:dyDescent="0.3">
      <c r="L935" s="306"/>
      <c r="M935" s="306"/>
    </row>
    <row r="936" spans="12:13" ht="15.75" customHeight="1" x14ac:dyDescent="0.3">
      <c r="L936" s="306"/>
      <c r="M936" s="306"/>
    </row>
    <row r="937" spans="12:13" ht="15.75" customHeight="1" x14ac:dyDescent="0.3">
      <c r="L937" s="306"/>
      <c r="M937" s="306"/>
    </row>
    <row r="938" spans="12:13" ht="15.75" customHeight="1" x14ac:dyDescent="0.3">
      <c r="L938" s="306"/>
      <c r="M938" s="306"/>
    </row>
    <row r="939" spans="12:13" ht="15.75" customHeight="1" x14ac:dyDescent="0.3">
      <c r="L939" s="306"/>
      <c r="M939" s="306"/>
    </row>
    <row r="940" spans="12:13" ht="15.75" customHeight="1" x14ac:dyDescent="0.3">
      <c r="L940" s="306"/>
      <c r="M940" s="306"/>
    </row>
    <row r="941" spans="12:13" ht="15.75" customHeight="1" x14ac:dyDescent="0.3">
      <c r="L941" s="306"/>
      <c r="M941" s="306"/>
    </row>
    <row r="942" spans="12:13" ht="15.75" customHeight="1" x14ac:dyDescent="0.3">
      <c r="L942" s="306"/>
      <c r="M942" s="306"/>
    </row>
    <row r="943" spans="12:13" ht="15.75" customHeight="1" x14ac:dyDescent="0.3">
      <c r="L943" s="306"/>
      <c r="M943" s="306"/>
    </row>
    <row r="944" spans="12:13" ht="15.75" customHeight="1" x14ac:dyDescent="0.3">
      <c r="L944" s="306"/>
      <c r="M944" s="306"/>
    </row>
    <row r="945" spans="12:13" ht="15.75" customHeight="1" x14ac:dyDescent="0.3">
      <c r="L945" s="306"/>
      <c r="M945" s="306"/>
    </row>
    <row r="946" spans="12:13" ht="15.75" customHeight="1" x14ac:dyDescent="0.3">
      <c r="L946" s="306"/>
      <c r="M946" s="306"/>
    </row>
    <row r="947" spans="12:13" ht="15.75" customHeight="1" x14ac:dyDescent="0.3">
      <c r="L947" s="306"/>
      <c r="M947" s="306"/>
    </row>
    <row r="948" spans="12:13" ht="15.75" customHeight="1" x14ac:dyDescent="0.3">
      <c r="L948" s="306"/>
      <c r="M948" s="306"/>
    </row>
    <row r="949" spans="12:13" ht="15.75" customHeight="1" x14ac:dyDescent="0.3">
      <c r="L949" s="306"/>
      <c r="M949" s="306"/>
    </row>
    <row r="950" spans="12:13" ht="15.75" customHeight="1" x14ac:dyDescent="0.3">
      <c r="L950" s="306"/>
      <c r="M950" s="306"/>
    </row>
    <row r="951" spans="12:13" ht="15.75" customHeight="1" x14ac:dyDescent="0.3">
      <c r="L951" s="306"/>
      <c r="M951" s="306"/>
    </row>
    <row r="952" spans="12:13" ht="15.75" customHeight="1" x14ac:dyDescent="0.3">
      <c r="L952" s="306"/>
      <c r="M952" s="306"/>
    </row>
    <row r="953" spans="12:13" ht="15.75" customHeight="1" x14ac:dyDescent="0.3">
      <c r="L953" s="306"/>
      <c r="M953" s="306"/>
    </row>
    <row r="954" spans="12:13" ht="15.75" customHeight="1" x14ac:dyDescent="0.3">
      <c r="L954" s="306"/>
      <c r="M954" s="306"/>
    </row>
    <row r="955" spans="12:13" ht="15.75" customHeight="1" x14ac:dyDescent="0.3">
      <c r="L955" s="306"/>
      <c r="M955" s="306"/>
    </row>
    <row r="956" spans="12:13" ht="15.75" customHeight="1" x14ac:dyDescent="0.3">
      <c r="L956" s="306"/>
      <c r="M956" s="306"/>
    </row>
    <row r="957" spans="12:13" ht="15.75" customHeight="1" x14ac:dyDescent="0.3">
      <c r="L957" s="306"/>
      <c r="M957" s="306"/>
    </row>
    <row r="958" spans="12:13" ht="15.75" customHeight="1" x14ac:dyDescent="0.3">
      <c r="L958" s="306"/>
      <c r="M958" s="306"/>
    </row>
    <row r="959" spans="12:13" ht="15.75" customHeight="1" x14ac:dyDescent="0.3">
      <c r="L959" s="306"/>
      <c r="M959" s="306"/>
    </row>
    <row r="960" spans="12:13" ht="15.75" customHeight="1" x14ac:dyDescent="0.3">
      <c r="L960" s="306"/>
      <c r="M960" s="306"/>
    </row>
    <row r="961" spans="12:13" ht="15.75" customHeight="1" x14ac:dyDescent="0.3">
      <c r="L961" s="306"/>
      <c r="M961" s="306"/>
    </row>
    <row r="962" spans="12:13" ht="15.75" customHeight="1" x14ac:dyDescent="0.3">
      <c r="L962" s="306"/>
      <c r="M962" s="306"/>
    </row>
    <row r="963" spans="12:13" ht="15.75" customHeight="1" x14ac:dyDescent="0.3">
      <c r="L963" s="306"/>
      <c r="M963" s="306"/>
    </row>
    <row r="964" spans="12:13" ht="15.75" customHeight="1" x14ac:dyDescent="0.3">
      <c r="L964" s="306"/>
      <c r="M964" s="306"/>
    </row>
    <row r="965" spans="12:13" ht="15.75" customHeight="1" x14ac:dyDescent="0.3">
      <c r="L965" s="306"/>
      <c r="M965" s="306"/>
    </row>
    <row r="966" spans="12:13" ht="15.75" customHeight="1" x14ac:dyDescent="0.3">
      <c r="L966" s="306"/>
      <c r="M966" s="306"/>
    </row>
    <row r="967" spans="12:13" ht="15.75" customHeight="1" x14ac:dyDescent="0.3">
      <c r="L967" s="306"/>
      <c r="M967" s="306"/>
    </row>
    <row r="968" spans="12:13" ht="15.75" customHeight="1" x14ac:dyDescent="0.3">
      <c r="L968" s="306"/>
      <c r="M968" s="306"/>
    </row>
    <row r="969" spans="12:13" ht="15.75" customHeight="1" x14ac:dyDescent="0.3">
      <c r="L969" s="306"/>
      <c r="M969" s="306"/>
    </row>
    <row r="970" spans="12:13" ht="15.75" customHeight="1" x14ac:dyDescent="0.3">
      <c r="L970" s="306"/>
      <c r="M970" s="306"/>
    </row>
    <row r="971" spans="12:13" ht="15.75" customHeight="1" x14ac:dyDescent="0.3">
      <c r="L971" s="306"/>
      <c r="M971" s="306"/>
    </row>
    <row r="972" spans="12:13" ht="15.75" customHeight="1" x14ac:dyDescent="0.3">
      <c r="L972" s="306"/>
      <c r="M972" s="306"/>
    </row>
    <row r="973" spans="12:13" ht="15.75" customHeight="1" x14ac:dyDescent="0.3">
      <c r="L973" s="306"/>
      <c r="M973" s="306"/>
    </row>
    <row r="974" spans="12:13" ht="15.75" customHeight="1" x14ac:dyDescent="0.3">
      <c r="L974" s="306"/>
      <c r="M974" s="306"/>
    </row>
    <row r="975" spans="12:13" ht="15.75" customHeight="1" x14ac:dyDescent="0.3">
      <c r="L975" s="306"/>
      <c r="M975" s="306"/>
    </row>
    <row r="976" spans="12:13" ht="15.75" customHeight="1" x14ac:dyDescent="0.3">
      <c r="L976" s="306"/>
      <c r="M976" s="306"/>
    </row>
    <row r="977" spans="12:13" ht="15.75" customHeight="1" x14ac:dyDescent="0.3">
      <c r="L977" s="306"/>
      <c r="M977" s="306"/>
    </row>
    <row r="978" spans="12:13" ht="15.75" customHeight="1" x14ac:dyDescent="0.3">
      <c r="L978" s="306"/>
      <c r="M978" s="306"/>
    </row>
    <row r="979" spans="12:13" ht="15.75" customHeight="1" x14ac:dyDescent="0.3">
      <c r="L979" s="306"/>
      <c r="M979" s="306"/>
    </row>
    <row r="980" spans="12:13" ht="15.75" customHeight="1" x14ac:dyDescent="0.3">
      <c r="L980" s="306"/>
      <c r="M980" s="306"/>
    </row>
    <row r="981" spans="12:13" ht="15.75" customHeight="1" x14ac:dyDescent="0.3">
      <c r="L981" s="306"/>
      <c r="M981" s="306"/>
    </row>
    <row r="982" spans="12:13" ht="15.75" customHeight="1" x14ac:dyDescent="0.3">
      <c r="L982" s="306"/>
      <c r="M982" s="306"/>
    </row>
    <row r="983" spans="12:13" ht="15.75" customHeight="1" x14ac:dyDescent="0.3">
      <c r="L983" s="306"/>
      <c r="M983" s="306"/>
    </row>
    <row r="984" spans="12:13" ht="15.75" customHeight="1" x14ac:dyDescent="0.3">
      <c r="L984" s="306"/>
      <c r="M984" s="306"/>
    </row>
    <row r="985" spans="12:13" ht="15.75" customHeight="1" x14ac:dyDescent="0.3">
      <c r="L985" s="306"/>
      <c r="M985" s="306"/>
    </row>
    <row r="986" spans="12:13" ht="15.75" customHeight="1" x14ac:dyDescent="0.3">
      <c r="L986" s="306"/>
      <c r="M986" s="306"/>
    </row>
    <row r="987" spans="12:13" ht="15.75" customHeight="1" x14ac:dyDescent="0.3">
      <c r="L987" s="306"/>
      <c r="M987" s="306"/>
    </row>
    <row r="988" spans="12:13" ht="15.75" customHeight="1" x14ac:dyDescent="0.3">
      <c r="L988" s="306"/>
      <c r="M988" s="306"/>
    </row>
    <row r="989" spans="12:13" ht="15.75" customHeight="1" x14ac:dyDescent="0.3">
      <c r="L989" s="306"/>
      <c r="M989" s="306"/>
    </row>
    <row r="990" spans="12:13" ht="15.75" customHeight="1" x14ac:dyDescent="0.3">
      <c r="L990" s="306"/>
      <c r="M990" s="306"/>
    </row>
    <row r="991" spans="12:13" ht="15.75" customHeight="1" x14ac:dyDescent="0.3">
      <c r="L991" s="306"/>
      <c r="M991" s="306"/>
    </row>
    <row r="992" spans="12:13" ht="15.75" customHeight="1" x14ac:dyDescent="0.3">
      <c r="L992" s="306"/>
      <c r="M992" s="306"/>
    </row>
    <row r="993" spans="12:13" ht="15.75" customHeight="1" x14ac:dyDescent="0.3">
      <c r="L993" s="306"/>
      <c r="M993" s="306"/>
    </row>
    <row r="994" spans="12:13" ht="15.75" customHeight="1" x14ac:dyDescent="0.3">
      <c r="L994" s="306"/>
      <c r="M994" s="306"/>
    </row>
    <row r="995" spans="12:13" ht="15.75" customHeight="1" x14ac:dyDescent="0.3">
      <c r="L995" s="306"/>
      <c r="M995" s="306"/>
    </row>
    <row r="996" spans="12:13" ht="15.75" customHeight="1" x14ac:dyDescent="0.3">
      <c r="L996" s="306"/>
      <c r="M996" s="306"/>
    </row>
    <row r="997" spans="12:13" ht="15.75" customHeight="1" x14ac:dyDescent="0.3">
      <c r="L997" s="306"/>
      <c r="M997" s="306"/>
    </row>
    <row r="998" spans="12:13" ht="15.75" customHeight="1" x14ac:dyDescent="0.3">
      <c r="L998" s="306"/>
      <c r="M998" s="306"/>
    </row>
    <row r="999" spans="12:13" ht="15.75" customHeight="1" x14ac:dyDescent="0.3">
      <c r="L999" s="306"/>
      <c r="M999" s="306"/>
    </row>
    <row r="1000" spans="12:13" ht="15.75" customHeight="1" x14ac:dyDescent="0.3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2" priority="1" operator="containsText" text="Oil and Gas">
      <formula>NOT(ISERROR(SEARCH(("Oil and Gas"),(I39))))</formula>
    </cfRule>
  </conditionalFormatting>
  <conditionalFormatting sqref="I39:I71">
    <cfRule type="containsText" dxfId="61" priority="2" operator="containsText" text="Oil">
      <formula>NOT(ISERROR(SEARCH(("Oil"),(I39))))</formula>
    </cfRule>
  </conditionalFormatting>
  <conditionalFormatting sqref="I39:I71">
    <cfRule type="containsText" dxfId="60" priority="3" operator="containsText" text="Gas">
      <formula>NOT(ISERROR(SEARCH(("Gas"),(I39))))</formula>
    </cfRule>
  </conditionalFormatting>
  <conditionalFormatting sqref="K6:K28">
    <cfRule type="containsBlanks" dxfId="59" priority="4">
      <formula>LEN(TRIM(K6))=0</formula>
    </cfRule>
  </conditionalFormatting>
  <conditionalFormatting sqref="AT6">
    <cfRule type="containsBlanks" dxfId="58" priority="5">
      <formula>LEN(TRIM(AT6))=0</formula>
    </cfRule>
  </conditionalFormatting>
  <conditionalFormatting sqref="K88:K107">
    <cfRule type="containsBlanks" dxfId="57" priority="6">
      <formula>LEN(TRIM(K88))=0</formula>
    </cfRule>
  </conditionalFormatting>
  <conditionalFormatting sqref="I72:I74">
    <cfRule type="containsText" dxfId="56" priority="7" operator="containsText" text="Oil and Gas">
      <formula>NOT(ISERROR(SEARCH(("Oil and Gas"),(I72))))</formula>
    </cfRule>
  </conditionalFormatting>
  <conditionalFormatting sqref="I72:I74">
    <cfRule type="containsText" dxfId="55" priority="8" operator="containsText" text="Oil">
      <formula>NOT(ISERROR(SEARCH(("Oil"),(I72))))</formula>
    </cfRule>
  </conditionalFormatting>
  <conditionalFormatting sqref="I72:I74">
    <cfRule type="containsText" dxfId="54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abSelected="1" topLeftCell="J194" zoomScale="70" zoomScaleNormal="70" workbookViewId="0">
      <selection activeCell="O211" sqref="O211:R211"/>
    </sheetView>
  </sheetViews>
  <sheetFormatPr baseColWidth="10" defaultColWidth="14.44140625" defaultRowHeight="15" customHeight="1" x14ac:dyDescent="0.3"/>
  <cols>
    <col min="1" max="2" width="10.6640625" customWidth="1"/>
    <col min="3" max="3" width="26.5546875" customWidth="1"/>
    <col min="4" max="4" width="12" customWidth="1"/>
    <col min="5" max="8" width="10.6640625" customWidth="1"/>
    <col min="9" max="9" width="27.33203125" customWidth="1"/>
    <col min="10" max="10" width="30.5546875" customWidth="1"/>
    <col min="11" max="11" width="10.6640625" customWidth="1"/>
    <col min="12" max="12" width="7.109375" customWidth="1"/>
    <col min="13" max="13" width="20" customWidth="1"/>
    <col min="14" max="14" width="13.44140625" customWidth="1"/>
    <col min="15" max="15" width="10.6640625" customWidth="1"/>
    <col min="16" max="16" width="14.44140625" customWidth="1"/>
    <col min="17" max="17" width="10.6640625" customWidth="1"/>
    <col min="18" max="18" width="15.5546875" customWidth="1"/>
    <col min="19" max="19" width="13.6640625" customWidth="1"/>
    <col min="20" max="20" width="11.44140625" customWidth="1"/>
    <col min="21" max="24" width="10.6640625" customWidth="1"/>
    <col min="25" max="26" width="13.44140625" customWidth="1"/>
    <col min="27" max="27" width="10.6640625" customWidth="1"/>
    <col min="28" max="28" width="12.6640625" customWidth="1"/>
    <col min="29" max="29" width="11.88671875" customWidth="1"/>
    <col min="30" max="33" width="10.6640625" customWidth="1"/>
    <col min="34" max="35" width="7.6640625" customWidth="1"/>
    <col min="36" max="36" width="8.88671875" customWidth="1"/>
    <col min="37" max="47" width="7.6640625" customWidth="1"/>
    <col min="48" max="79" width="8.6640625" customWidth="1"/>
    <col min="80" max="80" width="7.6640625" customWidth="1"/>
    <col min="81" max="81" width="8.88671875" customWidth="1"/>
    <col min="82" max="92" width="7.6640625" customWidth="1"/>
    <col min="93" max="121" width="8.6640625" customWidth="1"/>
  </cols>
  <sheetData>
    <row r="1" spans="2:106" ht="14.4" x14ac:dyDescent="0.3">
      <c r="CV1" s="1"/>
      <c r="CW1" s="1"/>
      <c r="CX1" s="1"/>
      <c r="CY1" s="1"/>
      <c r="CZ1" s="1"/>
      <c r="DA1" s="1"/>
      <c r="DB1" s="1"/>
    </row>
    <row r="2" spans="2:106" ht="14.4" x14ac:dyDescent="0.3">
      <c r="CV2" s="1"/>
      <c r="CW2" s="1"/>
      <c r="CX2" s="1"/>
      <c r="CY2" s="1"/>
      <c r="CZ2" s="1"/>
      <c r="DA2" s="1"/>
      <c r="DB2" s="1"/>
    </row>
    <row r="3" spans="2:106" ht="18" x14ac:dyDescent="0.3">
      <c r="N3" s="14" t="s">
        <v>1297</v>
      </c>
      <c r="O3" s="14" t="s">
        <v>1297</v>
      </c>
      <c r="P3" s="14" t="s">
        <v>1297</v>
      </c>
      <c r="Q3" s="14" t="s">
        <v>1297</v>
      </c>
      <c r="R3" s="14" t="s">
        <v>1297</v>
      </c>
      <c r="S3" s="14" t="s">
        <v>1297</v>
      </c>
      <c r="T3" s="14" t="s">
        <v>1297</v>
      </c>
      <c r="U3" s="14" t="s">
        <v>1297</v>
      </c>
      <c r="V3" s="14" t="s">
        <v>1297</v>
      </c>
      <c r="W3" s="14" t="s">
        <v>1297</v>
      </c>
      <c r="X3" s="14" t="s">
        <v>1297</v>
      </c>
      <c r="Y3" s="14" t="s">
        <v>1298</v>
      </c>
      <c r="Z3" s="14" t="s">
        <v>1297</v>
      </c>
      <c r="AA3" s="1"/>
      <c r="AB3" s="1031">
        <v>2019</v>
      </c>
      <c r="AC3" s="980"/>
      <c r="AD3" s="980"/>
      <c r="AE3" s="980"/>
      <c r="AF3" s="981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6" x14ac:dyDescent="0.3">
      <c r="D4" s="14" t="s">
        <v>477</v>
      </c>
      <c r="E4" s="14" t="s">
        <v>478</v>
      </c>
      <c r="I4" s="428" t="s">
        <v>1125</v>
      </c>
      <c r="J4" s="428" t="s">
        <v>1126</v>
      </c>
      <c r="K4" s="428" t="s">
        <v>1127</v>
      </c>
      <c r="L4" s="429"/>
      <c r="M4" s="428" t="str">
        <f>+'5. ANH'!J12</f>
        <v>Type of Oil producing</v>
      </c>
      <c r="N4" s="430" t="s">
        <v>1299</v>
      </c>
      <c r="O4" s="430" t="s">
        <v>1300</v>
      </c>
      <c r="P4" s="430" t="s">
        <v>1301</v>
      </c>
      <c r="Q4" s="428" t="s">
        <v>1302</v>
      </c>
      <c r="R4" s="428" t="s">
        <v>1303</v>
      </c>
      <c r="S4" s="428" t="s">
        <v>1304</v>
      </c>
      <c r="T4" s="428" t="s">
        <v>1305</v>
      </c>
      <c r="U4" s="428" t="s">
        <v>1306</v>
      </c>
      <c r="V4" s="428" t="s">
        <v>1307</v>
      </c>
      <c r="W4" s="428" t="s">
        <v>1308</v>
      </c>
      <c r="X4" s="428" t="s">
        <v>1309</v>
      </c>
      <c r="Y4" s="428" t="s">
        <v>1310</v>
      </c>
      <c r="Z4" s="430" t="s">
        <v>1311</v>
      </c>
      <c r="AA4" s="1"/>
      <c r="AB4" s="426" t="s">
        <v>1312</v>
      </c>
      <c r="AC4" s="214" t="s">
        <v>1313</v>
      </c>
      <c r="AD4" s="426" t="s">
        <v>1314</v>
      </c>
      <c r="AE4" s="426" t="s">
        <v>1315</v>
      </c>
      <c r="AF4" s="426" t="s">
        <v>1316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ht="14.4" x14ac:dyDescent="0.3">
      <c r="D5" s="14"/>
      <c r="E5" s="14" t="s">
        <v>480</v>
      </c>
      <c r="I5" s="432" t="s">
        <v>1145</v>
      </c>
      <c r="J5" s="433" t="s">
        <v>1146</v>
      </c>
      <c r="K5" s="431" t="s">
        <v>1022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ht="14.4" x14ac:dyDescent="0.3">
      <c r="C6" s="12" t="s">
        <v>481</v>
      </c>
      <c r="D6" s="14" t="s">
        <v>485</v>
      </c>
      <c r="E6" s="14" t="s">
        <v>486</v>
      </c>
      <c r="I6" s="432" t="s">
        <v>1145</v>
      </c>
      <c r="J6" s="433" t="s">
        <v>1147</v>
      </c>
      <c r="K6" s="431" t="s">
        <v>1022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ht="14.4" x14ac:dyDescent="0.3">
      <c r="B7" s="14" t="s">
        <v>7</v>
      </c>
      <c r="C7" s="111" t="s">
        <v>487</v>
      </c>
      <c r="D7" s="315">
        <v>1.0095573442026637</v>
      </c>
      <c r="E7" s="316">
        <v>55.539114956987063</v>
      </c>
      <c r="I7" s="432" t="s">
        <v>1149</v>
      </c>
      <c r="J7" s="433" t="s">
        <v>1150</v>
      </c>
      <c r="K7" s="431" t="s">
        <v>1022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ht="14.4" x14ac:dyDescent="0.3">
      <c r="B8" s="14" t="s">
        <v>13</v>
      </c>
      <c r="C8" s="111" t="s">
        <v>490</v>
      </c>
      <c r="D8" s="315">
        <v>6.0871741676095334</v>
      </c>
      <c r="E8" s="316">
        <v>77.841777688967127</v>
      </c>
      <c r="I8" s="432" t="s">
        <v>1149</v>
      </c>
      <c r="J8" s="433" t="s">
        <v>1152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ht="14.4" x14ac:dyDescent="0.3">
      <c r="B9" s="14" t="s">
        <v>17</v>
      </c>
      <c r="C9" s="116" t="s">
        <v>493</v>
      </c>
      <c r="D9" s="222">
        <v>6.0871741676095334</v>
      </c>
      <c r="E9" s="317">
        <v>77.841777688967127</v>
      </c>
      <c r="I9" s="432" t="s">
        <v>1149</v>
      </c>
      <c r="J9" s="433" t="s">
        <v>1154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ht="14.4" x14ac:dyDescent="0.3">
      <c r="B10" s="14" t="s">
        <v>21</v>
      </c>
      <c r="C10" s="117" t="s">
        <v>495</v>
      </c>
      <c r="D10" s="318">
        <v>6.0871741676095334</v>
      </c>
      <c r="E10" s="319">
        <v>77.841777688967127</v>
      </c>
      <c r="I10" s="432" t="s">
        <v>1149</v>
      </c>
      <c r="J10" s="433" t="s">
        <v>1156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ht="14.4" x14ac:dyDescent="0.3">
      <c r="B11" s="14" t="s">
        <v>8</v>
      </c>
      <c r="C11" s="111" t="s">
        <v>497</v>
      </c>
      <c r="D11" s="315">
        <v>5.3308987344700309</v>
      </c>
      <c r="E11" s="316">
        <v>69.193827140333724</v>
      </c>
      <c r="I11" s="432" t="s">
        <v>1149</v>
      </c>
      <c r="J11" s="433" t="s">
        <v>1157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ht="14.4" x14ac:dyDescent="0.3">
      <c r="B12" s="14" t="s">
        <v>14</v>
      </c>
      <c r="C12" s="116" t="s">
        <v>500</v>
      </c>
      <c r="D12" s="222">
        <v>5.6708498400612823</v>
      </c>
      <c r="E12" s="317">
        <v>75.166375708662926</v>
      </c>
      <c r="I12" s="432" t="s">
        <v>1149</v>
      </c>
      <c r="J12" s="433" t="s">
        <v>1159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ht="14.4" x14ac:dyDescent="0.3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1149</v>
      </c>
      <c r="J13" s="433" t="s">
        <v>1161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ht="14.4" x14ac:dyDescent="0.3">
      <c r="B14" s="14" t="s">
        <v>22</v>
      </c>
      <c r="C14" s="111" t="s">
        <v>505</v>
      </c>
      <c r="D14" s="315">
        <v>4.0562660463586173</v>
      </c>
      <c r="E14" s="316">
        <v>47.28933824683137</v>
      </c>
      <c r="I14" s="432" t="s">
        <v>1149</v>
      </c>
      <c r="J14" s="433" t="s">
        <v>1163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ht="14.4" x14ac:dyDescent="0.3">
      <c r="B15" s="14" t="s">
        <v>26</v>
      </c>
      <c r="C15" s="116" t="s">
        <v>510</v>
      </c>
      <c r="D15" s="222">
        <v>5.4608206169323079</v>
      </c>
      <c r="E15" s="317">
        <v>78.281203343664757</v>
      </c>
      <c r="I15" s="432" t="s">
        <v>1149</v>
      </c>
      <c r="J15" s="433" t="s">
        <v>1164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ht="14.4" x14ac:dyDescent="0.3">
      <c r="B16" s="14" t="s">
        <v>102</v>
      </c>
      <c r="C16" s="116" t="s">
        <v>528</v>
      </c>
      <c r="D16" s="222">
        <v>4.7615165047769556</v>
      </c>
      <c r="E16" s="317">
        <v>56.337812381502502</v>
      </c>
      <c r="I16" s="432" t="s">
        <v>1149</v>
      </c>
      <c r="J16" s="433" t="s">
        <v>1166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ht="14.4" x14ac:dyDescent="0.3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1168</v>
      </c>
      <c r="J17" s="433" t="s">
        <v>1167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ht="14.4" x14ac:dyDescent="0.3">
      <c r="B18" s="70" t="s">
        <v>524</v>
      </c>
      <c r="I18" s="432" t="s">
        <v>1170</v>
      </c>
      <c r="J18" s="433" t="s">
        <v>1171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ht="14.4" x14ac:dyDescent="0.3">
      <c r="I19" s="432" t="s">
        <v>1170</v>
      </c>
      <c r="J19" s="433" t="s">
        <v>1173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ht="14.4" x14ac:dyDescent="0.3">
      <c r="C20" s="12" t="s">
        <v>1254</v>
      </c>
      <c r="D20" s="343">
        <v>6117863200</v>
      </c>
      <c r="E20" s="12" t="s">
        <v>1317</v>
      </c>
      <c r="I20" s="432" t="s">
        <v>1170</v>
      </c>
      <c r="J20" s="433" t="s">
        <v>1175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3">
      <c r="C21" s="12" t="s">
        <v>1254</v>
      </c>
      <c r="D21" s="343">
        <f>+D20*1000/(1000000000000)</f>
        <v>6.1178632000000004</v>
      </c>
      <c r="E21" s="12" t="s">
        <v>1238</v>
      </c>
      <c r="I21" s="432" t="s">
        <v>1170</v>
      </c>
      <c r="J21" s="433" t="s">
        <v>1177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3">
      <c r="D22" s="12">
        <v>5800</v>
      </c>
      <c r="E22" s="12" t="s">
        <v>1318</v>
      </c>
      <c r="I22" s="432" t="s">
        <v>1179</v>
      </c>
      <c r="J22" s="433" t="s">
        <v>1180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3">
      <c r="I23" s="432" t="s">
        <v>1179</v>
      </c>
      <c r="J23" s="433" t="s">
        <v>1182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3">
      <c r="I24" s="432" t="s">
        <v>1179</v>
      </c>
      <c r="J24" s="438" t="s">
        <v>1184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3">
      <c r="I25" s="432" t="s">
        <v>1187</v>
      </c>
      <c r="J25" s="438" t="s">
        <v>1188</v>
      </c>
      <c r="K25" s="431" t="s">
        <v>1022</v>
      </c>
      <c r="L25" s="434" t="s">
        <v>7</v>
      </c>
      <c r="M25" s="434" t="s">
        <v>1319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3">
      <c r="I26" s="432" t="s">
        <v>1187</v>
      </c>
      <c r="J26" s="438" t="s">
        <v>1191</v>
      </c>
      <c r="K26" s="431" t="s">
        <v>1022</v>
      </c>
      <c r="L26" s="434" t="s">
        <v>7</v>
      </c>
      <c r="M26" s="434" t="s">
        <v>1319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3">
      <c r="I27" s="432" t="s">
        <v>1187</v>
      </c>
      <c r="J27" s="438" t="s">
        <v>1192</v>
      </c>
      <c r="K27" s="431" t="s">
        <v>1022</v>
      </c>
      <c r="L27" s="434" t="s">
        <v>7</v>
      </c>
      <c r="M27" s="434" t="s">
        <v>1319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3">
      <c r="N28" s="836">
        <f>+SUM(N5:N27)</f>
        <v>1814.1047397260272</v>
      </c>
      <c r="O28" s="836">
        <f t="shared" ref="O28:P28" si="8">+SUM(O5:O27)</f>
        <v>944.81832876712326</v>
      </c>
      <c r="P28" s="836">
        <f t="shared" si="8"/>
        <v>825.47967123287674</v>
      </c>
      <c r="Y28" s="836">
        <f>+SUM(Y5:Y27)</f>
        <v>463142.20578082197</v>
      </c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3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3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3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3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3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1031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1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3">
      <c r="I34" s="428" t="s">
        <v>1125</v>
      </c>
      <c r="J34" s="428" t="s">
        <v>1126</v>
      </c>
      <c r="K34" s="428" t="s">
        <v>1127</v>
      </c>
      <c r="L34" s="429"/>
      <c r="M34" s="428" t="str">
        <f>+'5. ANH'!J12</f>
        <v>Type of Oil producing</v>
      </c>
      <c r="N34" s="430" t="s">
        <v>1320</v>
      </c>
      <c r="O34" s="430" t="s">
        <v>1321</v>
      </c>
      <c r="P34" s="430" t="s">
        <v>1322</v>
      </c>
      <c r="Q34" s="428" t="s">
        <v>1323</v>
      </c>
      <c r="R34" s="428" t="s">
        <v>1324</v>
      </c>
      <c r="S34" s="428" t="s">
        <v>1325</v>
      </c>
      <c r="T34" s="428" t="s">
        <v>1326</v>
      </c>
      <c r="U34" s="428" t="s">
        <v>1327</v>
      </c>
      <c r="V34" s="428" t="s">
        <v>1328</v>
      </c>
      <c r="W34" s="428" t="s">
        <v>1329</v>
      </c>
      <c r="X34" s="428" t="s">
        <v>1330</v>
      </c>
      <c r="Y34" s="428" t="s">
        <v>1331</v>
      </c>
      <c r="Z34" s="430" t="s">
        <v>1332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3">
      <c r="I35" s="432" t="s">
        <v>1145</v>
      </c>
      <c r="J35" s="433" t="s">
        <v>1146</v>
      </c>
      <c r="K35" s="431" t="s">
        <v>1022</v>
      </c>
      <c r="L35" s="434" t="s">
        <v>7</v>
      </c>
      <c r="M35" s="434" t="str">
        <f>+'5. ANH'!J13</f>
        <v>Doesn't Apply</v>
      </c>
      <c r="N35" s="435">
        <f t="shared" ref="N35:X35" si="9">+N5*365*$D$7/1000</f>
        <v>60.04622961587031</v>
      </c>
      <c r="O35" s="435">
        <f t="shared" si="9"/>
        <v>2.4898308957132613</v>
      </c>
      <c r="P35" s="435">
        <f t="shared" si="9"/>
        <v>57.556398720157048</v>
      </c>
      <c r="Q35" s="436">
        <f t="shared" si="9"/>
        <v>60.04621952029688</v>
      </c>
      <c r="R35" s="436">
        <f t="shared" si="9"/>
        <v>0</v>
      </c>
      <c r="S35" s="436">
        <f t="shared" si="9"/>
        <v>0</v>
      </c>
      <c r="T35" s="436">
        <f t="shared" si="9"/>
        <v>2.4069462377542221</v>
      </c>
      <c r="U35" s="436">
        <f t="shared" si="9"/>
        <v>8.2884657959038696E-2</v>
      </c>
      <c r="V35" s="436">
        <f t="shared" si="9"/>
        <v>4.8961411123406373</v>
      </c>
      <c r="W35" s="436">
        <f t="shared" si="9"/>
        <v>0</v>
      </c>
      <c r="X35" s="436">
        <f t="shared" si="9"/>
        <v>52.660257607816412</v>
      </c>
      <c r="Y35" s="436">
        <f t="shared" ref="Y35:Y57" si="10">+Y5*365*(0.001)*$D$8/1000</f>
        <v>0</v>
      </c>
      <c r="Z35" s="437">
        <f t="shared" ref="Z35:Z57" si="11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3">
      <c r="I36" s="432" t="s">
        <v>1145</v>
      </c>
      <c r="J36" s="433" t="s">
        <v>1147</v>
      </c>
      <c r="K36" s="431" t="s">
        <v>1022</v>
      </c>
      <c r="L36" s="434" t="s">
        <v>7</v>
      </c>
      <c r="M36" s="434" t="str">
        <f>+'5. ANH'!J14</f>
        <v>Doesn't Apply</v>
      </c>
      <c r="N36" s="435">
        <f t="shared" ref="N36:X36" si="12">+N6*365*$D$7/1000</f>
        <v>8.539502325113304</v>
      </c>
      <c r="O36" s="435">
        <f t="shared" si="12"/>
        <v>5.3052238437849987E-2</v>
      </c>
      <c r="P36" s="435">
        <f t="shared" si="12"/>
        <v>8.4864500866754558</v>
      </c>
      <c r="Q36" s="436">
        <f t="shared" si="12"/>
        <v>8.5394619428195373</v>
      </c>
      <c r="R36" s="436">
        <f t="shared" si="12"/>
        <v>0</v>
      </c>
      <c r="S36" s="436">
        <f t="shared" si="12"/>
        <v>0</v>
      </c>
      <c r="T36" s="436">
        <f t="shared" si="12"/>
        <v>4.3098003024011712E-2</v>
      </c>
      <c r="U36" s="436">
        <f t="shared" si="12"/>
        <v>9.9542354138382663E-3</v>
      </c>
      <c r="V36" s="436">
        <f t="shared" si="12"/>
        <v>0.72254019124584645</v>
      </c>
      <c r="W36" s="436">
        <f t="shared" si="12"/>
        <v>0</v>
      </c>
      <c r="X36" s="436">
        <f t="shared" si="12"/>
        <v>7.7639098954296077</v>
      </c>
      <c r="Y36" s="436">
        <f t="shared" si="10"/>
        <v>0</v>
      </c>
      <c r="Z36" s="437">
        <f t="shared" si="11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3">
      <c r="I37" s="432" t="s">
        <v>1149</v>
      </c>
      <c r="J37" s="433" t="s">
        <v>1150</v>
      </c>
      <c r="K37" s="431" t="s">
        <v>1022</v>
      </c>
      <c r="L37" s="434" t="s">
        <v>7</v>
      </c>
      <c r="M37" s="434" t="str">
        <f>+'5. ANH'!J15</f>
        <v>Doesn't Apply</v>
      </c>
      <c r="N37" s="435">
        <f t="shared" ref="N37:X37" si="13">+N7*365*$D$7/1000</f>
        <v>13.106881088314344</v>
      </c>
      <c r="O37" s="435">
        <f t="shared" si="13"/>
        <v>0</v>
      </c>
      <c r="P37" s="435">
        <f t="shared" si="13"/>
        <v>11.790499076061607</v>
      </c>
      <c r="Q37" s="436">
        <f t="shared" si="13"/>
        <v>13.106881088314344</v>
      </c>
      <c r="R37" s="436">
        <f t="shared" si="13"/>
        <v>0</v>
      </c>
      <c r="S37" s="436">
        <f t="shared" si="13"/>
        <v>0</v>
      </c>
      <c r="T37" s="436">
        <f t="shared" si="13"/>
        <v>0</v>
      </c>
      <c r="U37" s="436">
        <f t="shared" si="13"/>
        <v>0</v>
      </c>
      <c r="V37" s="436">
        <f t="shared" si="13"/>
        <v>13.106881088314344</v>
      </c>
      <c r="W37" s="436">
        <f t="shared" si="13"/>
        <v>1.3163820122527377</v>
      </c>
      <c r="X37" s="436">
        <f t="shared" si="13"/>
        <v>0</v>
      </c>
      <c r="Y37" s="436">
        <f t="shared" si="10"/>
        <v>0</v>
      </c>
      <c r="Z37" s="437">
        <f t="shared" si="11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3">
      <c r="I38" s="432" t="s">
        <v>1149</v>
      </c>
      <c r="J38" s="433" t="s">
        <v>1152</v>
      </c>
      <c r="K38" s="431">
        <v>48</v>
      </c>
      <c r="L38" s="434"/>
      <c r="M38" s="434" t="str">
        <f>+'5. ANH'!J16</f>
        <v>Light Oil</v>
      </c>
      <c r="N38" s="435">
        <f t="shared" ref="N38:X38" si="14">+N8*365*$D$7/1000</f>
        <v>239.32819800561739</v>
      </c>
      <c r="O38" s="435">
        <f t="shared" si="14"/>
        <v>160.99168674237271</v>
      </c>
      <c r="P38" s="435">
        <f t="shared" si="14"/>
        <v>75.291444019366878</v>
      </c>
      <c r="Q38" s="436">
        <f t="shared" si="14"/>
        <v>239.32817781447051</v>
      </c>
      <c r="R38" s="436">
        <f t="shared" si="14"/>
        <v>0</v>
      </c>
      <c r="S38" s="436">
        <f t="shared" si="14"/>
        <v>146.06287770612269</v>
      </c>
      <c r="T38" s="436">
        <f t="shared" si="14"/>
        <v>14.103990590462988</v>
      </c>
      <c r="U38" s="436">
        <f t="shared" si="14"/>
        <v>0.82481844578701846</v>
      </c>
      <c r="V38" s="436">
        <f t="shared" si="14"/>
        <v>6.0840367613967006</v>
      </c>
      <c r="W38" s="436">
        <f t="shared" si="14"/>
        <v>3.0450672438778423</v>
      </c>
      <c r="X38" s="436">
        <f t="shared" si="14"/>
        <v>72.252474501848027</v>
      </c>
      <c r="Y38" s="436">
        <f t="shared" si="10"/>
        <v>22.733323234776581</v>
      </c>
      <c r="Z38" s="437">
        <f t="shared" si="11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3">
      <c r="I39" s="432" t="s">
        <v>1149</v>
      </c>
      <c r="J39" s="433" t="s">
        <v>1154</v>
      </c>
      <c r="K39" s="431">
        <v>52</v>
      </c>
      <c r="L39" s="434"/>
      <c r="M39" s="434" t="str">
        <f>+'5. ANH'!J17</f>
        <v>Light Oil</v>
      </c>
      <c r="N39" s="435">
        <f t="shared" ref="N39:X39" si="15">+N9*365*$D$7/1000</f>
        <v>102.2089585250658</v>
      </c>
      <c r="O39" s="435">
        <f t="shared" si="15"/>
        <v>30.216717619832895</v>
      </c>
      <c r="P39" s="435">
        <f t="shared" si="15"/>
        <v>60.807849771910249</v>
      </c>
      <c r="Q39" s="436">
        <f t="shared" si="15"/>
        <v>102.20910995866744</v>
      </c>
      <c r="R39" s="436">
        <f t="shared" si="15"/>
        <v>0</v>
      </c>
      <c r="S39" s="436">
        <f t="shared" si="15"/>
        <v>18.608807085043786</v>
      </c>
      <c r="T39" s="436">
        <f t="shared" si="15"/>
        <v>11.187076555858232</v>
      </c>
      <c r="U39" s="436">
        <f t="shared" si="15"/>
        <v>0.42083397893088031</v>
      </c>
      <c r="V39" s="436">
        <f t="shared" si="15"/>
        <v>11.193699252036202</v>
      </c>
      <c r="W39" s="436">
        <f t="shared" si="15"/>
        <v>11.184391133322654</v>
      </c>
      <c r="X39" s="436">
        <f t="shared" si="15"/>
        <v>60.798541653196693</v>
      </c>
      <c r="Y39" s="436">
        <f t="shared" si="10"/>
        <v>7.0712088472532377</v>
      </c>
      <c r="Z39" s="437">
        <f t="shared" si="11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3">
      <c r="I40" s="432" t="s">
        <v>1149</v>
      </c>
      <c r="J40" s="433" t="s">
        <v>1156</v>
      </c>
      <c r="K40" s="431">
        <v>46</v>
      </c>
      <c r="L40" s="434"/>
      <c r="M40" s="434" t="str">
        <f>+'5. ANH'!J18</f>
        <v>Light Oil</v>
      </c>
      <c r="N40" s="435">
        <f t="shared" ref="N40:X40" si="16">+N10*365*$D$7/1000</f>
        <v>160.44027661654269</v>
      </c>
      <c r="O40" s="435">
        <f t="shared" si="16"/>
        <v>86.793482275469458</v>
      </c>
      <c r="P40" s="435">
        <f t="shared" si="16"/>
        <v>73.646794341073218</v>
      </c>
      <c r="Q40" s="436">
        <f t="shared" si="16"/>
        <v>160.44018575638168</v>
      </c>
      <c r="R40" s="436">
        <f t="shared" si="16"/>
        <v>0</v>
      </c>
      <c r="S40" s="436">
        <f t="shared" si="16"/>
        <v>82.998717747786728</v>
      </c>
      <c r="T40" s="436">
        <f t="shared" si="16"/>
        <v>3.345117782148316</v>
      </c>
      <c r="U40" s="436">
        <f t="shared" si="16"/>
        <v>0.44964674553442446</v>
      </c>
      <c r="V40" s="436">
        <f t="shared" si="16"/>
        <v>52.360166687252182</v>
      </c>
      <c r="W40" s="436">
        <f t="shared" si="16"/>
        <v>0</v>
      </c>
      <c r="X40" s="436">
        <f t="shared" si="16"/>
        <v>21.286627653821029</v>
      </c>
      <c r="Y40" s="436">
        <f t="shared" si="10"/>
        <v>60.007782289723188</v>
      </c>
      <c r="Z40" s="437">
        <f t="shared" si="11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3">
      <c r="I41" s="432" t="s">
        <v>1149</v>
      </c>
      <c r="J41" s="433" t="s">
        <v>1157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7">+N11*365*$D$7/1000</f>
        <v>61.393403127121232</v>
      </c>
      <c r="O41" s="435">
        <f t="shared" si="17"/>
        <v>61.393403127121232</v>
      </c>
      <c r="P41" s="435">
        <f t="shared" si="17"/>
        <v>0</v>
      </c>
      <c r="Q41" s="436">
        <f t="shared" si="17"/>
        <v>61.3933728404009</v>
      </c>
      <c r="R41" s="436">
        <f t="shared" si="17"/>
        <v>0</v>
      </c>
      <c r="S41" s="436">
        <f t="shared" si="17"/>
        <v>59.623921683216899</v>
      </c>
      <c r="T41" s="436">
        <f t="shared" si="17"/>
        <v>0.2018105131061125</v>
      </c>
      <c r="U41" s="436">
        <f t="shared" si="17"/>
        <v>1.5676709307982222</v>
      </c>
      <c r="V41" s="436">
        <f t="shared" si="17"/>
        <v>0</v>
      </c>
      <c r="W41" s="436">
        <f t="shared" si="17"/>
        <v>0</v>
      </c>
      <c r="X41" s="436">
        <f t="shared" si="17"/>
        <v>0</v>
      </c>
      <c r="Y41" s="436">
        <f t="shared" si="10"/>
        <v>17.796808939248596</v>
      </c>
      <c r="Z41" s="437">
        <f t="shared" si="11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3">
      <c r="I42" s="432" t="s">
        <v>1149</v>
      </c>
      <c r="J42" s="433" t="s">
        <v>1159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8">+N12*365*$D$7/1000</f>
        <v>0</v>
      </c>
      <c r="O42" s="435">
        <f t="shared" si="18"/>
        <v>0</v>
      </c>
      <c r="P42" s="435">
        <f t="shared" si="18"/>
        <v>0</v>
      </c>
      <c r="Q42" s="436">
        <f t="shared" si="18"/>
        <v>0</v>
      </c>
      <c r="R42" s="436">
        <f t="shared" si="18"/>
        <v>0</v>
      </c>
      <c r="S42" s="436">
        <f t="shared" si="18"/>
        <v>0</v>
      </c>
      <c r="T42" s="436">
        <f t="shared" si="18"/>
        <v>0</v>
      </c>
      <c r="U42" s="436">
        <f t="shared" si="18"/>
        <v>0</v>
      </c>
      <c r="V42" s="436">
        <f t="shared" si="18"/>
        <v>0</v>
      </c>
      <c r="W42" s="436">
        <f t="shared" si="18"/>
        <v>0</v>
      </c>
      <c r="X42" s="436">
        <f t="shared" si="18"/>
        <v>0</v>
      </c>
      <c r="Y42" s="436">
        <f t="shared" si="10"/>
        <v>265.08224689210181</v>
      </c>
      <c r="Z42" s="437">
        <f t="shared" si="11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3">
      <c r="I43" s="432" t="s">
        <v>1149</v>
      </c>
      <c r="J43" s="433" t="s">
        <v>1161</v>
      </c>
      <c r="K43" s="431">
        <v>13.7</v>
      </c>
      <c r="L43" s="434"/>
      <c r="M43" s="434" t="str">
        <f>+'5. ANH'!J21</f>
        <v>Heavy Oil</v>
      </c>
      <c r="N43" s="435">
        <f t="shared" ref="N43:X43" si="19">+N13*365*$D$7/1000</f>
        <v>0</v>
      </c>
      <c r="O43" s="435">
        <f t="shared" si="19"/>
        <v>0</v>
      </c>
      <c r="P43" s="435">
        <f t="shared" si="19"/>
        <v>0</v>
      </c>
      <c r="Q43" s="436">
        <f t="shared" si="19"/>
        <v>0</v>
      </c>
      <c r="R43" s="436">
        <f t="shared" si="19"/>
        <v>0</v>
      </c>
      <c r="S43" s="436">
        <f t="shared" si="19"/>
        <v>0</v>
      </c>
      <c r="T43" s="436">
        <f t="shared" si="19"/>
        <v>0</v>
      </c>
      <c r="U43" s="436">
        <f t="shared" si="19"/>
        <v>0</v>
      </c>
      <c r="V43" s="436">
        <f t="shared" si="19"/>
        <v>0</v>
      </c>
      <c r="W43" s="436">
        <f t="shared" si="19"/>
        <v>0</v>
      </c>
      <c r="X43" s="436">
        <f t="shared" si="19"/>
        <v>0</v>
      </c>
      <c r="Y43" s="436">
        <f t="shared" si="10"/>
        <v>253.41187670697005</v>
      </c>
      <c r="Z43" s="437">
        <f t="shared" si="11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3">
      <c r="I44" s="432" t="s">
        <v>1149</v>
      </c>
      <c r="J44" s="433" t="s">
        <v>1163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20">+N14*365*$D$7/1000</f>
        <v>1.3978936722236606</v>
      </c>
      <c r="O44" s="435">
        <f t="shared" si="20"/>
        <v>1.3978936722236606</v>
      </c>
      <c r="P44" s="435">
        <f t="shared" si="20"/>
        <v>0</v>
      </c>
      <c r="Q44" s="436">
        <f t="shared" si="20"/>
        <v>1.3978835766502182</v>
      </c>
      <c r="R44" s="436">
        <f t="shared" si="20"/>
        <v>0</v>
      </c>
      <c r="S44" s="436">
        <f t="shared" si="20"/>
        <v>0</v>
      </c>
      <c r="T44" s="436">
        <f t="shared" si="20"/>
        <v>0.32109980889709927</v>
      </c>
      <c r="U44" s="436">
        <f t="shared" si="20"/>
        <v>1.0767938633265612</v>
      </c>
      <c r="V44" s="436">
        <f t="shared" si="20"/>
        <v>0</v>
      </c>
      <c r="W44" s="436">
        <f t="shared" si="20"/>
        <v>0</v>
      </c>
      <c r="X44" s="436">
        <f t="shared" si="20"/>
        <v>0</v>
      </c>
      <c r="Y44" s="436">
        <f t="shared" si="10"/>
        <v>153.50718826671843</v>
      </c>
      <c r="Z44" s="437">
        <f t="shared" si="11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3">
      <c r="I45" s="432" t="s">
        <v>1149</v>
      </c>
      <c r="J45" s="433" t="s">
        <v>1164</v>
      </c>
      <c r="K45" s="431">
        <v>8</v>
      </c>
      <c r="L45" s="434"/>
      <c r="M45" s="434" t="str">
        <f>+'5. ANH'!J23</f>
        <v>Heavy Oil</v>
      </c>
      <c r="N45" s="435">
        <f t="shared" ref="N45:X45" si="21">+N15*365*$D$7/1000</f>
        <v>0.21448045777585595</v>
      </c>
      <c r="O45" s="435">
        <f t="shared" si="21"/>
        <v>0.21448045777585595</v>
      </c>
      <c r="P45" s="435">
        <f t="shared" si="21"/>
        <v>0</v>
      </c>
      <c r="Q45" s="436">
        <f t="shared" si="21"/>
        <v>0.21448045777585595</v>
      </c>
      <c r="R45" s="436">
        <f t="shared" si="21"/>
        <v>0</v>
      </c>
      <c r="S45" s="436">
        <f t="shared" si="21"/>
        <v>0</v>
      </c>
      <c r="T45" s="436">
        <f t="shared" si="21"/>
        <v>0</v>
      </c>
      <c r="U45" s="436">
        <f t="shared" si="21"/>
        <v>0.21448045777585595</v>
      </c>
      <c r="V45" s="436">
        <f t="shared" si="21"/>
        <v>0</v>
      </c>
      <c r="W45" s="436">
        <f t="shared" si="21"/>
        <v>0</v>
      </c>
      <c r="X45" s="436">
        <f t="shared" si="21"/>
        <v>0</v>
      </c>
      <c r="Y45" s="436">
        <f t="shared" si="10"/>
        <v>43.895597705669182</v>
      </c>
      <c r="Z45" s="437">
        <f t="shared" si="11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3">
      <c r="I46" s="432" t="s">
        <v>1149</v>
      </c>
      <c r="J46" s="433" t="s">
        <v>1166</v>
      </c>
      <c r="K46" s="431">
        <v>13.5</v>
      </c>
      <c r="L46" s="434"/>
      <c r="M46" s="434" t="str">
        <f>+'5. ANH'!J24</f>
        <v>Heavy Oil</v>
      </c>
      <c r="N46" s="435">
        <f t="shared" ref="N46:X46" si="22">+N16*365*$D$7/1000</f>
        <v>0.43874352621703561</v>
      </c>
      <c r="O46" s="435">
        <f t="shared" si="22"/>
        <v>5.7140945681870784E-3</v>
      </c>
      <c r="P46" s="435">
        <f t="shared" si="22"/>
        <v>0.23786180586758957</v>
      </c>
      <c r="Q46" s="436">
        <f t="shared" si="22"/>
        <v>0.4388141952311298</v>
      </c>
      <c r="R46" s="436">
        <f t="shared" si="22"/>
        <v>0</v>
      </c>
      <c r="S46" s="436">
        <f t="shared" si="22"/>
        <v>0</v>
      </c>
      <c r="T46" s="436">
        <f t="shared" si="22"/>
        <v>5.7140945681870784E-3</v>
      </c>
      <c r="U46" s="436">
        <f t="shared" si="22"/>
        <v>0</v>
      </c>
      <c r="V46" s="436">
        <f t="shared" si="22"/>
        <v>0.4330294316488485</v>
      </c>
      <c r="W46" s="436">
        <f t="shared" si="22"/>
        <v>0.19516762578125896</v>
      </c>
      <c r="X46" s="436">
        <f t="shared" si="22"/>
        <v>0</v>
      </c>
      <c r="Y46" s="436">
        <f t="shared" si="10"/>
        <v>8.7564836170076354</v>
      </c>
      <c r="Z46" s="437">
        <f t="shared" si="11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3">
      <c r="I47" s="432" t="s">
        <v>1168</v>
      </c>
      <c r="J47" s="433" t="s">
        <v>1167</v>
      </c>
      <c r="K47" s="431">
        <v>35</v>
      </c>
      <c r="L47" s="434"/>
      <c r="M47" s="434" t="str">
        <f>+'5. ANH'!J25</f>
        <v>Light Oil</v>
      </c>
      <c r="N47" s="435">
        <f t="shared" ref="N47:X47" si="23">+N17*365*$D$7/1000</f>
        <v>1.2759391450439788</v>
      </c>
      <c r="O47" s="435">
        <f t="shared" si="23"/>
        <v>1.2759391450439788</v>
      </c>
      <c r="P47" s="435">
        <f t="shared" si="23"/>
        <v>0</v>
      </c>
      <c r="Q47" s="436">
        <f t="shared" si="23"/>
        <v>1.2759391450439788</v>
      </c>
      <c r="R47" s="436">
        <f t="shared" si="23"/>
        <v>0</v>
      </c>
      <c r="S47" s="436">
        <f t="shared" si="23"/>
        <v>0</v>
      </c>
      <c r="T47" s="436">
        <f t="shared" si="23"/>
        <v>0</v>
      </c>
      <c r="U47" s="436">
        <f t="shared" si="23"/>
        <v>1.2759391450439788</v>
      </c>
      <c r="V47" s="436">
        <f t="shared" si="23"/>
        <v>0</v>
      </c>
      <c r="W47" s="436">
        <f t="shared" si="23"/>
        <v>0</v>
      </c>
      <c r="X47" s="436">
        <f t="shared" si="23"/>
        <v>0</v>
      </c>
      <c r="Y47" s="436">
        <f t="shared" si="10"/>
        <v>4.3593517548323124</v>
      </c>
      <c r="Z47" s="437">
        <f t="shared" si="11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3">
      <c r="I48" s="432" t="s">
        <v>1170</v>
      </c>
      <c r="J48" s="433" t="s">
        <v>1171</v>
      </c>
      <c r="K48" s="431">
        <v>21</v>
      </c>
      <c r="L48" s="434"/>
      <c r="M48" s="434" t="str">
        <f>+'5. ANH'!J26</f>
        <v>Medium Oil</v>
      </c>
      <c r="N48" s="435">
        <f t="shared" ref="N48:X48" si="24">+N18*365*$D$7/1000</f>
        <v>0.43827912983870243</v>
      </c>
      <c r="O48" s="435">
        <f t="shared" si="24"/>
        <v>0.43827912983870243</v>
      </c>
      <c r="P48" s="435">
        <f t="shared" si="24"/>
        <v>0</v>
      </c>
      <c r="Q48" s="436">
        <f t="shared" si="24"/>
        <v>0.43830941655902855</v>
      </c>
      <c r="R48" s="436">
        <f t="shared" si="24"/>
        <v>0</v>
      </c>
      <c r="S48" s="436">
        <f t="shared" si="24"/>
        <v>0</v>
      </c>
      <c r="T48" s="436">
        <f t="shared" si="24"/>
        <v>0.35206293264379496</v>
      </c>
      <c r="U48" s="436">
        <f t="shared" si="24"/>
        <v>8.621619719490746E-2</v>
      </c>
      <c r="V48" s="436">
        <f t="shared" si="24"/>
        <v>0</v>
      </c>
      <c r="W48" s="436">
        <f t="shared" si="24"/>
        <v>0</v>
      </c>
      <c r="X48" s="436">
        <f t="shared" si="24"/>
        <v>0</v>
      </c>
      <c r="Y48" s="436">
        <f t="shared" si="10"/>
        <v>26.927100382560717</v>
      </c>
      <c r="Z48" s="437">
        <f t="shared" si="11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3">
      <c r="I49" s="432" t="s">
        <v>1170</v>
      </c>
      <c r="J49" s="433" t="s">
        <v>1173</v>
      </c>
      <c r="K49" s="431">
        <v>12.5</v>
      </c>
      <c r="L49" s="434"/>
      <c r="M49" s="434" t="str">
        <f>+'5. ANH'!J27</f>
        <v>Heavy Oil</v>
      </c>
      <c r="N49" s="435">
        <f t="shared" ref="N49:X49" si="25">+N19*365*$D$7/1000</f>
        <v>8.7791106651863626E-2</v>
      </c>
      <c r="O49" s="435">
        <f t="shared" si="25"/>
        <v>8.7791106651863626E-2</v>
      </c>
      <c r="P49" s="435">
        <f t="shared" si="25"/>
        <v>0</v>
      </c>
      <c r="Q49" s="436">
        <f t="shared" si="25"/>
        <v>8.7801202225305658E-2</v>
      </c>
      <c r="R49" s="436">
        <f t="shared" si="25"/>
        <v>0</v>
      </c>
      <c r="S49" s="436">
        <f t="shared" si="25"/>
        <v>0</v>
      </c>
      <c r="T49" s="436">
        <f t="shared" si="25"/>
        <v>3.6990181091585597E-2</v>
      </c>
      <c r="U49" s="436">
        <f t="shared" si="25"/>
        <v>5.0800925560278022E-2</v>
      </c>
      <c r="V49" s="436">
        <f t="shared" si="25"/>
        <v>0</v>
      </c>
      <c r="W49" s="436">
        <f t="shared" si="25"/>
        <v>0</v>
      </c>
      <c r="X49" s="436">
        <f t="shared" si="25"/>
        <v>0</v>
      </c>
      <c r="Y49" s="436">
        <f t="shared" si="10"/>
        <v>3.2805677744000978</v>
      </c>
      <c r="Z49" s="437">
        <f t="shared" si="11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3">
      <c r="I50" s="432" t="s">
        <v>1170</v>
      </c>
      <c r="J50" s="433" t="s">
        <v>1175</v>
      </c>
      <c r="K50" s="431">
        <v>21</v>
      </c>
      <c r="L50" s="434"/>
      <c r="M50" s="434" t="str">
        <f>+'5. ANH'!J28</f>
        <v>Medium Oil</v>
      </c>
      <c r="N50" s="435">
        <f t="shared" ref="N50:X50" si="26">+N20*365*$D$7/1000</f>
        <v>1.8634611370761611</v>
      </c>
      <c r="O50" s="435">
        <f t="shared" si="26"/>
        <v>0.96320856653031961</v>
      </c>
      <c r="P50" s="435">
        <f t="shared" si="26"/>
        <v>0.90025257054584151</v>
      </c>
      <c r="Q50" s="436">
        <f t="shared" si="26"/>
        <v>1.8635217105168129</v>
      </c>
      <c r="R50" s="436">
        <f t="shared" si="26"/>
        <v>0</v>
      </c>
      <c r="S50" s="436">
        <f t="shared" si="26"/>
        <v>0</v>
      </c>
      <c r="T50" s="436">
        <f t="shared" si="26"/>
        <v>0.8853716952922942</v>
      </c>
      <c r="U50" s="436">
        <f t="shared" si="26"/>
        <v>7.7836871238025379E-2</v>
      </c>
      <c r="V50" s="436">
        <f t="shared" si="26"/>
        <v>0</v>
      </c>
      <c r="W50" s="436">
        <f t="shared" si="26"/>
        <v>0</v>
      </c>
      <c r="X50" s="436">
        <f t="shared" si="26"/>
        <v>0.90025257054584151</v>
      </c>
      <c r="Y50" s="436">
        <f t="shared" si="10"/>
        <v>39.659458817161386</v>
      </c>
      <c r="Z50" s="437">
        <f t="shared" si="11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3">
      <c r="I51" s="432" t="s">
        <v>1170</v>
      </c>
      <c r="J51" s="433" t="s">
        <v>1177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7">+N21*365*$D$7/1000</f>
        <v>2.497140090885289</v>
      </c>
      <c r="O51" s="435">
        <f t="shared" si="27"/>
        <v>1.1205177919039784</v>
      </c>
      <c r="P51" s="435">
        <f t="shared" si="27"/>
        <v>1.3766222989813104</v>
      </c>
      <c r="Q51" s="436">
        <f t="shared" si="27"/>
        <v>2.497140090885289</v>
      </c>
      <c r="R51" s="436">
        <f t="shared" si="27"/>
        <v>0</v>
      </c>
      <c r="S51" s="436">
        <f t="shared" si="27"/>
        <v>0</v>
      </c>
      <c r="T51" s="436">
        <f t="shared" si="27"/>
        <v>0.51468242964795996</v>
      </c>
      <c r="U51" s="436">
        <f t="shared" si="27"/>
        <v>0.60583536225601842</v>
      </c>
      <c r="V51" s="436">
        <f t="shared" si="27"/>
        <v>1.3766222989813104</v>
      </c>
      <c r="W51" s="436">
        <f t="shared" si="27"/>
        <v>0</v>
      </c>
      <c r="X51" s="436">
        <f t="shared" si="27"/>
        <v>0</v>
      </c>
      <c r="Y51" s="436">
        <f t="shared" si="10"/>
        <v>94.059349180277351</v>
      </c>
      <c r="Z51" s="437">
        <f t="shared" si="11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3">
      <c r="I52" s="432" t="s">
        <v>1179</v>
      </c>
      <c r="J52" s="433" t="s">
        <v>1180</v>
      </c>
      <c r="K52" s="431">
        <v>23</v>
      </c>
      <c r="L52" s="434"/>
      <c r="M52" s="434" t="str">
        <f>+'5. ANH'!J30</f>
        <v>Medium Oil</v>
      </c>
      <c r="N52" s="435">
        <f t="shared" ref="N52:X52" si="28">+N22*365*$D$7/1000</f>
        <v>0.71025387836690013</v>
      </c>
      <c r="O52" s="435">
        <f t="shared" si="28"/>
        <v>0.12213624750163826</v>
      </c>
      <c r="P52" s="435">
        <f t="shared" si="28"/>
        <v>0.38201649904628793</v>
      </c>
      <c r="Q52" s="436">
        <f t="shared" si="28"/>
        <v>0.71027406951378402</v>
      </c>
      <c r="R52" s="436">
        <f t="shared" si="28"/>
        <v>0</v>
      </c>
      <c r="S52" s="436">
        <f t="shared" si="28"/>
        <v>0</v>
      </c>
      <c r="T52" s="436">
        <f t="shared" si="28"/>
        <v>3.8100694170208539E-2</v>
      </c>
      <c r="U52" s="436">
        <f t="shared" si="28"/>
        <v>8.403555333142973E-2</v>
      </c>
      <c r="V52" s="436">
        <f t="shared" si="28"/>
        <v>0.58683549303812432</v>
      </c>
      <c r="W52" s="436">
        <f t="shared" si="28"/>
        <v>0.2061011318189738</v>
      </c>
      <c r="X52" s="436">
        <f t="shared" si="28"/>
        <v>1.2821378271373829E-3</v>
      </c>
      <c r="Y52" s="436">
        <f t="shared" si="10"/>
        <v>10.408512554584734</v>
      </c>
      <c r="Z52" s="437">
        <f t="shared" si="11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3">
      <c r="I53" s="432" t="s">
        <v>1179</v>
      </c>
      <c r="J53" s="433" t="s">
        <v>1182</v>
      </c>
      <c r="K53" s="431">
        <v>25.5</v>
      </c>
      <c r="L53" s="434"/>
      <c r="M53" s="434" t="str">
        <f>+'5. ANH'!J31</f>
        <v>Medium Oil</v>
      </c>
      <c r="N53" s="435">
        <f t="shared" ref="N53:X53" si="29">+N23*365*$D$7/1000</f>
        <v>0.31949461271981699</v>
      </c>
      <c r="O53" s="435">
        <f t="shared" si="29"/>
        <v>0.31949461271981699</v>
      </c>
      <c r="P53" s="435">
        <f t="shared" si="29"/>
        <v>0</v>
      </c>
      <c r="Q53" s="436">
        <f t="shared" si="29"/>
        <v>0.31951480386670106</v>
      </c>
      <c r="R53" s="436">
        <f t="shared" si="29"/>
        <v>0</v>
      </c>
      <c r="S53" s="436">
        <f t="shared" si="29"/>
        <v>0</v>
      </c>
      <c r="T53" s="436">
        <f t="shared" si="29"/>
        <v>0.16765718815173636</v>
      </c>
      <c r="U53" s="436">
        <f t="shared" si="29"/>
        <v>0.15183742456808058</v>
      </c>
      <c r="V53" s="436">
        <f t="shared" si="29"/>
        <v>0</v>
      </c>
      <c r="W53" s="436">
        <f t="shared" si="29"/>
        <v>0</v>
      </c>
      <c r="X53" s="436">
        <f t="shared" si="29"/>
        <v>0</v>
      </c>
      <c r="Y53" s="436">
        <f t="shared" si="10"/>
        <v>9.2296903712167389</v>
      </c>
      <c r="Z53" s="437">
        <f t="shared" si="11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3">
      <c r="I54" s="432" t="s">
        <v>1179</v>
      </c>
      <c r="J54" s="438" t="s">
        <v>1184</v>
      </c>
      <c r="K54" s="431">
        <v>21</v>
      </c>
      <c r="L54" s="434"/>
      <c r="M54" s="434" t="str">
        <f>+'5. ANH'!J32</f>
        <v>Medium Oil</v>
      </c>
      <c r="N54" s="435">
        <f t="shared" ref="N54:X54" si="30">+N24*365*$D$7/1000</f>
        <v>0.43874352621703561</v>
      </c>
      <c r="O54" s="435">
        <f t="shared" si="30"/>
        <v>5.7140945681870784E-3</v>
      </c>
      <c r="P54" s="435">
        <f t="shared" si="30"/>
        <v>0.23786180586758957</v>
      </c>
      <c r="Q54" s="436">
        <f t="shared" si="30"/>
        <v>0.4388141952311298</v>
      </c>
      <c r="R54" s="436">
        <f t="shared" si="30"/>
        <v>0</v>
      </c>
      <c r="S54" s="436">
        <f t="shared" si="30"/>
        <v>0</v>
      </c>
      <c r="T54" s="436">
        <f t="shared" si="30"/>
        <v>0</v>
      </c>
      <c r="U54" s="436">
        <f t="shared" si="30"/>
        <v>5.7140945681870784E-3</v>
      </c>
      <c r="V54" s="436">
        <f t="shared" si="30"/>
        <v>0.4330294316488485</v>
      </c>
      <c r="W54" s="436">
        <f t="shared" si="30"/>
        <v>0.19516762578125896</v>
      </c>
      <c r="X54" s="436">
        <f t="shared" si="30"/>
        <v>0</v>
      </c>
      <c r="Y54" s="436">
        <f t="shared" si="10"/>
        <v>8.7564836170076354</v>
      </c>
      <c r="Z54" s="437">
        <f t="shared" si="11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3">
      <c r="I55" s="432" t="s">
        <v>1187</v>
      </c>
      <c r="J55" s="440" t="s">
        <v>1188</v>
      </c>
      <c r="K55" s="431" t="s">
        <v>1022</v>
      </c>
      <c r="L55" s="434" t="s">
        <v>7</v>
      </c>
      <c r="M55" s="434" t="s">
        <v>1319</v>
      </c>
      <c r="N55" s="435">
        <f t="shared" ref="N55:X55" si="31">+N25*365*$D$7/1000</f>
        <v>1.0840525806313783</v>
      </c>
      <c r="O55" s="435">
        <f t="shared" si="31"/>
        <v>0</v>
      </c>
      <c r="P55" s="435">
        <f t="shared" si="31"/>
        <v>1.0840525806313783</v>
      </c>
      <c r="Q55" s="436">
        <f t="shared" si="31"/>
        <v>1.0840525806313783</v>
      </c>
      <c r="R55" s="436">
        <f t="shared" si="31"/>
        <v>0</v>
      </c>
      <c r="S55" s="436">
        <f t="shared" si="31"/>
        <v>0</v>
      </c>
      <c r="T55" s="436">
        <f t="shared" si="31"/>
        <v>0</v>
      </c>
      <c r="U55" s="436">
        <f t="shared" si="31"/>
        <v>0</v>
      </c>
      <c r="V55" s="436">
        <f t="shared" si="31"/>
        <v>0</v>
      </c>
      <c r="W55" s="436">
        <f t="shared" si="31"/>
        <v>0</v>
      </c>
      <c r="X55" s="436">
        <f t="shared" si="31"/>
        <v>1.0840525806313783</v>
      </c>
      <c r="Y55" s="436">
        <f t="shared" si="10"/>
        <v>0</v>
      </c>
      <c r="Z55" s="437">
        <f t="shared" si="11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3">
      <c r="I56" s="432" t="s">
        <v>1187</v>
      </c>
      <c r="J56" s="440" t="s">
        <v>1191</v>
      </c>
      <c r="K56" s="431" t="s">
        <v>1022</v>
      </c>
      <c r="L56" s="434" t="s">
        <v>7</v>
      </c>
      <c r="M56" s="434" t="s">
        <v>1319</v>
      </c>
      <c r="N56" s="435">
        <f t="shared" ref="N56:X56" si="32">+N26*365*$D$7/1000</f>
        <v>2.2925734862295029</v>
      </c>
      <c r="O56" s="435">
        <f t="shared" si="32"/>
        <v>4.8539517109264067E-2</v>
      </c>
      <c r="P56" s="435">
        <f t="shared" si="32"/>
        <v>2.2440339691202391</v>
      </c>
      <c r="Q56" s="436">
        <f t="shared" si="32"/>
        <v>2.292583581802945</v>
      </c>
      <c r="R56" s="436">
        <f t="shared" si="32"/>
        <v>0</v>
      </c>
      <c r="S56" s="436">
        <f t="shared" si="32"/>
        <v>0</v>
      </c>
      <c r="T56" s="436">
        <f t="shared" si="32"/>
        <v>4.2906187128613207E-3</v>
      </c>
      <c r="U56" s="436">
        <f t="shared" si="32"/>
        <v>4.4248898396402753E-2</v>
      </c>
      <c r="V56" s="436">
        <f t="shared" si="32"/>
        <v>0</v>
      </c>
      <c r="W56" s="436">
        <f t="shared" si="32"/>
        <v>0</v>
      </c>
      <c r="X56" s="436">
        <f t="shared" si="32"/>
        <v>2.2440339691202391</v>
      </c>
      <c r="Y56" s="537">
        <f t="shared" si="10"/>
        <v>1.3579511620070052E-2</v>
      </c>
      <c r="Z56" s="437">
        <f t="shared" si="11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3">
      <c r="I57" s="432" t="s">
        <v>1187</v>
      </c>
      <c r="J57" s="440" t="s">
        <v>1192</v>
      </c>
      <c r="K57" s="431" t="s">
        <v>1022</v>
      </c>
      <c r="L57" s="434" t="s">
        <v>7</v>
      </c>
      <c r="M57" s="434" t="s">
        <v>1319</v>
      </c>
      <c r="N57" s="435">
        <f t="shared" ref="N57:X57" si="33">+N27*365*$D$7/1000</f>
        <v>10.354312893772342</v>
      </c>
      <c r="O57" s="435">
        <f t="shared" si="33"/>
        <v>0.21674186622686989</v>
      </c>
      <c r="P57" s="435">
        <f t="shared" si="33"/>
        <v>10.137571027545471</v>
      </c>
      <c r="Q57" s="436">
        <f t="shared" si="33"/>
        <v>10.35427251147857</v>
      </c>
      <c r="R57" s="436">
        <f t="shared" si="33"/>
        <v>0</v>
      </c>
      <c r="S57" s="436">
        <f t="shared" si="33"/>
        <v>0</v>
      </c>
      <c r="T57" s="436">
        <f t="shared" si="33"/>
        <v>1.8616237427097122E-2</v>
      </c>
      <c r="U57" s="436">
        <f t="shared" si="33"/>
        <v>0.19812562879977277</v>
      </c>
      <c r="V57" s="436">
        <f t="shared" si="33"/>
        <v>0</v>
      </c>
      <c r="W57" s="436">
        <f t="shared" si="33"/>
        <v>0</v>
      </c>
      <c r="X57" s="436">
        <f t="shared" si="33"/>
        <v>10.137571027545471</v>
      </c>
      <c r="Y57" s="537">
        <f t="shared" si="10"/>
        <v>6.1343436802343387E-2</v>
      </c>
      <c r="Z57" s="437">
        <f t="shared" si="11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3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3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3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3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3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3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1333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3">
      <c r="N64" s="205"/>
      <c r="R64" s="1032" t="s">
        <v>1334</v>
      </c>
      <c r="S64" s="980"/>
      <c r="T64" s="980"/>
      <c r="U64" s="980"/>
      <c r="V64" s="981"/>
      <c r="W64" s="1033" t="s">
        <v>1335</v>
      </c>
      <c r="X64" s="980"/>
      <c r="Y64" s="980"/>
      <c r="Z64" s="981"/>
      <c r="AA64" s="541" t="s">
        <v>1336</v>
      </c>
      <c r="AB64" s="12" t="s">
        <v>1337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3">
      <c r="N65" s="14" t="str">
        <f t="shared" ref="N65:O65" si="34">Y33</f>
        <v>PJ</v>
      </c>
      <c r="O65" s="14" t="str">
        <f t="shared" si="34"/>
        <v>PJ</v>
      </c>
      <c r="P65" s="542" t="s">
        <v>1338</v>
      </c>
      <c r="Q65" s="542" t="s">
        <v>59</v>
      </c>
      <c r="R65" s="543" t="str">
        <f t="shared" ref="R65:V65" si="35">T33</f>
        <v>PJ</v>
      </c>
      <c r="S65" s="543" t="str">
        <f t="shared" si="35"/>
        <v>PJ</v>
      </c>
      <c r="T65" s="543" t="str">
        <f t="shared" si="35"/>
        <v>PJ</v>
      </c>
      <c r="U65" s="543" t="str">
        <f t="shared" si="35"/>
        <v>PJ</v>
      </c>
      <c r="V65" s="543" t="str">
        <f t="shared" si="35"/>
        <v>PJ</v>
      </c>
      <c r="W65" s="544" t="s">
        <v>1338</v>
      </c>
      <c r="X65" s="544" t="s">
        <v>1338</v>
      </c>
      <c r="Y65" s="544" t="s">
        <v>1338</v>
      </c>
      <c r="Z65" s="544" t="s">
        <v>1338</v>
      </c>
      <c r="AA65" s="263" t="s">
        <v>1338</v>
      </c>
      <c r="AB65" s="439" t="s">
        <v>59</v>
      </c>
      <c r="AC65" s="439" t="s">
        <v>1339</v>
      </c>
      <c r="AD65" s="542" t="s">
        <v>59</v>
      </c>
      <c r="AE65" s="542" t="s">
        <v>1339</v>
      </c>
      <c r="AF65" s="542" t="s">
        <v>59</v>
      </c>
      <c r="AG65" s="542" t="s">
        <v>1339</v>
      </c>
      <c r="AH65" s="14" t="s">
        <v>59</v>
      </c>
      <c r="AI65" s="1034" t="s">
        <v>1340</v>
      </c>
      <c r="AJ65" s="1016"/>
      <c r="AK65" s="1016"/>
      <c r="AL65" s="1016"/>
      <c r="AM65" s="1016"/>
      <c r="AN65" s="1016"/>
      <c r="AO65" s="1016"/>
      <c r="AP65" s="1016"/>
      <c r="AQ65" s="1016"/>
      <c r="AR65" s="1016"/>
      <c r="AS65" s="1016"/>
      <c r="AT65" s="1016"/>
      <c r="AU65" s="1016"/>
      <c r="AV65" s="985"/>
      <c r="AW65" s="1034" t="s">
        <v>1341</v>
      </c>
      <c r="AX65" s="1016"/>
      <c r="AY65" s="1016"/>
      <c r="AZ65" s="1016"/>
      <c r="BA65" s="1016"/>
      <c r="BB65" s="1016"/>
      <c r="BC65" s="1016"/>
      <c r="BD65" s="1016"/>
      <c r="BE65" s="1016"/>
      <c r="BF65" s="1016"/>
      <c r="BG65" s="1016"/>
      <c r="BH65" s="1016"/>
      <c r="BI65" s="1016"/>
      <c r="BJ65" s="985"/>
      <c r="BK65" s="1034" t="s">
        <v>1342</v>
      </c>
      <c r="BL65" s="1016"/>
      <c r="BM65" s="1016"/>
      <c r="BN65" s="1016"/>
      <c r="BO65" s="1016"/>
      <c r="BP65" s="1016"/>
      <c r="BQ65" s="1016"/>
      <c r="BR65" s="1016"/>
      <c r="BS65" s="1016"/>
      <c r="BT65" s="1016"/>
      <c r="BU65" s="1016"/>
      <c r="BV65" s="1016"/>
      <c r="BW65" s="1016"/>
      <c r="BX65" s="985"/>
      <c r="BY65" s="545"/>
      <c r="BZ65" s="545"/>
      <c r="CA65" s="545"/>
      <c r="CB65" s="546" t="s">
        <v>1340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1341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1342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3">
      <c r="A66" s="5"/>
      <c r="B66" s="5"/>
      <c r="C66" s="5"/>
      <c r="D66" s="5"/>
      <c r="E66" s="5"/>
      <c r="F66" s="5"/>
      <c r="G66" s="5"/>
      <c r="H66" s="5"/>
      <c r="I66" s="428" t="s">
        <v>1125</v>
      </c>
      <c r="J66" s="428" t="s">
        <v>1126</v>
      </c>
      <c r="K66" s="428" t="s">
        <v>1127</v>
      </c>
      <c r="L66" s="429"/>
      <c r="M66" s="428" t="str">
        <f t="shared" ref="M66:M86" si="36">M34</f>
        <v>Type of Oil producing</v>
      </c>
      <c r="N66" s="428" t="s">
        <v>1343</v>
      </c>
      <c r="O66" s="428" t="s">
        <v>1344</v>
      </c>
      <c r="P66" s="549" t="s">
        <v>1345</v>
      </c>
      <c r="Q66" s="549" t="s">
        <v>1346</v>
      </c>
      <c r="R66" s="430" t="s">
        <v>1347</v>
      </c>
      <c r="S66" s="430" t="s">
        <v>1348</v>
      </c>
      <c r="T66" s="430" t="s">
        <v>1349</v>
      </c>
      <c r="U66" s="430" t="s">
        <v>1350</v>
      </c>
      <c r="V66" s="430" t="s">
        <v>1351</v>
      </c>
      <c r="W66" s="550" t="s">
        <v>1352</v>
      </c>
      <c r="X66" s="550" t="s">
        <v>1353</v>
      </c>
      <c r="Y66" s="550" t="s">
        <v>1354</v>
      </c>
      <c r="Z66" s="550" t="s">
        <v>1355</v>
      </c>
      <c r="AA66" s="551" t="s">
        <v>1356</v>
      </c>
      <c r="AB66" s="552" t="s">
        <v>1357</v>
      </c>
      <c r="AC66" s="552" t="s">
        <v>1358</v>
      </c>
      <c r="AD66" s="549" t="s">
        <v>1359</v>
      </c>
      <c r="AE66" s="549" t="s">
        <v>1360</v>
      </c>
      <c r="AF66" s="549" t="s">
        <v>1361</v>
      </c>
      <c r="AG66" s="549" t="s">
        <v>1362</v>
      </c>
      <c r="AH66" s="553" t="s">
        <v>1363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3">
      <c r="I67" s="432" t="s">
        <v>1145</v>
      </c>
      <c r="J67" s="433" t="s">
        <v>1146</v>
      </c>
      <c r="K67" s="431" t="s">
        <v>1022</v>
      </c>
      <c r="L67" s="434" t="s">
        <v>7</v>
      </c>
      <c r="M67" s="434" t="str">
        <f t="shared" si="36"/>
        <v>Doesn't Apply</v>
      </c>
      <c r="N67" s="436">
        <f t="shared" ref="N67:O67" si="37">Y35</f>
        <v>0</v>
      </c>
      <c r="O67" s="556">
        <f t="shared" si="37"/>
        <v>60.04622961587031</v>
      </c>
      <c r="P67" s="557">
        <f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1364</v>
      </c>
      <c r="DJ67" s="573" t="s">
        <v>1364</v>
      </c>
      <c r="DK67" s="573" t="s">
        <v>1364</v>
      </c>
      <c r="DL67" s="573" t="s">
        <v>1364</v>
      </c>
      <c r="DM67" s="573" t="s">
        <v>1364</v>
      </c>
      <c r="DN67" s="573" t="s">
        <v>1364</v>
      </c>
      <c r="DO67" s="573" t="s">
        <v>1364</v>
      </c>
      <c r="DP67" s="573" t="s">
        <v>1364</v>
      </c>
      <c r="DQ67" s="574" t="s">
        <v>1364</v>
      </c>
    </row>
    <row r="68" spans="1:121" ht="15.75" customHeight="1" x14ac:dyDescent="0.3">
      <c r="I68" s="432" t="s">
        <v>1145</v>
      </c>
      <c r="J68" s="433" t="s">
        <v>1147</v>
      </c>
      <c r="K68" s="431" t="s">
        <v>1022</v>
      </c>
      <c r="L68" s="434" t="s">
        <v>7</v>
      </c>
      <c r="M68" s="434" t="str">
        <f t="shared" si="36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ref="P68:P89" si="52">+O68/(N68+O68)</f>
        <v>1</v>
      </c>
      <c r="Q68" s="558">
        <f t="shared" si="38"/>
        <v>8.486450086675454</v>
      </c>
      <c r="R68" s="435">
        <f t="shared" ref="R68:V68" si="53">T36</f>
        <v>4.3098003024011712E-2</v>
      </c>
      <c r="S68" s="435">
        <f t="shared" si="53"/>
        <v>9.9542354138382663E-3</v>
      </c>
      <c r="T68" s="435">
        <f t="shared" si="53"/>
        <v>0.72254019124584645</v>
      </c>
      <c r="U68" s="435">
        <f t="shared" si="53"/>
        <v>0</v>
      </c>
      <c r="V68" s="435">
        <f t="shared" si="53"/>
        <v>7.7639098954296077</v>
      </c>
      <c r="W68" s="559">
        <f t="shared" ref="W68:Y68" si="54">+IF($O68=0,"-",R68/$O68)</f>
        <v>5.046898681351419E-3</v>
      </c>
      <c r="X68" s="559">
        <f t="shared" si="54"/>
        <v>1.1656692667632936E-3</v>
      </c>
      <c r="Y68" s="559">
        <f t="shared" si="54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5">+IF(AI68="","",AI68*$AH68)</f>
        <v>8.539502325113304</v>
      </c>
      <c r="AX68" s="570">
        <f t="shared" si="55"/>
        <v>6.1215702962567402</v>
      </c>
      <c r="AY68" s="570">
        <f t="shared" si="55"/>
        <v>9.1861642860328487</v>
      </c>
      <c r="AZ68" s="570">
        <f t="shared" si="55"/>
        <v>6.5979294250014515</v>
      </c>
      <c r="BA68" s="570">
        <f t="shared" si="55"/>
        <v>5.7975648334218421</v>
      </c>
      <c r="BB68" s="570">
        <f t="shared" si="55"/>
        <v>5.2673740760556509</v>
      </c>
      <c r="BC68" s="570">
        <f t="shared" si="55"/>
        <v>3.6668988156729534</v>
      </c>
      <c r="BD68" s="570">
        <f t="shared" si="55"/>
        <v>2.86729599242289</v>
      </c>
      <c r="BE68" s="570">
        <f t="shared" si="55"/>
        <v>2.3371052350566992</v>
      </c>
      <c r="BF68" s="570">
        <f t="shared" si="55"/>
        <v>1.5418190990073675</v>
      </c>
      <c r="BG68" s="570">
        <f t="shared" si="55"/>
        <v>0.74653296295810601</v>
      </c>
      <c r="BH68" s="570">
        <f t="shared" si="55"/>
        <v>0.21634220559186546</v>
      </c>
      <c r="BI68" s="570">
        <f t="shared" si="55"/>
        <v>0</v>
      </c>
      <c r="BJ68" s="571">
        <f t="shared" si="55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6">+IF(CB68="","",CB68*$AH68)</f>
        <v/>
      </c>
      <c r="CQ68" s="570" t="str">
        <f t="shared" si="56"/>
        <v/>
      </c>
      <c r="CR68" s="570" t="str">
        <f t="shared" si="56"/>
        <v/>
      </c>
      <c r="CS68" s="570" t="str">
        <f t="shared" si="56"/>
        <v/>
      </c>
      <c r="CT68" s="570" t="str">
        <f t="shared" si="56"/>
        <v/>
      </c>
      <c r="CU68" s="570" t="str">
        <f t="shared" si="56"/>
        <v/>
      </c>
      <c r="CV68" s="570" t="str">
        <f t="shared" si="56"/>
        <v/>
      </c>
      <c r="CW68" s="570" t="str">
        <f t="shared" si="56"/>
        <v/>
      </c>
      <c r="CX68" s="570" t="str">
        <f t="shared" si="56"/>
        <v/>
      </c>
      <c r="CY68" s="570" t="str">
        <f t="shared" si="56"/>
        <v/>
      </c>
      <c r="CZ68" s="570" t="str">
        <f t="shared" si="56"/>
        <v/>
      </c>
      <c r="DA68" s="570" t="str">
        <f t="shared" si="56"/>
        <v/>
      </c>
      <c r="DB68" s="570" t="str">
        <f t="shared" si="56"/>
        <v/>
      </c>
      <c r="DC68" s="571" t="str">
        <f t="shared" si="56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1364</v>
      </c>
      <c r="DN68" s="573" t="s">
        <v>1364</v>
      </c>
      <c r="DO68" s="573" t="s">
        <v>1364</v>
      </c>
      <c r="DP68" s="573" t="s">
        <v>1364</v>
      </c>
      <c r="DQ68" s="574" t="s">
        <v>1364</v>
      </c>
    </row>
    <row r="69" spans="1:121" ht="15.75" customHeight="1" x14ac:dyDescent="0.3">
      <c r="I69" s="432" t="s">
        <v>1149</v>
      </c>
      <c r="J69" s="433" t="s">
        <v>1150</v>
      </c>
      <c r="K69" s="431" t="s">
        <v>1022</v>
      </c>
      <c r="L69" s="434" t="s">
        <v>7</v>
      </c>
      <c r="M69" s="434" t="s">
        <v>1119</v>
      </c>
      <c r="N69" s="436">
        <f t="shared" ref="N69:O69" si="57">Y37</f>
        <v>0</v>
      </c>
      <c r="O69" s="556">
        <f t="shared" si="57"/>
        <v>13.106881088314344</v>
      </c>
      <c r="P69" s="557">
        <f t="shared" si="52"/>
        <v>1</v>
      </c>
      <c r="Q69" s="558">
        <f t="shared" si="38"/>
        <v>11.790499076061606</v>
      </c>
      <c r="R69" s="435">
        <f t="shared" ref="R69:V69" si="58">T37</f>
        <v>0</v>
      </c>
      <c r="S69" s="435">
        <f t="shared" si="58"/>
        <v>0</v>
      </c>
      <c r="T69" s="435">
        <f t="shared" si="58"/>
        <v>13.106881088314344</v>
      </c>
      <c r="U69" s="435">
        <f t="shared" si="58"/>
        <v>1.3163820122527377</v>
      </c>
      <c r="V69" s="435">
        <f t="shared" si="58"/>
        <v>0</v>
      </c>
      <c r="W69" s="559">
        <f t="shared" ref="W69:Y69" si="59">+IF($O69=0,"-",R69/$O69)</f>
        <v>0</v>
      </c>
      <c r="X69" s="559">
        <f t="shared" si="59"/>
        <v>0</v>
      </c>
      <c r="Y69" s="559">
        <f t="shared" si="59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60">+IF(AI69="","",AI69*$AH69)</f>
        <v>13.106881088314344</v>
      </c>
      <c r="AX69" s="570">
        <f t="shared" si="60"/>
        <v>12.559113345881718</v>
      </c>
      <c r="AY69" s="570">
        <f t="shared" si="60"/>
        <v>3.9984115958317328</v>
      </c>
      <c r="AZ69" s="570">
        <f t="shared" si="60"/>
        <v>2.1529908592940092</v>
      </c>
      <c r="BA69" s="570">
        <f t="shared" si="60"/>
        <v>1.0764954296470057</v>
      </c>
      <c r="BB69" s="570">
        <f t="shared" si="60"/>
        <v>0</v>
      </c>
      <c r="BC69" s="570">
        <f t="shared" si="60"/>
        <v>0</v>
      </c>
      <c r="BD69" s="570">
        <f t="shared" si="60"/>
        <v>0</v>
      </c>
      <c r="BE69" s="570">
        <f t="shared" si="60"/>
        <v>0</v>
      </c>
      <c r="BF69" s="570">
        <f t="shared" si="60"/>
        <v>0</v>
      </c>
      <c r="BG69" s="570">
        <f t="shared" si="60"/>
        <v>0</v>
      </c>
      <c r="BH69" s="570">
        <f t="shared" si="60"/>
        <v>0</v>
      </c>
      <c r="BI69" s="570">
        <f t="shared" si="60"/>
        <v>0</v>
      </c>
      <c r="BJ69" s="571">
        <f t="shared" si="60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1">+IF(CB69="","",CB69*$AH69)</f>
        <v/>
      </c>
      <c r="CQ69" s="570" t="str">
        <f t="shared" si="61"/>
        <v/>
      </c>
      <c r="CR69" s="570" t="str">
        <f t="shared" si="61"/>
        <v/>
      </c>
      <c r="CS69" s="570" t="str">
        <f t="shared" si="61"/>
        <v/>
      </c>
      <c r="CT69" s="570" t="str">
        <f t="shared" si="61"/>
        <v/>
      </c>
      <c r="CU69" s="570" t="str">
        <f t="shared" si="61"/>
        <v/>
      </c>
      <c r="CV69" s="570" t="str">
        <f t="shared" si="61"/>
        <v/>
      </c>
      <c r="CW69" s="570" t="str">
        <f t="shared" si="61"/>
        <v/>
      </c>
      <c r="CX69" s="570" t="str">
        <f t="shared" si="61"/>
        <v/>
      </c>
      <c r="CY69" s="570" t="str">
        <f t="shared" si="61"/>
        <v/>
      </c>
      <c r="CZ69" s="570" t="str">
        <f t="shared" si="61"/>
        <v/>
      </c>
      <c r="DA69" s="570" t="str">
        <f t="shared" si="61"/>
        <v/>
      </c>
      <c r="DB69" s="570" t="str">
        <f t="shared" si="61"/>
        <v/>
      </c>
      <c r="DC69" s="571" t="str">
        <f t="shared" si="61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1364</v>
      </c>
      <c r="DJ69" s="573" t="s">
        <v>1364</v>
      </c>
      <c r="DK69" s="573" t="s">
        <v>1364</v>
      </c>
      <c r="DL69" s="573" t="s">
        <v>1364</v>
      </c>
      <c r="DM69" s="573" t="s">
        <v>1364</v>
      </c>
      <c r="DN69" s="573" t="s">
        <v>1364</v>
      </c>
      <c r="DO69" s="573" t="s">
        <v>1364</v>
      </c>
      <c r="DP69" s="573" t="s">
        <v>1364</v>
      </c>
      <c r="DQ69" s="574" t="s">
        <v>1364</v>
      </c>
    </row>
    <row r="70" spans="1:121" ht="15.75" customHeight="1" x14ac:dyDescent="0.3">
      <c r="I70" s="431" t="s">
        <v>1149</v>
      </c>
      <c r="J70" s="434" t="s">
        <v>1152</v>
      </c>
      <c r="K70" s="431">
        <v>48</v>
      </c>
      <c r="L70" s="434"/>
      <c r="M70" s="434" t="str">
        <f t="shared" si="36"/>
        <v>Light Oil</v>
      </c>
      <c r="N70" s="575">
        <f t="shared" ref="N70:O70" si="62">Y38</f>
        <v>22.733323234776581</v>
      </c>
      <c r="O70" s="576">
        <f t="shared" si="62"/>
        <v>93.265320299494704</v>
      </c>
      <c r="P70" s="577">
        <f t="shared" si="52"/>
        <v>0.80402078384597564</v>
      </c>
      <c r="Q70" s="578">
        <f t="shared" si="38"/>
        <v>75.291444019366892</v>
      </c>
      <c r="R70" s="579">
        <f t="shared" ref="R70:V70" si="63">T38</f>
        <v>14.103990590462988</v>
      </c>
      <c r="S70" s="579">
        <f t="shared" si="63"/>
        <v>0.82481844578701846</v>
      </c>
      <c r="T70" s="579">
        <f t="shared" si="63"/>
        <v>6.0840367613967006</v>
      </c>
      <c r="U70" s="579">
        <f t="shared" si="63"/>
        <v>3.0450672438778423</v>
      </c>
      <c r="V70" s="579">
        <f t="shared" si="63"/>
        <v>72.252474501848027</v>
      </c>
      <c r="W70" s="580">
        <f t="shared" ref="W70:Y70" si="64">+IF($O70=0,"-",R70/$O70)</f>
        <v>0.15122438378136788</v>
      </c>
      <c r="X70" s="580">
        <f t="shared" si="64"/>
        <v>8.8437850547057762E-3</v>
      </c>
      <c r="Y70" s="580">
        <f t="shared" si="64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5">+IF(AI70="","",AI70*$AH70)</f>
        <v>115.99864353427128</v>
      </c>
      <c r="AX70" s="570">
        <f t="shared" si="65"/>
        <v>132.94121098469506</v>
      </c>
      <c r="AY70" s="570">
        <f t="shared" si="65"/>
        <v>119.10468340735252</v>
      </c>
      <c r="AZ70" s="570">
        <f t="shared" si="65"/>
        <v>92.378134685449467</v>
      </c>
      <c r="BA70" s="570">
        <f t="shared" si="65"/>
        <v>77.394243457523118</v>
      </c>
      <c r="BB70" s="570">
        <f t="shared" si="65"/>
        <v>54.918406615633529</v>
      </c>
      <c r="BC70" s="570">
        <f t="shared" si="65"/>
        <v>40.979716270495516</v>
      </c>
      <c r="BD70" s="570">
        <f t="shared" si="65"/>
        <v>31.687256040403504</v>
      </c>
      <c r="BE70" s="570">
        <f t="shared" si="65"/>
        <v>23.496332591475504</v>
      </c>
      <c r="BF70" s="570">
        <f t="shared" si="65"/>
        <v>11.902086442499098</v>
      </c>
      <c r="BG70" s="570">
        <f t="shared" si="65"/>
        <v>9.595573256011189</v>
      </c>
      <c r="BH70" s="570">
        <f t="shared" si="65"/>
        <v>8.0578977983525846</v>
      </c>
      <c r="BI70" s="570">
        <f t="shared" si="65"/>
        <v>7.2206857158341826</v>
      </c>
      <c r="BJ70" s="571">
        <f t="shared" si="65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6">+IF(CB70="","",CB70*$AH70)</f>
        <v/>
      </c>
      <c r="CQ70" s="570" t="str">
        <f t="shared" si="66"/>
        <v/>
      </c>
      <c r="CR70" s="570" t="str">
        <f t="shared" si="66"/>
        <v/>
      </c>
      <c r="CS70" s="570" t="str">
        <f t="shared" si="66"/>
        <v/>
      </c>
      <c r="CT70" s="570" t="str">
        <f t="shared" si="66"/>
        <v/>
      </c>
      <c r="CU70" s="570" t="str">
        <f t="shared" si="66"/>
        <v/>
      </c>
      <c r="CV70" s="570" t="str">
        <f t="shared" si="66"/>
        <v/>
      </c>
      <c r="CW70" s="570" t="str">
        <f t="shared" si="66"/>
        <v/>
      </c>
      <c r="CX70" s="570" t="str">
        <f t="shared" si="66"/>
        <v/>
      </c>
      <c r="CY70" s="570" t="str">
        <f t="shared" si="66"/>
        <v/>
      </c>
      <c r="CZ70" s="570" t="str">
        <f t="shared" si="66"/>
        <v/>
      </c>
      <c r="DA70" s="570" t="str">
        <f t="shared" si="66"/>
        <v/>
      </c>
      <c r="DB70" s="570" t="str">
        <f t="shared" si="66"/>
        <v/>
      </c>
      <c r="DC70" s="571" t="str">
        <f t="shared" si="66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3">
      <c r="I71" s="431" t="s">
        <v>1149</v>
      </c>
      <c r="J71" s="434" t="s">
        <v>1154</v>
      </c>
      <c r="K71" s="431">
        <v>52</v>
      </c>
      <c r="L71" s="434"/>
      <c r="M71" s="434" t="str">
        <f t="shared" si="36"/>
        <v>Light Oil</v>
      </c>
      <c r="N71" s="575">
        <f t="shared" ref="N71:O71" si="67">Y39</f>
        <v>7.0712088472532377</v>
      </c>
      <c r="O71" s="576">
        <f t="shared" si="67"/>
        <v>83.600151440022017</v>
      </c>
      <c r="P71" s="577">
        <f t="shared" si="52"/>
        <v>0.92201276318289005</v>
      </c>
      <c r="Q71" s="578">
        <f t="shared" si="38"/>
        <v>60.807849771910234</v>
      </c>
      <c r="R71" s="579">
        <f t="shared" ref="R71:V71" si="68">T39</f>
        <v>11.187076555858232</v>
      </c>
      <c r="S71" s="579">
        <f t="shared" si="68"/>
        <v>0.42083397893088031</v>
      </c>
      <c r="T71" s="579">
        <f t="shared" si="68"/>
        <v>11.193699252036202</v>
      </c>
      <c r="U71" s="579">
        <f t="shared" si="68"/>
        <v>11.184391133322654</v>
      </c>
      <c r="V71" s="579">
        <f t="shared" si="68"/>
        <v>60.798541653196693</v>
      </c>
      <c r="W71" s="580">
        <f t="shared" ref="W71:Y71" si="69">+IF($O71=0,"-",R71/$O71)</f>
        <v>0.13381646280729853</v>
      </c>
      <c r="X71" s="580">
        <f t="shared" si="69"/>
        <v>5.0338901506991034E-3</v>
      </c>
      <c r="Y71" s="580">
        <f t="shared" si="69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70">+IF(AI71="","",AI71*$AH71)</f>
        <v>90.671360287275249</v>
      </c>
      <c r="AX71" s="570">
        <f t="shared" si="70"/>
        <v>78.345503612492678</v>
      </c>
      <c r="AY71" s="570">
        <f t="shared" si="70"/>
        <v>56.123066775775108</v>
      </c>
      <c r="AZ71" s="570">
        <f t="shared" si="70"/>
        <v>41.308108884630059</v>
      </c>
      <c r="BA71" s="570">
        <f t="shared" si="70"/>
        <v>40.386590191190876</v>
      </c>
      <c r="BB71" s="570">
        <f t="shared" si="70"/>
        <v>18.094063028502479</v>
      </c>
      <c r="BC71" s="570">
        <f t="shared" si="70"/>
        <v>4.0209028952213517</v>
      </c>
      <c r="BD71" s="570">
        <f t="shared" si="70"/>
        <v>0</v>
      </c>
      <c r="BE71" s="570">
        <f t="shared" si="70"/>
        <v>0</v>
      </c>
      <c r="BF71" s="570">
        <f t="shared" si="70"/>
        <v>0</v>
      </c>
      <c r="BG71" s="570">
        <f t="shared" si="70"/>
        <v>0</v>
      </c>
      <c r="BH71" s="570">
        <f t="shared" si="70"/>
        <v>0</v>
      </c>
      <c r="BI71" s="570">
        <f t="shared" si="70"/>
        <v>0</v>
      </c>
      <c r="BJ71" s="571">
        <f t="shared" si="70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1">+IF(CB71="","",CB71*$AH71)</f>
        <v/>
      </c>
      <c r="CQ71" s="570" t="str">
        <f t="shared" si="71"/>
        <v/>
      </c>
      <c r="CR71" s="570" t="str">
        <f t="shared" si="71"/>
        <v/>
      </c>
      <c r="CS71" s="570" t="str">
        <f t="shared" si="71"/>
        <v/>
      </c>
      <c r="CT71" s="570" t="str">
        <f t="shared" si="71"/>
        <v/>
      </c>
      <c r="CU71" s="570" t="str">
        <f t="shared" si="71"/>
        <v/>
      </c>
      <c r="CV71" s="570" t="str">
        <f t="shared" si="71"/>
        <v/>
      </c>
      <c r="CW71" s="570" t="str">
        <f t="shared" si="71"/>
        <v/>
      </c>
      <c r="CX71" s="570" t="str">
        <f t="shared" si="71"/>
        <v/>
      </c>
      <c r="CY71" s="570" t="str">
        <f t="shared" si="71"/>
        <v/>
      </c>
      <c r="CZ71" s="570" t="str">
        <f t="shared" si="71"/>
        <v/>
      </c>
      <c r="DA71" s="570" t="str">
        <f t="shared" si="71"/>
        <v/>
      </c>
      <c r="DB71" s="570" t="str">
        <f t="shared" si="71"/>
        <v/>
      </c>
      <c r="DC71" s="571" t="str">
        <f t="shared" si="71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1364</v>
      </c>
      <c r="DI71" s="573" t="s">
        <v>1364</v>
      </c>
      <c r="DJ71" s="573" t="s">
        <v>1364</v>
      </c>
      <c r="DK71" s="573" t="s">
        <v>1364</v>
      </c>
      <c r="DL71" s="573" t="s">
        <v>1364</v>
      </c>
      <c r="DM71" s="573" t="s">
        <v>1364</v>
      </c>
      <c r="DN71" s="573" t="s">
        <v>1364</v>
      </c>
      <c r="DO71" s="573" t="s">
        <v>1364</v>
      </c>
      <c r="DP71" s="573" t="s">
        <v>1364</v>
      </c>
      <c r="DQ71" s="574" t="s">
        <v>1364</v>
      </c>
    </row>
    <row r="72" spans="1:121" ht="15.75" customHeight="1" x14ac:dyDescent="0.3">
      <c r="I72" s="431" t="s">
        <v>1149</v>
      </c>
      <c r="J72" s="434" t="s">
        <v>1156</v>
      </c>
      <c r="K72" s="431">
        <v>46</v>
      </c>
      <c r="L72" s="434"/>
      <c r="M72" s="434" t="str">
        <f t="shared" si="36"/>
        <v>Light Oil</v>
      </c>
      <c r="N72" s="575">
        <f t="shared" ref="N72:O72" si="72">Y40</f>
        <v>60.007782289723188</v>
      </c>
      <c r="O72" s="576">
        <f t="shared" si="72"/>
        <v>77.441558868755962</v>
      </c>
      <c r="P72" s="577">
        <f t="shared" si="52"/>
        <v>0.56341891649713927</v>
      </c>
      <c r="Q72" s="578">
        <f t="shared" si="38"/>
        <v>73.646794341073218</v>
      </c>
      <c r="R72" s="579">
        <f t="shared" ref="R72:V72" si="73">T40</f>
        <v>3.345117782148316</v>
      </c>
      <c r="S72" s="579">
        <f t="shared" si="73"/>
        <v>0.44964674553442446</v>
      </c>
      <c r="T72" s="579">
        <f t="shared" si="73"/>
        <v>52.360166687252182</v>
      </c>
      <c r="U72" s="579">
        <f t="shared" si="73"/>
        <v>0</v>
      </c>
      <c r="V72" s="579">
        <f t="shared" si="73"/>
        <v>21.286627653821029</v>
      </c>
      <c r="W72" s="580">
        <f t="shared" ref="W72:Y72" si="74">+IF($O72=0,"-",R72/$O72)</f>
        <v>4.3195382828197612E-2</v>
      </c>
      <c r="X72" s="580">
        <f t="shared" si="74"/>
        <v>5.8062718791141981E-3</v>
      </c>
      <c r="Y72" s="580">
        <f t="shared" si="74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5">+IF(AI72="","",AI72*$AH72)</f>
        <v>137.44934115847914</v>
      </c>
      <c r="AX72" s="570">
        <f t="shared" si="75"/>
        <v>132.01246309372399</v>
      </c>
      <c r="AY72" s="570">
        <f t="shared" si="75"/>
        <v>105.01644464224017</v>
      </c>
      <c r="AZ72" s="570">
        <f t="shared" si="75"/>
        <v>77.001349319514489</v>
      </c>
      <c r="BA72" s="570">
        <f t="shared" si="75"/>
        <v>47.101612548910218</v>
      </c>
      <c r="BB72" s="570">
        <f t="shared" si="75"/>
        <v>34.769927672183989</v>
      </c>
      <c r="BC72" s="570">
        <f t="shared" si="75"/>
        <v>24.189671897843734</v>
      </c>
      <c r="BD72" s="570">
        <f t="shared" si="75"/>
        <v>18.011882599476529</v>
      </c>
      <c r="BE72" s="570">
        <f t="shared" si="75"/>
        <v>13.585522403495304</v>
      </c>
      <c r="BF72" s="570">
        <f t="shared" si="75"/>
        <v>10.070717338719309</v>
      </c>
      <c r="BG72" s="570">
        <f t="shared" si="75"/>
        <v>6.567859133947354</v>
      </c>
      <c r="BH72" s="570">
        <f t="shared" si="75"/>
        <v>4.232620330766097</v>
      </c>
      <c r="BI72" s="570">
        <f t="shared" si="75"/>
        <v>1.8973815275848391</v>
      </c>
      <c r="BJ72" s="571">
        <f t="shared" si="75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6">+IF(CB72="","",CB72*$AH72)</f>
        <v/>
      </c>
      <c r="CQ72" s="570" t="str">
        <f t="shared" si="76"/>
        <v/>
      </c>
      <c r="CR72" s="570" t="str">
        <f t="shared" si="76"/>
        <v/>
      </c>
      <c r="CS72" s="570" t="str">
        <f t="shared" si="76"/>
        <v/>
      </c>
      <c r="CT72" s="570" t="str">
        <f t="shared" si="76"/>
        <v/>
      </c>
      <c r="CU72" s="570" t="str">
        <f t="shared" si="76"/>
        <v/>
      </c>
      <c r="CV72" s="570" t="str">
        <f t="shared" si="76"/>
        <v/>
      </c>
      <c r="CW72" s="570" t="str">
        <f t="shared" si="76"/>
        <v/>
      </c>
      <c r="CX72" s="570" t="str">
        <f t="shared" si="76"/>
        <v/>
      </c>
      <c r="CY72" s="570" t="str">
        <f t="shared" si="76"/>
        <v/>
      </c>
      <c r="CZ72" s="570" t="str">
        <f t="shared" si="76"/>
        <v/>
      </c>
      <c r="DA72" s="570" t="str">
        <f t="shared" si="76"/>
        <v/>
      </c>
      <c r="DB72" s="570" t="str">
        <f t="shared" si="76"/>
        <v/>
      </c>
      <c r="DC72" s="571" t="str">
        <f t="shared" si="76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1364</v>
      </c>
      <c r="DO72" s="573" t="s">
        <v>1364</v>
      </c>
      <c r="DP72" s="573" t="s">
        <v>1364</v>
      </c>
      <c r="DQ72" s="574" t="s">
        <v>1364</v>
      </c>
    </row>
    <row r="73" spans="1:121" ht="15.75" customHeight="1" x14ac:dyDescent="0.3">
      <c r="I73" s="431" t="s">
        <v>1149</v>
      </c>
      <c r="J73" s="434" t="s">
        <v>1157</v>
      </c>
      <c r="K73" s="431">
        <f>44+((47-44)/2)</f>
        <v>45.5</v>
      </c>
      <c r="L73" s="434"/>
      <c r="M73" s="434" t="str">
        <f t="shared" si="36"/>
        <v>Light Oil</v>
      </c>
      <c r="N73" s="575">
        <f t="shared" ref="N73:O73" si="77">Y41</f>
        <v>17.796808939248596</v>
      </c>
      <c r="O73" s="583">
        <f t="shared" si="77"/>
        <v>1.7694814439043327</v>
      </c>
      <c r="P73" s="577">
        <f t="shared" si="52"/>
        <v>9.0435203058618671E-2</v>
      </c>
      <c r="Q73" s="578">
        <f t="shared" si="38"/>
        <v>0</v>
      </c>
      <c r="R73" s="584">
        <f t="shared" ref="R73:V73" si="78">T41</f>
        <v>0.2018105131061125</v>
      </c>
      <c r="S73" s="584">
        <f t="shared" si="78"/>
        <v>1.5676709307982222</v>
      </c>
      <c r="T73" s="579">
        <f t="shared" si="78"/>
        <v>0</v>
      </c>
      <c r="U73" s="579">
        <f t="shared" si="78"/>
        <v>0</v>
      </c>
      <c r="V73" s="579">
        <f t="shared" si="78"/>
        <v>0</v>
      </c>
      <c r="W73" s="580">
        <f t="shared" ref="W73:Y73" si="79">+IF($O73=0,"-",R73/$O73)</f>
        <v>0.11405065241081071</v>
      </c>
      <c r="X73" s="580">
        <f t="shared" si="79"/>
        <v>0.88594934758919042</v>
      </c>
      <c r="Y73" s="580">
        <f t="shared" si="79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80">+IF(AI73="","",AI73*$AH73)</f>
        <v>19.566290383152928</v>
      </c>
      <c r="AX73" s="570">
        <f t="shared" si="80"/>
        <v>13.740457757961105</v>
      </c>
      <c r="AY73" s="570">
        <f t="shared" si="80"/>
        <v>11.469144829754304</v>
      </c>
      <c r="AZ73" s="570">
        <f t="shared" si="80"/>
        <v>8.3778233151679586</v>
      </c>
      <c r="BA73" s="570">
        <f t="shared" si="80"/>
        <v>5.3527514800288261</v>
      </c>
      <c r="BB73" s="570">
        <f t="shared" si="80"/>
        <v>4.170215030466454</v>
      </c>
      <c r="BC73" s="570">
        <f t="shared" si="80"/>
        <v>3.1896407819590231</v>
      </c>
      <c r="BD73" s="570">
        <f t="shared" si="80"/>
        <v>2.5359246162873696</v>
      </c>
      <c r="BE73" s="570">
        <f t="shared" si="80"/>
        <v>1.9961358460825875</v>
      </c>
      <c r="BF73" s="570">
        <f t="shared" si="80"/>
        <v>1.4240924433358944</v>
      </c>
      <c r="BG73" s="570">
        <f t="shared" si="80"/>
        <v>1.1910591344263837</v>
      </c>
      <c r="BH73" s="570">
        <f t="shared" si="80"/>
        <v>1.0357035951533768</v>
      </c>
      <c r="BI73" s="570">
        <f t="shared" si="80"/>
        <v>0.91141916373497178</v>
      </c>
      <c r="BJ73" s="571">
        <f t="shared" si="80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1">+IF(CB73="","",CB73*$AH73)</f>
        <v/>
      </c>
      <c r="CQ73" s="570" t="str">
        <f t="shared" si="81"/>
        <v/>
      </c>
      <c r="CR73" s="570" t="str">
        <f t="shared" si="81"/>
        <v/>
      </c>
      <c r="CS73" s="570" t="str">
        <f t="shared" si="81"/>
        <v/>
      </c>
      <c r="CT73" s="570" t="str">
        <f t="shared" si="81"/>
        <v/>
      </c>
      <c r="CU73" s="570" t="str">
        <f t="shared" si="81"/>
        <v/>
      </c>
      <c r="CV73" s="570" t="str">
        <f t="shared" si="81"/>
        <v/>
      </c>
      <c r="CW73" s="570" t="str">
        <f t="shared" si="81"/>
        <v/>
      </c>
      <c r="CX73" s="570" t="str">
        <f t="shared" si="81"/>
        <v/>
      </c>
      <c r="CY73" s="570" t="str">
        <f t="shared" si="81"/>
        <v/>
      </c>
      <c r="CZ73" s="570" t="str">
        <f t="shared" si="81"/>
        <v/>
      </c>
      <c r="DA73" s="570" t="str">
        <f t="shared" si="81"/>
        <v/>
      </c>
      <c r="DB73" s="570" t="str">
        <f t="shared" si="81"/>
        <v/>
      </c>
      <c r="DC73" s="571" t="str">
        <f t="shared" si="81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2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3">
      <c r="I74" s="431" t="s">
        <v>1149</v>
      </c>
      <c r="J74" s="434" t="s">
        <v>1159</v>
      </c>
      <c r="K74" s="431">
        <f>11.3+(14.4-11.3)/2</f>
        <v>12.850000000000001</v>
      </c>
      <c r="L74" s="434"/>
      <c r="M74" s="434" t="str">
        <f t="shared" si="36"/>
        <v>Heavy Oil</v>
      </c>
      <c r="N74" s="575">
        <f t="shared" ref="N74:O74" si="83">Y42</f>
        <v>265.08224689210181</v>
      </c>
      <c r="O74" s="576">
        <f t="shared" si="83"/>
        <v>0</v>
      </c>
      <c r="P74" s="577">
        <f t="shared" si="52"/>
        <v>0</v>
      </c>
      <c r="Q74" s="578">
        <f t="shared" si="38"/>
        <v>0</v>
      </c>
      <c r="R74" s="579">
        <f t="shared" ref="R74:V74" si="84">T42</f>
        <v>0</v>
      </c>
      <c r="S74" s="579">
        <f t="shared" si="84"/>
        <v>0</v>
      </c>
      <c r="T74" s="579">
        <f t="shared" si="84"/>
        <v>0</v>
      </c>
      <c r="U74" s="579">
        <f t="shared" si="84"/>
        <v>0</v>
      </c>
      <c r="V74" s="579">
        <f t="shared" si="84"/>
        <v>0</v>
      </c>
      <c r="W74" s="580" t="str">
        <f t="shared" ref="W74:Y74" si="85">+IF($O74=0,"-",R74/$O74)</f>
        <v>-</v>
      </c>
      <c r="X74" s="580" t="str">
        <f t="shared" si="85"/>
        <v>-</v>
      </c>
      <c r="Y74" s="580" t="str">
        <f t="shared" si="85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6">+IF(AI74="","",AI74*$AH74)</f>
        <v>265.08224689210181</v>
      </c>
      <c r="AX74" s="570">
        <f t="shared" si="86"/>
        <v>249.9574340063663</v>
      </c>
      <c r="AY74" s="570">
        <f t="shared" si="86"/>
        <v>200.28436431847692</v>
      </c>
      <c r="AZ74" s="570">
        <f t="shared" si="86"/>
        <v>167.1689845265507</v>
      </c>
      <c r="BA74" s="570">
        <f t="shared" si="86"/>
        <v>135.32727318816009</v>
      </c>
      <c r="BB74" s="570">
        <f t="shared" si="86"/>
        <v>87.564706180574163</v>
      </c>
      <c r="BC74" s="570">
        <f t="shared" si="86"/>
        <v>68.4596793775398</v>
      </c>
      <c r="BD74" s="570">
        <f t="shared" si="86"/>
        <v>55.722994842183546</v>
      </c>
      <c r="BE74" s="570">
        <f t="shared" si="86"/>
        <v>42.986310306828031</v>
      </c>
      <c r="BF74" s="570">
        <f t="shared" si="86"/>
        <v>23.881283503794084</v>
      </c>
      <c r="BG74" s="570">
        <f t="shared" si="86"/>
        <v>4.7762567007601335</v>
      </c>
      <c r="BH74" s="570">
        <f t="shared" si="86"/>
        <v>0</v>
      </c>
      <c r="BI74" s="570">
        <f t="shared" si="86"/>
        <v>0</v>
      </c>
      <c r="BJ74" s="571">
        <f t="shared" si="86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7">+IF(CB74="","",CB74*$AH74)</f>
        <v/>
      </c>
      <c r="CQ74" s="570" t="str">
        <f t="shared" si="87"/>
        <v/>
      </c>
      <c r="CR74" s="570" t="str">
        <f t="shared" si="87"/>
        <v/>
      </c>
      <c r="CS74" s="570" t="str">
        <f t="shared" si="87"/>
        <v/>
      </c>
      <c r="CT74" s="570" t="str">
        <f t="shared" si="87"/>
        <v/>
      </c>
      <c r="CU74" s="570" t="str">
        <f t="shared" si="87"/>
        <v/>
      </c>
      <c r="CV74" s="570" t="str">
        <f t="shared" si="87"/>
        <v/>
      </c>
      <c r="CW74" s="570" t="str">
        <f t="shared" si="87"/>
        <v/>
      </c>
      <c r="CX74" s="570" t="str">
        <f t="shared" si="87"/>
        <v/>
      </c>
      <c r="CY74" s="570" t="str">
        <f t="shared" si="87"/>
        <v/>
      </c>
      <c r="CZ74" s="570" t="str">
        <f t="shared" si="87"/>
        <v/>
      </c>
      <c r="DA74" s="570" t="str">
        <f t="shared" si="87"/>
        <v/>
      </c>
      <c r="DB74" s="570" t="str">
        <f t="shared" si="87"/>
        <v/>
      </c>
      <c r="DC74" s="571" t="str">
        <f t="shared" si="87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8">+DG74+(DI74-DG74)*(2027-2025)/(2030-2025)</f>
        <v>135.32727318816009</v>
      </c>
      <c r="DI74" s="570">
        <v>87.564706180574163</v>
      </c>
      <c r="DJ74" s="572">
        <f t="shared" si="82"/>
        <v>68.4596793775398</v>
      </c>
      <c r="DK74" s="570">
        <v>55.722994842183546</v>
      </c>
      <c r="DL74" s="573" t="s">
        <v>1364</v>
      </c>
      <c r="DM74" s="573" t="s">
        <v>1364</v>
      </c>
      <c r="DN74" s="573" t="s">
        <v>1364</v>
      </c>
      <c r="DO74" s="573" t="s">
        <v>1364</v>
      </c>
      <c r="DP74" s="573" t="s">
        <v>1364</v>
      </c>
      <c r="DQ74" s="574" t="s">
        <v>1364</v>
      </c>
    </row>
    <row r="75" spans="1:121" ht="15.75" customHeight="1" x14ac:dyDescent="0.3">
      <c r="I75" s="431" t="s">
        <v>1149</v>
      </c>
      <c r="J75" s="434" t="s">
        <v>1161</v>
      </c>
      <c r="K75" s="431">
        <v>13.7</v>
      </c>
      <c r="L75" s="434"/>
      <c r="M75" s="434" t="str">
        <f t="shared" si="36"/>
        <v>Heavy Oil</v>
      </c>
      <c r="N75" s="575">
        <f t="shared" ref="N75:O75" si="89">Y43</f>
        <v>253.41187670697005</v>
      </c>
      <c r="O75" s="576">
        <f t="shared" si="89"/>
        <v>0</v>
      </c>
      <c r="P75" s="577">
        <f t="shared" si="52"/>
        <v>0</v>
      </c>
      <c r="Q75" s="578">
        <f t="shared" si="38"/>
        <v>0</v>
      </c>
      <c r="R75" s="579">
        <f t="shared" ref="R75:V75" si="90">T43</f>
        <v>0</v>
      </c>
      <c r="S75" s="579">
        <f t="shared" si="90"/>
        <v>0</v>
      </c>
      <c r="T75" s="579">
        <f t="shared" si="90"/>
        <v>0</v>
      </c>
      <c r="U75" s="579">
        <f t="shared" si="90"/>
        <v>0</v>
      </c>
      <c r="V75" s="579">
        <f t="shared" si="90"/>
        <v>0</v>
      </c>
      <c r="W75" s="580" t="str">
        <f t="shared" ref="W75:Y75" si="91">+IF($O75=0,"-",R75/$O75)</f>
        <v>-</v>
      </c>
      <c r="X75" s="580" t="str">
        <f t="shared" si="91"/>
        <v>-</v>
      </c>
      <c r="Y75" s="580" t="str">
        <f t="shared" si="91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2">+IF(AI75="","",AI75*$AH75)</f>
        <v>253.41187670697005</v>
      </c>
      <c r="AX75" s="570">
        <f t="shared" si="92"/>
        <v>253.73863141463579</v>
      </c>
      <c r="AY75" s="570">
        <f t="shared" si="92"/>
        <v>201.09439133035221</v>
      </c>
      <c r="AZ75" s="570">
        <f t="shared" si="92"/>
        <v>170.91612518703496</v>
      </c>
      <c r="BA75" s="570">
        <f t="shared" si="92"/>
        <v>152.99058897831154</v>
      </c>
      <c r="BB75" s="570">
        <f t="shared" si="92"/>
        <v>126.10228466522641</v>
      </c>
      <c r="BC75" s="570">
        <f t="shared" si="92"/>
        <v>109.80051468914307</v>
      </c>
      <c r="BD75" s="570">
        <f t="shared" si="92"/>
        <v>98.932668038420843</v>
      </c>
      <c r="BE75" s="570">
        <f t="shared" si="92"/>
        <v>88.077570685563884</v>
      </c>
      <c r="BF75" s="570">
        <f t="shared" si="92"/>
        <v>71.812406576554963</v>
      </c>
      <c r="BG75" s="570">
        <f t="shared" si="92"/>
        <v>56.553999534154904</v>
      </c>
      <c r="BH75" s="570">
        <f t="shared" si="92"/>
        <v>53.726680615404732</v>
      </c>
      <c r="BI75" s="570">
        <f t="shared" si="92"/>
        <v>51.389025192843988</v>
      </c>
      <c r="BJ75" s="571">
        <f t="shared" si="92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3">+IF(CB75="","",CB75*$AH75)</f>
        <v/>
      </c>
      <c r="CQ75" s="570" t="str">
        <f t="shared" si="93"/>
        <v/>
      </c>
      <c r="CR75" s="570" t="str">
        <f t="shared" si="93"/>
        <v/>
      </c>
      <c r="CS75" s="570" t="str">
        <f t="shared" si="93"/>
        <v/>
      </c>
      <c r="CT75" s="570" t="str">
        <f t="shared" si="93"/>
        <v/>
      </c>
      <c r="CU75" s="570" t="str">
        <f t="shared" si="93"/>
        <v/>
      </c>
      <c r="CV75" s="570" t="str">
        <f t="shared" si="93"/>
        <v/>
      </c>
      <c r="CW75" s="570" t="str">
        <f t="shared" si="93"/>
        <v/>
      </c>
      <c r="CX75" s="570" t="str">
        <f t="shared" si="93"/>
        <v/>
      </c>
      <c r="CY75" s="570" t="str">
        <f t="shared" si="93"/>
        <v/>
      </c>
      <c r="CZ75" s="570" t="str">
        <f t="shared" si="93"/>
        <v/>
      </c>
      <c r="DA75" s="570" t="str">
        <f t="shared" si="93"/>
        <v/>
      </c>
      <c r="DB75" s="570" t="str">
        <f t="shared" si="93"/>
        <v/>
      </c>
      <c r="DC75" s="571" t="str">
        <f t="shared" si="93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8"/>
        <v>101.77717145046412</v>
      </c>
      <c r="DI75" s="570">
        <v>126.10228466522641</v>
      </c>
      <c r="DJ75" s="572">
        <f t="shared" si="82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3">
      <c r="I76" s="431" t="s">
        <v>1149</v>
      </c>
      <c r="J76" s="434" t="s">
        <v>1163</v>
      </c>
      <c r="K76" s="431">
        <f>7+(20-7)/2</f>
        <v>13.5</v>
      </c>
      <c r="L76" s="434"/>
      <c r="M76" s="434" t="str">
        <f t="shared" si="36"/>
        <v>Heavy Oil</v>
      </c>
      <c r="N76" s="575">
        <f t="shared" ref="N76:O76" si="94">Y44</f>
        <v>153.50718826671843</v>
      </c>
      <c r="O76" s="576">
        <f t="shared" si="94"/>
        <v>1.3978936722236606</v>
      </c>
      <c r="P76" s="577">
        <f t="shared" si="52"/>
        <v>9.0241950407712185E-3</v>
      </c>
      <c r="Q76" s="578">
        <f t="shared" si="38"/>
        <v>0</v>
      </c>
      <c r="R76" s="579">
        <f t="shared" ref="R76:V76" si="95">T44</f>
        <v>0.32109980889709927</v>
      </c>
      <c r="S76" s="579">
        <f t="shared" si="95"/>
        <v>1.0767938633265612</v>
      </c>
      <c r="T76" s="579">
        <f t="shared" si="95"/>
        <v>0</v>
      </c>
      <c r="U76" s="579">
        <f t="shared" si="95"/>
        <v>0</v>
      </c>
      <c r="V76" s="579">
        <f t="shared" si="95"/>
        <v>0</v>
      </c>
      <c r="W76" s="580">
        <f t="shared" ref="W76:Y76" si="96">+IF($O76=0,"-",R76/$O76)</f>
        <v>0.22970259847182703</v>
      </c>
      <c r="X76" s="580">
        <f t="shared" si="96"/>
        <v>0.77029740152817294</v>
      </c>
      <c r="Y76" s="580">
        <f t="shared" si="96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7">+IF(AI76="","",AI76*$AH76)</f>
        <v>154.90508193894209</v>
      </c>
      <c r="AX76" s="570">
        <f t="shared" si="97"/>
        <v>154.72434684201744</v>
      </c>
      <c r="AY76" s="570">
        <f t="shared" si="97"/>
        <v>138.8663199640701</v>
      </c>
      <c r="AZ76" s="570">
        <f t="shared" si="97"/>
        <v>117.04626235484743</v>
      </c>
      <c r="BA76" s="570">
        <f t="shared" si="97"/>
        <v>98.014063016637479</v>
      </c>
      <c r="BB76" s="570">
        <f t="shared" si="97"/>
        <v>69.465764009322527</v>
      </c>
      <c r="BC76" s="570">
        <f t="shared" si="97"/>
        <v>58.093071312660456</v>
      </c>
      <c r="BD76" s="570">
        <f t="shared" si="97"/>
        <v>45.658770636501401</v>
      </c>
      <c r="BE76" s="570">
        <f t="shared" si="97"/>
        <v>35.000997912746357</v>
      </c>
      <c r="BF76" s="570">
        <f t="shared" si="97"/>
        <v>19.014338827113264</v>
      </c>
      <c r="BG76" s="570">
        <f t="shared" si="97"/>
        <v>9.7304444223874231</v>
      </c>
      <c r="BH76" s="570">
        <f t="shared" si="97"/>
        <v>7.6771498704377867</v>
      </c>
      <c r="BI76" s="570">
        <f t="shared" si="97"/>
        <v>5.6238553184884772</v>
      </c>
      <c r="BJ76" s="571">
        <f t="shared" si="97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8">+IF(CB76="","",CB76*$AH76)</f>
        <v/>
      </c>
      <c r="CQ76" s="570" t="str">
        <f t="shared" si="98"/>
        <v/>
      </c>
      <c r="CR76" s="570" t="str">
        <f t="shared" si="98"/>
        <v/>
      </c>
      <c r="CS76" s="570" t="str">
        <f t="shared" si="98"/>
        <v/>
      </c>
      <c r="CT76" s="570" t="str">
        <f t="shared" si="98"/>
        <v/>
      </c>
      <c r="CU76" s="570" t="str">
        <f t="shared" si="98"/>
        <v/>
      </c>
      <c r="CV76" s="570" t="str">
        <f t="shared" si="98"/>
        <v/>
      </c>
      <c r="CW76" s="570" t="str">
        <f t="shared" si="98"/>
        <v/>
      </c>
      <c r="CX76" s="570" t="str">
        <f t="shared" si="98"/>
        <v/>
      </c>
      <c r="CY76" s="570" t="str">
        <f t="shared" si="98"/>
        <v/>
      </c>
      <c r="CZ76" s="570" t="str">
        <f t="shared" si="98"/>
        <v/>
      </c>
      <c r="DA76" s="570" t="str">
        <f t="shared" si="98"/>
        <v/>
      </c>
      <c r="DB76" s="570" t="str">
        <f t="shared" si="98"/>
        <v/>
      </c>
      <c r="DC76" s="571" t="str">
        <f t="shared" si="98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8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1364</v>
      </c>
      <c r="DP76" s="573" t="s">
        <v>1364</v>
      </c>
      <c r="DQ76" s="574" t="s">
        <v>1364</v>
      </c>
    </row>
    <row r="77" spans="1:121" ht="15.75" customHeight="1" x14ac:dyDescent="0.3">
      <c r="I77" s="431" t="s">
        <v>1149</v>
      </c>
      <c r="J77" s="434" t="s">
        <v>1164</v>
      </c>
      <c r="K77" s="431">
        <v>8</v>
      </c>
      <c r="L77" s="434"/>
      <c r="M77" s="434" t="str">
        <f t="shared" si="36"/>
        <v>Heavy Oil</v>
      </c>
      <c r="N77" s="575">
        <f t="shared" ref="N77:O77" si="99">Y45</f>
        <v>43.895597705669182</v>
      </c>
      <c r="O77" s="576">
        <f t="shared" si="99"/>
        <v>0.21448045777585595</v>
      </c>
      <c r="P77" s="577">
        <f t="shared" si="52"/>
        <v>4.8623912426797849E-3</v>
      </c>
      <c r="Q77" s="578">
        <f t="shared" si="38"/>
        <v>0</v>
      </c>
      <c r="R77" s="579">
        <f t="shared" ref="R77:V77" si="100">T45</f>
        <v>0</v>
      </c>
      <c r="S77" s="579">
        <f t="shared" si="100"/>
        <v>0.21448045777585595</v>
      </c>
      <c r="T77" s="579">
        <f t="shared" si="100"/>
        <v>0</v>
      </c>
      <c r="U77" s="579">
        <f t="shared" si="100"/>
        <v>0</v>
      </c>
      <c r="V77" s="579">
        <f t="shared" si="100"/>
        <v>0</v>
      </c>
      <c r="W77" s="580">
        <f t="shared" ref="W77:Y77" si="101">+IF($O77=0,"-",R77/$O77)</f>
        <v>0</v>
      </c>
      <c r="X77" s="580">
        <f t="shared" si="101"/>
        <v>1</v>
      </c>
      <c r="Y77" s="580">
        <f t="shared" si="101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2">+IF(AI77="","",AI77*$AH77)</f>
        <v>44.110078163445039</v>
      </c>
      <c r="AX77" s="570">
        <f t="shared" si="102"/>
        <v>22.264362144620662</v>
      </c>
      <c r="AY77" s="570">
        <f t="shared" si="102"/>
        <v>44.148136902153794</v>
      </c>
      <c r="AZ77" s="570">
        <f t="shared" si="102"/>
        <v>37.297563934578207</v>
      </c>
      <c r="BA77" s="570">
        <f t="shared" si="102"/>
        <v>32.654397812110311</v>
      </c>
      <c r="BB77" s="570">
        <f t="shared" si="102"/>
        <v>25.689648628408463</v>
      </c>
      <c r="BC77" s="570">
        <f t="shared" si="102"/>
        <v>21.122599983358072</v>
      </c>
      <c r="BD77" s="570">
        <f t="shared" si="102"/>
        <v>18.077900886657808</v>
      </c>
      <c r="BE77" s="570">
        <f t="shared" si="102"/>
        <v>15.870494041550115</v>
      </c>
      <c r="BF77" s="570">
        <f t="shared" si="102"/>
        <v>12.559383773888579</v>
      </c>
      <c r="BG77" s="570">
        <f t="shared" si="102"/>
        <v>10.390035667489647</v>
      </c>
      <c r="BH77" s="570">
        <f t="shared" si="102"/>
        <v>8.9438035965570233</v>
      </c>
      <c r="BI77" s="570">
        <f t="shared" si="102"/>
        <v>7.231160354663122</v>
      </c>
      <c r="BJ77" s="571">
        <f t="shared" si="102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3">+IF(CB77="","",CB77*$AH77)</f>
        <v/>
      </c>
      <c r="CQ77" s="570" t="str">
        <f t="shared" si="103"/>
        <v/>
      </c>
      <c r="CR77" s="570" t="str">
        <f t="shared" si="103"/>
        <v/>
      </c>
      <c r="CS77" s="570" t="str">
        <f t="shared" si="103"/>
        <v/>
      </c>
      <c r="CT77" s="570" t="str">
        <f t="shared" si="103"/>
        <v/>
      </c>
      <c r="CU77" s="570" t="str">
        <f t="shared" si="103"/>
        <v/>
      </c>
      <c r="CV77" s="570" t="str">
        <f t="shared" si="103"/>
        <v/>
      </c>
      <c r="CW77" s="570" t="str">
        <f t="shared" si="103"/>
        <v/>
      </c>
      <c r="CX77" s="570" t="str">
        <f t="shared" si="103"/>
        <v/>
      </c>
      <c r="CY77" s="570" t="str">
        <f t="shared" si="103"/>
        <v/>
      </c>
      <c r="CZ77" s="570" t="str">
        <f t="shared" si="103"/>
        <v/>
      </c>
      <c r="DA77" s="570" t="str">
        <f t="shared" si="103"/>
        <v/>
      </c>
      <c r="DB77" s="570" t="str">
        <f t="shared" si="103"/>
        <v/>
      </c>
      <c r="DC77" s="571" t="str">
        <f t="shared" si="103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8"/>
        <v>32.654397812110311</v>
      </c>
      <c r="DI77" s="570">
        <v>25.689648628408463</v>
      </c>
      <c r="DJ77" s="572">
        <f t="shared" ref="DJ77:DJ80" si="104">+DI77+(DK77-DI77)*(2033-2030)/(2035-2030)</f>
        <v>21.122599983358072</v>
      </c>
      <c r="DK77" s="570">
        <v>18.077900886657808</v>
      </c>
      <c r="DL77" s="572">
        <f t="shared" ref="DL77:DL83" si="105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1364</v>
      </c>
    </row>
    <row r="78" spans="1:121" ht="15.75" customHeight="1" x14ac:dyDescent="0.3">
      <c r="I78" s="431" t="s">
        <v>1149</v>
      </c>
      <c r="J78" s="434" t="s">
        <v>1166</v>
      </c>
      <c r="K78" s="431">
        <v>13.5</v>
      </c>
      <c r="L78" s="434"/>
      <c r="M78" s="434" t="str">
        <f t="shared" si="36"/>
        <v>Heavy Oil</v>
      </c>
      <c r="N78" s="575">
        <f t="shared" ref="N78:O78" si="106">Y46</f>
        <v>8.7564836170076354</v>
      </c>
      <c r="O78" s="575">
        <f t="shared" si="106"/>
        <v>0.43874352621703561</v>
      </c>
      <c r="P78" s="577">
        <f t="shared" si="52"/>
        <v>4.771426734578444E-2</v>
      </c>
      <c r="Q78" s="578">
        <f t="shared" si="38"/>
        <v>0.23786180586758954</v>
      </c>
      <c r="R78" s="579">
        <f t="shared" ref="R78:V78" si="107">T46</f>
        <v>5.7140945681870784E-3</v>
      </c>
      <c r="S78" s="579">
        <f t="shared" si="107"/>
        <v>0</v>
      </c>
      <c r="T78" s="579">
        <f t="shared" si="107"/>
        <v>0.4330294316488485</v>
      </c>
      <c r="U78" s="579">
        <f t="shared" si="107"/>
        <v>0.19516762578125896</v>
      </c>
      <c r="V78" s="579">
        <f t="shared" si="107"/>
        <v>0</v>
      </c>
      <c r="W78" s="580">
        <f t="shared" ref="W78:Y78" si="108">+IF($O78=0,"-",R78/$O78)</f>
        <v>1.302376952990175E-2</v>
      </c>
      <c r="X78" s="580">
        <f t="shared" si="108"/>
        <v>0</v>
      </c>
      <c r="Y78" s="580">
        <f t="shared" si="108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9">+IF(AI78="","",AI78*$AH78)</f>
        <v>9.1952271432246704</v>
      </c>
      <c r="AX78" s="570">
        <f t="shared" si="109"/>
        <v>7.1774766229618319</v>
      </c>
      <c r="AY78" s="570">
        <f t="shared" si="109"/>
        <v>3.1642957323075032</v>
      </c>
      <c r="AZ78" s="570">
        <f t="shared" si="109"/>
        <v>1.9957773526773965</v>
      </c>
      <c r="BA78" s="570">
        <f t="shared" si="109"/>
        <v>1.584932033120062</v>
      </c>
      <c r="BB78" s="570">
        <f t="shared" si="109"/>
        <v>0.96866405378406029</v>
      </c>
      <c r="BC78" s="570">
        <f t="shared" si="109"/>
        <v>0.35614784474023137</v>
      </c>
      <c r="BD78" s="570">
        <f t="shared" si="109"/>
        <v>0.26939479209415684</v>
      </c>
      <c r="BE78" s="570">
        <f t="shared" si="109"/>
        <v>0.21398480822274127</v>
      </c>
      <c r="BF78" s="570">
        <f t="shared" si="109"/>
        <v>0.13086983241561789</v>
      </c>
      <c r="BG78" s="570">
        <f t="shared" si="109"/>
        <v>4.7754856608500817E-2</v>
      </c>
      <c r="BH78" s="570">
        <f t="shared" si="109"/>
        <v>0</v>
      </c>
      <c r="BI78" s="570">
        <f t="shared" si="109"/>
        <v>0</v>
      </c>
      <c r="BJ78" s="571">
        <f t="shared" si="109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10">+IF(CB78="","",CB78*$AH78)</f>
        <v/>
      </c>
      <c r="CQ78" s="570" t="str">
        <f t="shared" si="110"/>
        <v/>
      </c>
      <c r="CR78" s="570" t="str">
        <f t="shared" si="110"/>
        <v/>
      </c>
      <c r="CS78" s="570" t="str">
        <f t="shared" si="110"/>
        <v/>
      </c>
      <c r="CT78" s="570" t="str">
        <f t="shared" si="110"/>
        <v/>
      </c>
      <c r="CU78" s="570" t="str">
        <f t="shared" si="110"/>
        <v/>
      </c>
      <c r="CV78" s="570" t="str">
        <f t="shared" si="110"/>
        <v/>
      </c>
      <c r="CW78" s="570" t="str">
        <f t="shared" si="110"/>
        <v/>
      </c>
      <c r="CX78" s="570" t="str">
        <f t="shared" si="110"/>
        <v/>
      </c>
      <c r="CY78" s="570" t="str">
        <f t="shared" si="110"/>
        <v/>
      </c>
      <c r="CZ78" s="570" t="str">
        <f t="shared" si="110"/>
        <v/>
      </c>
      <c r="DA78" s="570" t="str">
        <f t="shared" si="110"/>
        <v/>
      </c>
      <c r="DB78" s="570" t="str">
        <f t="shared" si="110"/>
        <v/>
      </c>
      <c r="DC78" s="571" t="str">
        <f t="shared" si="110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8"/>
        <v>1.584932033120062</v>
      </c>
      <c r="DI78" s="570">
        <v>0.96866405378406029</v>
      </c>
      <c r="DJ78" s="572">
        <f t="shared" si="104"/>
        <v>0.54910249677011824</v>
      </c>
      <c r="DK78" s="570">
        <v>0.26939479209415684</v>
      </c>
      <c r="DL78" s="572">
        <f t="shared" si="105"/>
        <v>0.21398480822274127</v>
      </c>
      <c r="DM78" s="570">
        <v>0.13086983241561789</v>
      </c>
      <c r="DN78" s="573" t="s">
        <v>1364</v>
      </c>
      <c r="DO78" s="573" t="s">
        <v>1364</v>
      </c>
      <c r="DP78" s="573" t="s">
        <v>1364</v>
      </c>
      <c r="DQ78" s="574" t="s">
        <v>1364</v>
      </c>
    </row>
    <row r="79" spans="1:121" ht="15.75" customHeight="1" x14ac:dyDescent="0.3">
      <c r="I79" s="431" t="s">
        <v>1168</v>
      </c>
      <c r="J79" s="434" t="s">
        <v>1167</v>
      </c>
      <c r="K79" s="431">
        <v>35</v>
      </c>
      <c r="L79" s="434"/>
      <c r="M79" s="434" t="str">
        <f t="shared" si="36"/>
        <v>Light Oil</v>
      </c>
      <c r="N79" s="575">
        <f t="shared" ref="N79:O79" si="111">Y47</f>
        <v>4.3593517548323124</v>
      </c>
      <c r="O79" s="576">
        <f t="shared" si="111"/>
        <v>1.2759391450439788</v>
      </c>
      <c r="P79" s="577">
        <f t="shared" si="52"/>
        <v>0.2264193930205074</v>
      </c>
      <c r="Q79" s="578">
        <f t="shared" si="38"/>
        <v>0</v>
      </c>
      <c r="R79" s="579">
        <f t="shared" ref="R79:V79" si="112">T47</f>
        <v>0</v>
      </c>
      <c r="S79" s="579">
        <f t="shared" si="112"/>
        <v>1.2759391450439788</v>
      </c>
      <c r="T79" s="579">
        <f t="shared" si="112"/>
        <v>0</v>
      </c>
      <c r="U79" s="579">
        <f t="shared" si="112"/>
        <v>0</v>
      </c>
      <c r="V79" s="579">
        <f t="shared" si="112"/>
        <v>0</v>
      </c>
      <c r="W79" s="580">
        <f t="shared" ref="W79:Y79" si="113">+IF($O79=0,"-",R79/$O79)</f>
        <v>0</v>
      </c>
      <c r="X79" s="580">
        <f t="shared" si="113"/>
        <v>1</v>
      </c>
      <c r="Y79" s="580">
        <f t="shared" si="113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4">+IF(AI79="","",AI79*$AH79)</f>
        <v>5.6352908998762912</v>
      </c>
      <c r="AX79" s="570">
        <f t="shared" si="114"/>
        <v>5.3251450871105153</v>
      </c>
      <c r="AY79" s="570">
        <f t="shared" si="114"/>
        <v>4.6229281525464918</v>
      </c>
      <c r="AZ79" s="570">
        <f t="shared" si="114"/>
        <v>4.1547835295038089</v>
      </c>
      <c r="BA79" s="570">
        <f t="shared" si="114"/>
        <v>3.4993810572440527</v>
      </c>
      <c r="BB79" s="570">
        <f t="shared" si="114"/>
        <v>2.5162773488544192</v>
      </c>
      <c r="BC79" s="570">
        <f t="shared" si="114"/>
        <v>2.0247254946596041</v>
      </c>
      <c r="BD79" s="570">
        <f t="shared" si="114"/>
        <v>1.6970242585297266</v>
      </c>
      <c r="BE79" s="570">
        <f t="shared" si="114"/>
        <v>1.4629519470083854</v>
      </c>
      <c r="BF79" s="570">
        <f t="shared" si="114"/>
        <v>1.1118434797263739</v>
      </c>
      <c r="BG79" s="570">
        <f t="shared" si="114"/>
        <v>0.99480732396570282</v>
      </c>
      <c r="BH79" s="570">
        <f t="shared" si="114"/>
        <v>0.9167832201252627</v>
      </c>
      <c r="BI79" s="570">
        <f t="shared" si="114"/>
        <v>0.83875911628481048</v>
      </c>
      <c r="BJ79" s="571">
        <f t="shared" si="114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5">+IF(CB79="","",CB79*$AH79)</f>
        <v/>
      </c>
      <c r="CQ79" s="570" t="str">
        <f t="shared" si="115"/>
        <v/>
      </c>
      <c r="CR79" s="570" t="str">
        <f t="shared" si="115"/>
        <v/>
      </c>
      <c r="CS79" s="570" t="str">
        <f t="shared" si="115"/>
        <v/>
      </c>
      <c r="CT79" s="570" t="str">
        <f t="shared" si="115"/>
        <v/>
      </c>
      <c r="CU79" s="570" t="str">
        <f t="shared" si="115"/>
        <v/>
      </c>
      <c r="CV79" s="570" t="str">
        <f t="shared" si="115"/>
        <v/>
      </c>
      <c r="CW79" s="570" t="str">
        <f t="shared" si="115"/>
        <v/>
      </c>
      <c r="CX79" s="570" t="str">
        <f t="shared" si="115"/>
        <v/>
      </c>
      <c r="CY79" s="570" t="str">
        <f t="shared" si="115"/>
        <v/>
      </c>
      <c r="CZ79" s="570" t="str">
        <f t="shared" si="115"/>
        <v/>
      </c>
      <c r="DA79" s="570" t="str">
        <f t="shared" si="115"/>
        <v/>
      </c>
      <c r="DB79" s="570" t="str">
        <f t="shared" si="115"/>
        <v/>
      </c>
      <c r="DC79" s="571" t="str">
        <f t="shared" si="115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8"/>
        <v>3.4993810572440531</v>
      </c>
      <c r="DI79" s="570">
        <v>2.5162773488544192</v>
      </c>
      <c r="DJ79" s="572">
        <f t="shared" si="104"/>
        <v>2.0247254946596036</v>
      </c>
      <c r="DK79" s="570">
        <v>1.6970242585297266</v>
      </c>
      <c r="DL79" s="572">
        <f t="shared" si="105"/>
        <v>1.4629519470083856</v>
      </c>
      <c r="DM79" s="570">
        <v>1.1118434797263739</v>
      </c>
      <c r="DN79" s="570">
        <v>0.99480732396570282</v>
      </c>
      <c r="DO79" s="573" t="s">
        <v>1364</v>
      </c>
      <c r="DP79" s="573" t="s">
        <v>1364</v>
      </c>
      <c r="DQ79" s="574" t="s">
        <v>1364</v>
      </c>
    </row>
    <row r="80" spans="1:121" ht="15.75" customHeight="1" x14ac:dyDescent="0.3">
      <c r="I80" s="431" t="s">
        <v>1170</v>
      </c>
      <c r="J80" s="434" t="s">
        <v>1171</v>
      </c>
      <c r="K80" s="431">
        <v>21</v>
      </c>
      <c r="L80" s="434"/>
      <c r="M80" s="434" t="str">
        <f t="shared" si="36"/>
        <v>Medium Oil</v>
      </c>
      <c r="N80" s="575">
        <f t="shared" ref="N80:O80" si="116">Y48</f>
        <v>26.927100382560717</v>
      </c>
      <c r="O80" s="576">
        <f t="shared" si="116"/>
        <v>0.43827912983870243</v>
      </c>
      <c r="P80" s="577">
        <f t="shared" si="52"/>
        <v>1.601582501861944E-2</v>
      </c>
      <c r="Q80" s="578">
        <f t="shared" si="38"/>
        <v>0</v>
      </c>
      <c r="R80" s="579">
        <f t="shared" ref="R80:V80" si="117">T48</f>
        <v>0.35206293264379496</v>
      </c>
      <c r="S80" s="579">
        <f t="shared" si="117"/>
        <v>8.621619719490746E-2</v>
      </c>
      <c r="T80" s="579">
        <f t="shared" si="117"/>
        <v>0</v>
      </c>
      <c r="U80" s="579">
        <f t="shared" si="117"/>
        <v>0</v>
      </c>
      <c r="V80" s="579">
        <f t="shared" si="117"/>
        <v>0</v>
      </c>
      <c r="W80" s="580">
        <f t="shared" ref="W80:Y80" si="118">+IF($O80=0,"-",R80/$O80)</f>
        <v>0.8032847303803009</v>
      </c>
      <c r="X80" s="580">
        <f t="shared" si="118"/>
        <v>0.1967152696196991</v>
      </c>
      <c r="Y80" s="580">
        <f t="shared" si="118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9">+IF(AI80="","",AI80*$AH80)</f>
        <v>27.365379512399418</v>
      </c>
      <c r="AX80" s="570">
        <f t="shared" si="119"/>
        <v>28.214405378298327</v>
      </c>
      <c r="AY80" s="570">
        <f t="shared" si="119"/>
        <v>23.187914467663987</v>
      </c>
      <c r="AZ80" s="570">
        <f t="shared" si="119"/>
        <v>18.086386423895764</v>
      </c>
      <c r="BA80" s="570">
        <f t="shared" si="119"/>
        <v>14.514847573328842</v>
      </c>
      <c r="BB80" s="570">
        <f t="shared" si="119"/>
        <v>9.1575392974784613</v>
      </c>
      <c r="BC80" s="570">
        <f t="shared" si="119"/>
        <v>7.0076274069901325</v>
      </c>
      <c r="BD80" s="570">
        <f t="shared" si="119"/>
        <v>5.5743528133312461</v>
      </c>
      <c r="BE80" s="570">
        <f t="shared" si="119"/>
        <v>4.1964559728169801</v>
      </c>
      <c r="BF80" s="570">
        <f t="shared" si="119"/>
        <v>2.129610712045356</v>
      </c>
      <c r="BG80" s="570">
        <f t="shared" si="119"/>
        <v>0.8013936387007935</v>
      </c>
      <c r="BH80" s="570">
        <f t="shared" si="119"/>
        <v>0.65153510356415978</v>
      </c>
      <c r="BI80" s="570">
        <f t="shared" si="119"/>
        <v>0.38065378640755937</v>
      </c>
      <c r="BJ80" s="571">
        <f t="shared" si="119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20">+IF(CB80="","",CB80*$AH80)</f>
        <v/>
      </c>
      <c r="CQ80" s="570" t="str">
        <f t="shared" si="120"/>
        <v/>
      </c>
      <c r="CR80" s="570" t="str">
        <f t="shared" si="120"/>
        <v/>
      </c>
      <c r="CS80" s="570" t="str">
        <f t="shared" si="120"/>
        <v/>
      </c>
      <c r="CT80" s="570" t="str">
        <f t="shared" si="120"/>
        <v/>
      </c>
      <c r="CU80" s="570" t="str">
        <f t="shared" si="120"/>
        <v/>
      </c>
      <c r="CV80" s="570" t="str">
        <f t="shared" si="120"/>
        <v/>
      </c>
      <c r="CW80" s="570" t="str">
        <f t="shared" si="120"/>
        <v/>
      </c>
      <c r="CX80" s="570" t="str">
        <f t="shared" si="120"/>
        <v/>
      </c>
      <c r="CY80" s="570" t="str">
        <f t="shared" si="120"/>
        <v/>
      </c>
      <c r="CZ80" s="570" t="str">
        <f t="shared" si="120"/>
        <v/>
      </c>
      <c r="DA80" s="570" t="str">
        <f t="shared" si="120"/>
        <v/>
      </c>
      <c r="DB80" s="570" t="str">
        <f t="shared" si="120"/>
        <v/>
      </c>
      <c r="DC80" s="571" t="str">
        <f t="shared" si="120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8"/>
        <v>14.514847573328844</v>
      </c>
      <c r="DI80" s="570">
        <v>9.1575392974784613</v>
      </c>
      <c r="DJ80" s="572">
        <f t="shared" si="104"/>
        <v>7.0076274069901325</v>
      </c>
      <c r="DK80" s="570">
        <v>5.5743528133312461</v>
      </c>
      <c r="DL80" s="572">
        <f t="shared" si="105"/>
        <v>3.7550842645610452</v>
      </c>
      <c r="DM80" s="570">
        <v>1.026181441405744</v>
      </c>
      <c r="DN80" s="572">
        <f t="shared" ref="DN80:DN82" si="121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1364</v>
      </c>
    </row>
    <row r="81" spans="9:121" ht="15.75" customHeight="1" x14ac:dyDescent="0.3">
      <c r="I81" s="431" t="s">
        <v>1170</v>
      </c>
      <c r="J81" s="434" t="s">
        <v>1173</v>
      </c>
      <c r="K81" s="431">
        <v>12.5</v>
      </c>
      <c r="L81" s="434"/>
      <c r="M81" s="434" t="str">
        <f t="shared" si="36"/>
        <v>Heavy Oil</v>
      </c>
      <c r="N81" s="575">
        <f t="shared" ref="N81:O81" si="122">Y49</f>
        <v>3.2805677744000978</v>
      </c>
      <c r="O81" s="576">
        <f t="shared" si="122"/>
        <v>8.7791106651863626E-2</v>
      </c>
      <c r="P81" s="577">
        <f t="shared" si="52"/>
        <v>2.6063465845553212E-2</v>
      </c>
      <c r="Q81" s="578">
        <f t="shared" si="38"/>
        <v>0</v>
      </c>
      <c r="R81" s="579">
        <f t="shared" ref="R81:V81" si="123">T49</f>
        <v>3.6990181091585597E-2</v>
      </c>
      <c r="S81" s="579">
        <f t="shared" si="123"/>
        <v>5.0800925560278022E-2</v>
      </c>
      <c r="T81" s="579">
        <f t="shared" si="123"/>
        <v>0</v>
      </c>
      <c r="U81" s="579">
        <f t="shared" si="123"/>
        <v>0</v>
      </c>
      <c r="V81" s="579">
        <f t="shared" si="123"/>
        <v>0</v>
      </c>
      <c r="W81" s="580">
        <f t="shared" ref="W81:Y81" si="124">+IF($O81=0,"-",R81/$O81)</f>
        <v>0.42134314627414909</v>
      </c>
      <c r="X81" s="580">
        <f t="shared" si="124"/>
        <v>0.57865685372585085</v>
      </c>
      <c r="Y81" s="580">
        <f t="shared" si="124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5">+IF(AI81="","",AI81*$AH81)</f>
        <v>3.3683588810519614</v>
      </c>
      <c r="AX81" s="570">
        <f t="shared" si="125"/>
        <v>3.0751987685605915</v>
      </c>
      <c r="AY81" s="570">
        <f t="shared" si="125"/>
        <v>3.4930679115729726</v>
      </c>
      <c r="AZ81" s="570">
        <f t="shared" si="125"/>
        <v>2.7288246831254654</v>
      </c>
      <c r="BA81" s="570">
        <f t="shared" si="125"/>
        <v>0</v>
      </c>
      <c r="BB81" s="570">
        <f t="shared" si="125"/>
        <v>0</v>
      </c>
      <c r="BC81" s="570">
        <f t="shared" si="125"/>
        <v>1.6467059785204439</v>
      </c>
      <c r="BD81" s="570">
        <f t="shared" si="125"/>
        <v>0.98038529706751343</v>
      </c>
      <c r="BE81" s="570">
        <f t="shared" si="125"/>
        <v>0.82911070247183327</v>
      </c>
      <c r="BF81" s="570">
        <f t="shared" si="125"/>
        <v>0.60219881057831304</v>
      </c>
      <c r="BG81" s="570">
        <f t="shared" si="125"/>
        <v>0.4903086312459346</v>
      </c>
      <c r="BH81" s="570">
        <f t="shared" si="125"/>
        <v>0.41571517835768235</v>
      </c>
      <c r="BI81" s="570">
        <f t="shared" si="125"/>
        <v>0.34112172546943498</v>
      </c>
      <c r="BJ81" s="571">
        <f t="shared" si="125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6">+IF(CB81="","",CB81*$AH81)</f>
        <v/>
      </c>
      <c r="CQ81" s="570" t="str">
        <f t="shared" si="126"/>
        <v/>
      </c>
      <c r="CR81" s="570" t="str">
        <f t="shared" si="126"/>
        <v/>
      </c>
      <c r="CS81" s="570" t="str">
        <f t="shared" si="126"/>
        <v/>
      </c>
      <c r="CT81" s="570" t="str">
        <f t="shared" si="126"/>
        <v/>
      </c>
      <c r="CU81" s="570" t="str">
        <f t="shared" si="126"/>
        <v/>
      </c>
      <c r="CV81" s="570" t="str">
        <f t="shared" si="126"/>
        <v/>
      </c>
      <c r="CW81" s="570" t="str">
        <f t="shared" si="126"/>
        <v/>
      </c>
      <c r="CX81" s="570" t="str">
        <f t="shared" si="126"/>
        <v/>
      </c>
      <c r="CY81" s="570" t="str">
        <f t="shared" si="126"/>
        <v/>
      </c>
      <c r="CZ81" s="570" t="str">
        <f t="shared" si="126"/>
        <v/>
      </c>
      <c r="DA81" s="570" t="str">
        <f t="shared" si="126"/>
        <v/>
      </c>
      <c r="DB81" s="570" t="str">
        <f t="shared" si="126"/>
        <v/>
      </c>
      <c r="DC81" s="571" t="str">
        <f t="shared" si="126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5"/>
        <v>0.82911070247183327</v>
      </c>
      <c r="DM81" s="570">
        <v>0.60219881057831304</v>
      </c>
      <c r="DN81" s="572">
        <f t="shared" si="121"/>
        <v>0.4903086312459346</v>
      </c>
      <c r="DO81" s="570">
        <v>0.41571517835768235</v>
      </c>
      <c r="DP81" s="573" t="s">
        <v>1364</v>
      </c>
      <c r="DQ81" s="574" t="s">
        <v>1364</v>
      </c>
    </row>
    <row r="82" spans="9:121" ht="15.75" customHeight="1" x14ac:dyDescent="0.3">
      <c r="I82" s="431" t="s">
        <v>1170</v>
      </c>
      <c r="J82" s="434" t="s">
        <v>1175</v>
      </c>
      <c r="K82" s="431">
        <v>21</v>
      </c>
      <c r="L82" s="434"/>
      <c r="M82" s="434" t="str">
        <f t="shared" si="36"/>
        <v>Medium Oil</v>
      </c>
      <c r="N82" s="575">
        <f t="shared" ref="N82:O82" si="127">Y50</f>
        <v>39.659458817161386</v>
      </c>
      <c r="O82" s="576">
        <f t="shared" si="127"/>
        <v>1.8634611370761611</v>
      </c>
      <c r="P82" s="577">
        <f t="shared" si="52"/>
        <v>4.4877892477934681E-2</v>
      </c>
      <c r="Q82" s="578">
        <f t="shared" si="38"/>
        <v>0.90025257054584151</v>
      </c>
      <c r="R82" s="579">
        <f t="shared" ref="R82:V82" si="128">T50</f>
        <v>0.8853716952922942</v>
      </c>
      <c r="S82" s="579">
        <f t="shared" si="128"/>
        <v>7.7836871238025379E-2</v>
      </c>
      <c r="T82" s="579">
        <f t="shared" si="128"/>
        <v>0</v>
      </c>
      <c r="U82" s="579">
        <f t="shared" si="128"/>
        <v>0</v>
      </c>
      <c r="V82" s="579">
        <f t="shared" si="128"/>
        <v>0.90025257054584151</v>
      </c>
      <c r="W82" s="580">
        <f t="shared" ref="W82:Y82" si="129">+IF($O82=0,"-",R82/$O82)</f>
        <v>0.47512216792536649</v>
      </c>
      <c r="X82" s="580">
        <f t="shared" si="129"/>
        <v>4.1770053417993079E-2</v>
      </c>
      <c r="Y82" s="580">
        <f t="shared" si="129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30">+IF(AI82="","",AI82*$AH82)</f>
        <v>41.522919954237551</v>
      </c>
      <c r="AX82" s="570">
        <f t="shared" si="130"/>
        <v>44.291114617853395</v>
      </c>
      <c r="AY82" s="570">
        <f t="shared" si="130"/>
        <v>40.009640204794231</v>
      </c>
      <c r="AZ82" s="570">
        <f t="shared" si="130"/>
        <v>37.155323929421456</v>
      </c>
      <c r="BA82" s="570">
        <f t="shared" si="130"/>
        <v>32.037239573580628</v>
      </c>
      <c r="BB82" s="570">
        <f t="shared" si="130"/>
        <v>24.360113039819371</v>
      </c>
      <c r="BC82" s="570">
        <f t="shared" si="130"/>
        <v>18.971360761313871</v>
      </c>
      <c r="BD82" s="570">
        <f t="shared" si="130"/>
        <v>15.378859242310208</v>
      </c>
      <c r="BE82" s="570">
        <f t="shared" si="130"/>
        <v>13.508789958445286</v>
      </c>
      <c r="BF82" s="570">
        <f t="shared" si="130"/>
        <v>10.70368603264791</v>
      </c>
      <c r="BG82" s="570">
        <f t="shared" si="130"/>
        <v>8.8582229235706826</v>
      </c>
      <c r="BH82" s="570">
        <f t="shared" si="130"/>
        <v>7.6279141841858635</v>
      </c>
      <c r="BI82" s="570">
        <f t="shared" si="130"/>
        <v>6.6928795422534044</v>
      </c>
      <c r="BJ82" s="571">
        <f t="shared" si="130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1">+IF(CB82="","",CB82*$AH82)</f>
        <v/>
      </c>
      <c r="CQ82" s="570" t="str">
        <f t="shared" si="131"/>
        <v/>
      </c>
      <c r="CR82" s="570" t="str">
        <f t="shared" si="131"/>
        <v/>
      </c>
      <c r="CS82" s="570" t="str">
        <f t="shared" si="131"/>
        <v/>
      </c>
      <c r="CT82" s="570" t="str">
        <f t="shared" si="131"/>
        <v/>
      </c>
      <c r="CU82" s="570" t="str">
        <f t="shared" si="131"/>
        <v/>
      </c>
      <c r="CV82" s="570" t="str">
        <f t="shared" si="131"/>
        <v/>
      </c>
      <c r="CW82" s="570" t="str">
        <f t="shared" si="131"/>
        <v/>
      </c>
      <c r="CX82" s="570" t="str">
        <f t="shared" si="131"/>
        <v/>
      </c>
      <c r="CY82" s="570" t="str">
        <f t="shared" si="131"/>
        <v/>
      </c>
      <c r="CZ82" s="570" t="str">
        <f t="shared" si="131"/>
        <v/>
      </c>
      <c r="DA82" s="570" t="str">
        <f t="shared" si="131"/>
        <v/>
      </c>
      <c r="DB82" s="570" t="str">
        <f t="shared" si="131"/>
        <v/>
      </c>
      <c r="DC82" s="571" t="str">
        <f t="shared" si="131"/>
        <v/>
      </c>
      <c r="DD82" s="569">
        <v>41.522919954237551</v>
      </c>
      <c r="DE82" s="570">
        <v>44.291114617853395</v>
      </c>
      <c r="DF82" s="572">
        <f t="shared" ref="DF82:DF83" si="132">+DE82+(DG82-DE82)*(2023-2020)/(2025-2020)</f>
        <v>40.009640204794231</v>
      </c>
      <c r="DG82" s="570">
        <v>37.155323929421456</v>
      </c>
      <c r="DH82" s="572">
        <f t="shared" ref="DH82:DH83" si="133">+DG82+(DI82-DG82)*(2027-2025)/(2030-2025)</f>
        <v>32.037239573580621</v>
      </c>
      <c r="DI82" s="570">
        <v>24.360113039819371</v>
      </c>
      <c r="DJ82" s="572">
        <f t="shared" ref="DJ82:DJ83" si="134">+DI82+(DK82-DI82)*(2033-2030)/(2035-2030)</f>
        <v>18.971360761313875</v>
      </c>
      <c r="DK82" s="570">
        <v>15.378859242310208</v>
      </c>
      <c r="DL82" s="572">
        <f t="shared" si="105"/>
        <v>13.50878995844529</v>
      </c>
      <c r="DM82" s="570">
        <v>10.70368603264791</v>
      </c>
      <c r="DN82" s="572">
        <f t="shared" si="121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3">
      <c r="I83" s="431" t="s">
        <v>1170</v>
      </c>
      <c r="J83" s="434" t="s">
        <v>1177</v>
      </c>
      <c r="K83" s="431">
        <f>20+(25-20)/2</f>
        <v>22.5</v>
      </c>
      <c r="L83" s="434"/>
      <c r="M83" s="434" t="str">
        <f t="shared" si="36"/>
        <v>Medium Oil</v>
      </c>
      <c r="N83" s="575">
        <f t="shared" ref="N83:O83" si="135">Y51</f>
        <v>94.059349180277351</v>
      </c>
      <c r="O83" s="576">
        <f t="shared" si="135"/>
        <v>2.497140090885289</v>
      </c>
      <c r="P83" s="577">
        <f t="shared" si="52"/>
        <v>2.5861960285988563E-2</v>
      </c>
      <c r="Q83" s="578">
        <f t="shared" si="38"/>
        <v>1.3766222989813104</v>
      </c>
      <c r="R83" s="579">
        <f t="shared" ref="R83:V83" si="136">T51</f>
        <v>0.51468242964795996</v>
      </c>
      <c r="S83" s="579">
        <f t="shared" si="136"/>
        <v>0.60583536225601842</v>
      </c>
      <c r="T83" s="579">
        <f t="shared" si="136"/>
        <v>1.3766222989813104</v>
      </c>
      <c r="U83" s="579">
        <f t="shared" si="136"/>
        <v>0</v>
      </c>
      <c r="V83" s="579">
        <f t="shared" si="136"/>
        <v>0</v>
      </c>
      <c r="W83" s="580">
        <f t="shared" ref="W83:Y83" si="137">+IF($O83=0,"-",R83/$O83)</f>
        <v>0.20610875277946228</v>
      </c>
      <c r="X83" s="580">
        <f t="shared" si="137"/>
        <v>0.24261168384879719</v>
      </c>
      <c r="Y83" s="580">
        <f t="shared" si="137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8">+IF(AI83="","",AI83*$AH83)</f>
        <v>96.556489271162647</v>
      </c>
      <c r="AX83" s="570">
        <f t="shared" si="138"/>
        <v>81.38555121486084</v>
      </c>
      <c r="AY83" s="570">
        <f t="shared" si="138"/>
        <v>54.147600689252947</v>
      </c>
      <c r="AZ83" s="570">
        <f t="shared" si="138"/>
        <v>35.988967005514347</v>
      </c>
      <c r="BA83" s="570">
        <f t="shared" si="138"/>
        <v>26.641465620621492</v>
      </c>
      <c r="BB83" s="570">
        <f t="shared" si="138"/>
        <v>12.620213543282201</v>
      </c>
      <c r="BC83" s="570">
        <f t="shared" si="138"/>
        <v>8.9591411203930633</v>
      </c>
      <c r="BD83" s="570">
        <f t="shared" si="138"/>
        <v>6.5184261718003045</v>
      </c>
      <c r="BE83" s="570">
        <f t="shared" si="138"/>
        <v>5.5102155280171621</v>
      </c>
      <c r="BF83" s="570">
        <f t="shared" si="138"/>
        <v>3.997899562342448</v>
      </c>
      <c r="BG83" s="570">
        <f t="shared" si="138"/>
        <v>2.4855835966676652</v>
      </c>
      <c r="BH83" s="570">
        <f t="shared" si="138"/>
        <v>1.4773729528845878</v>
      </c>
      <c r="BI83" s="570">
        <f t="shared" si="138"/>
        <v>0.68322261785777083</v>
      </c>
      <c r="BJ83" s="571">
        <f t="shared" si="138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9">+IF(CB83="","",CB83*$AH83)</f>
        <v/>
      </c>
      <c r="CQ83" s="570" t="str">
        <f t="shared" si="139"/>
        <v/>
      </c>
      <c r="CR83" s="570" t="str">
        <f t="shared" si="139"/>
        <v/>
      </c>
      <c r="CS83" s="570" t="str">
        <f t="shared" si="139"/>
        <v/>
      </c>
      <c r="CT83" s="570" t="str">
        <f t="shared" si="139"/>
        <v/>
      </c>
      <c r="CU83" s="570" t="str">
        <f t="shared" si="139"/>
        <v/>
      </c>
      <c r="CV83" s="570" t="str">
        <f t="shared" si="139"/>
        <v/>
      </c>
      <c r="CW83" s="570" t="str">
        <f t="shared" si="139"/>
        <v/>
      </c>
      <c r="CX83" s="570" t="str">
        <f t="shared" si="139"/>
        <v/>
      </c>
      <c r="CY83" s="570" t="str">
        <f t="shared" si="139"/>
        <v/>
      </c>
      <c r="CZ83" s="570" t="str">
        <f t="shared" si="139"/>
        <v/>
      </c>
      <c r="DA83" s="570" t="str">
        <f t="shared" si="139"/>
        <v/>
      </c>
      <c r="DB83" s="570" t="str">
        <f t="shared" si="139"/>
        <v/>
      </c>
      <c r="DC83" s="571" t="str">
        <f t="shared" si="139"/>
        <v/>
      </c>
      <c r="DD83" s="569">
        <v>96.556489271162647</v>
      </c>
      <c r="DE83" s="570">
        <v>81.38555121486084</v>
      </c>
      <c r="DF83" s="572">
        <f t="shared" si="132"/>
        <v>54.14760068925294</v>
      </c>
      <c r="DG83" s="570">
        <v>35.988967005514347</v>
      </c>
      <c r="DH83" s="572">
        <f t="shared" si="133"/>
        <v>26.641465620621489</v>
      </c>
      <c r="DI83" s="570">
        <v>12.620213543282201</v>
      </c>
      <c r="DJ83" s="572">
        <f t="shared" si="134"/>
        <v>8.9591411203930633</v>
      </c>
      <c r="DK83" s="570">
        <v>6.5184261718003045</v>
      </c>
      <c r="DL83" s="572">
        <f t="shared" si="105"/>
        <v>5.5102155280171621</v>
      </c>
      <c r="DM83" s="570">
        <v>3.997899562342448</v>
      </c>
      <c r="DN83" s="573" t="s">
        <v>1364</v>
      </c>
      <c r="DO83" s="573" t="s">
        <v>1364</v>
      </c>
      <c r="DP83" s="573" t="s">
        <v>1364</v>
      </c>
      <c r="DQ83" s="574" t="s">
        <v>1364</v>
      </c>
    </row>
    <row r="84" spans="9:121" ht="15.75" customHeight="1" x14ac:dyDescent="0.3">
      <c r="I84" s="431" t="s">
        <v>1179</v>
      </c>
      <c r="J84" s="434" t="s">
        <v>1180</v>
      </c>
      <c r="K84" s="431">
        <v>23</v>
      </c>
      <c r="L84" s="434"/>
      <c r="M84" s="434" t="str">
        <f t="shared" si="36"/>
        <v>Medium Oil</v>
      </c>
      <c r="N84" s="575">
        <f t="shared" ref="N84:O84" si="140">Y52</f>
        <v>10.408512554584734</v>
      </c>
      <c r="O84" s="576">
        <f t="shared" si="140"/>
        <v>0.71025387836690013</v>
      </c>
      <c r="P84" s="577">
        <f t="shared" si="52"/>
        <v>6.3878837877373515E-2</v>
      </c>
      <c r="Q84" s="578">
        <f t="shared" si="38"/>
        <v>0.38201649904628787</v>
      </c>
      <c r="R84" s="579">
        <f t="shared" ref="R84:V84" si="141">T52</f>
        <v>3.8100694170208539E-2</v>
      </c>
      <c r="S84" s="579">
        <f t="shared" si="141"/>
        <v>8.403555333142973E-2</v>
      </c>
      <c r="T84" s="579">
        <f t="shared" si="141"/>
        <v>0.58683549303812432</v>
      </c>
      <c r="U84" s="579">
        <f t="shared" si="141"/>
        <v>0.2061011318189738</v>
      </c>
      <c r="V84" s="579">
        <f t="shared" si="141"/>
        <v>1.2821378271373829E-3</v>
      </c>
      <c r="W84" s="580">
        <f t="shared" ref="W84:Y84" si="142">+IF($O84=0,"-",R84/$O84)</f>
        <v>5.3643767856381398E-2</v>
      </c>
      <c r="X84" s="580">
        <f t="shared" si="142"/>
        <v>0.11831762682472671</v>
      </c>
      <c r="Y84" s="580">
        <f t="shared" si="142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3">+IF(AI84="","",AI84*$AH84)</f>
        <v>11.118766432951634</v>
      </c>
      <c r="AX84" s="570">
        <f t="shared" si="143"/>
        <v>10.329308255559129</v>
      </c>
      <c r="AY84" s="570">
        <f t="shared" si="143"/>
        <v>7.4122676392174629</v>
      </c>
      <c r="AZ84" s="570">
        <f t="shared" si="143"/>
        <v>6.0090208229542244</v>
      </c>
      <c r="BA84" s="570">
        <f t="shared" si="143"/>
        <v>4.7560667479381209</v>
      </c>
      <c r="BB84" s="570">
        <f t="shared" si="143"/>
        <v>3.0919097152070951</v>
      </c>
      <c r="BC84" s="570">
        <f t="shared" si="143"/>
        <v>2.41207025324894</v>
      </c>
      <c r="BD84" s="570">
        <f t="shared" si="143"/>
        <v>1.9588439452768174</v>
      </c>
      <c r="BE84" s="570">
        <f t="shared" si="143"/>
        <v>1.4871879387963971</v>
      </c>
      <c r="BF84" s="570">
        <f t="shared" si="143"/>
        <v>0.84330763446910884</v>
      </c>
      <c r="BG84" s="570">
        <f t="shared" si="143"/>
        <v>0.21509778263776425</v>
      </c>
      <c r="BH84" s="570">
        <f t="shared" si="143"/>
        <v>8.1964630505155761E-2</v>
      </c>
      <c r="BI84" s="570">
        <f t="shared" si="143"/>
        <v>7.007271496425789E-2</v>
      </c>
      <c r="BJ84" s="571">
        <f t="shared" si="143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4">+IF(CB84="","",CB84*$AH84)</f>
        <v/>
      </c>
      <c r="CQ84" s="570" t="str">
        <f t="shared" si="144"/>
        <v/>
      </c>
      <c r="CR84" s="570" t="str">
        <f t="shared" si="144"/>
        <v/>
      </c>
      <c r="CS84" s="570" t="str">
        <f t="shared" si="144"/>
        <v/>
      </c>
      <c r="CT84" s="570" t="str">
        <f t="shared" si="144"/>
        <v/>
      </c>
      <c r="CU84" s="570" t="str">
        <f t="shared" si="144"/>
        <v/>
      </c>
      <c r="CV84" s="570" t="str">
        <f t="shared" si="144"/>
        <v/>
      </c>
      <c r="CW84" s="570" t="str">
        <f t="shared" si="144"/>
        <v/>
      </c>
      <c r="CX84" s="570" t="str">
        <f t="shared" si="144"/>
        <v/>
      </c>
      <c r="CY84" s="570" t="str">
        <f t="shared" si="144"/>
        <v/>
      </c>
      <c r="CZ84" s="570" t="str">
        <f t="shared" si="144"/>
        <v/>
      </c>
      <c r="DA84" s="570" t="str">
        <f t="shared" si="144"/>
        <v/>
      </c>
      <c r="DB84" s="570" t="str">
        <f t="shared" si="144"/>
        <v/>
      </c>
      <c r="DC84" s="571" t="str">
        <f t="shared" si="144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5">+DM84+(DO84-DM84)*(2043-2040)/(2045-2040)</f>
        <v>0.10082841633582691</v>
      </c>
      <c r="DO84" s="570">
        <v>8.1964630505155761E-2</v>
      </c>
      <c r="DP84" s="572">
        <f t="shared" ref="DP84:DP87" si="146">+DO84+(DQ84-DO84)*(2047-2045)/(2050-2045)</f>
        <v>7.007271496425789E-2</v>
      </c>
      <c r="DQ84" s="571">
        <v>5.2234841652911097E-2</v>
      </c>
    </row>
    <row r="85" spans="9:121" ht="15.75" customHeight="1" x14ac:dyDescent="0.3">
      <c r="I85" s="431" t="s">
        <v>1179</v>
      </c>
      <c r="J85" s="434" t="s">
        <v>1182</v>
      </c>
      <c r="K85" s="431">
        <v>25.5</v>
      </c>
      <c r="L85" s="434"/>
      <c r="M85" s="434" t="str">
        <f t="shared" si="36"/>
        <v>Medium Oil</v>
      </c>
      <c r="N85" s="575">
        <f t="shared" ref="N85:O85" si="147">Y53</f>
        <v>9.2296903712167389</v>
      </c>
      <c r="O85" s="576">
        <f t="shared" si="147"/>
        <v>0.31949461271981699</v>
      </c>
      <c r="P85" s="577">
        <f t="shared" si="52"/>
        <v>3.3457788623559429E-2</v>
      </c>
      <c r="Q85" s="578">
        <f t="shared" si="38"/>
        <v>0</v>
      </c>
      <c r="R85" s="579">
        <f t="shared" ref="R85:V85" si="148">T53</f>
        <v>0.16765718815173636</v>
      </c>
      <c r="S85" s="579">
        <f t="shared" si="148"/>
        <v>0.15183742456808058</v>
      </c>
      <c r="T85" s="579">
        <f t="shared" si="148"/>
        <v>0</v>
      </c>
      <c r="U85" s="579">
        <f t="shared" si="148"/>
        <v>0</v>
      </c>
      <c r="V85" s="579">
        <f t="shared" si="148"/>
        <v>0</v>
      </c>
      <c r="W85" s="580">
        <f t="shared" ref="W85:Y85" si="149">+IF($O85=0,"-",R85/$O85)</f>
        <v>0.52475748096186048</v>
      </c>
      <c r="X85" s="580">
        <f t="shared" si="149"/>
        <v>0.47524251903813935</v>
      </c>
      <c r="Y85" s="580">
        <f t="shared" si="149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50">+IF(AI85="","",AI85*$AH85)</f>
        <v>9.5491849839365557</v>
      </c>
      <c r="AX85" s="570">
        <f t="shared" si="150"/>
        <v>8.7975469211214641</v>
      </c>
      <c r="AY85" s="570">
        <f t="shared" si="150"/>
        <v>9.1710754094693634</v>
      </c>
      <c r="AZ85" s="570">
        <f t="shared" si="150"/>
        <v>7.7206679314207314</v>
      </c>
      <c r="BA85" s="570">
        <f t="shared" si="150"/>
        <v>6.9250482043438293</v>
      </c>
      <c r="BB85" s="570">
        <f t="shared" si="150"/>
        <v>5.7316186137284753</v>
      </c>
      <c r="BC85" s="570">
        <f t="shared" si="150"/>
        <v>4.86647321568931</v>
      </c>
      <c r="BD85" s="570">
        <f t="shared" si="150"/>
        <v>4.2897096169965332</v>
      </c>
      <c r="BE85" s="570">
        <f t="shared" si="150"/>
        <v>3.9319640225224832</v>
      </c>
      <c r="BF85" s="570">
        <f t="shared" si="150"/>
        <v>3.3953456308114087</v>
      </c>
      <c r="BG85" s="570">
        <f t="shared" si="150"/>
        <v>2.9682362412096941</v>
      </c>
      <c r="BH85" s="570">
        <f t="shared" si="150"/>
        <v>2.6834966481418845</v>
      </c>
      <c r="BI85" s="570">
        <f t="shared" si="150"/>
        <v>2.5447690578865609</v>
      </c>
      <c r="BJ85" s="571">
        <f t="shared" si="150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1">+IF(CB85="","",CB85*$AH85)</f>
        <v/>
      </c>
      <c r="CQ85" s="570" t="str">
        <f t="shared" si="151"/>
        <v/>
      </c>
      <c r="CR85" s="570" t="str">
        <f t="shared" si="151"/>
        <v/>
      </c>
      <c r="CS85" s="570" t="str">
        <f t="shared" si="151"/>
        <v/>
      </c>
      <c r="CT85" s="570" t="str">
        <f t="shared" si="151"/>
        <v/>
      </c>
      <c r="CU85" s="570" t="str">
        <f t="shared" si="151"/>
        <v/>
      </c>
      <c r="CV85" s="570" t="str">
        <f t="shared" si="151"/>
        <v/>
      </c>
      <c r="CW85" s="570" t="str">
        <f t="shared" si="151"/>
        <v/>
      </c>
      <c r="CX85" s="570" t="str">
        <f t="shared" si="151"/>
        <v/>
      </c>
      <c r="CY85" s="570" t="str">
        <f t="shared" si="151"/>
        <v/>
      </c>
      <c r="CZ85" s="570" t="str">
        <f t="shared" si="151"/>
        <v/>
      </c>
      <c r="DA85" s="570" t="str">
        <f t="shared" si="151"/>
        <v/>
      </c>
      <c r="DB85" s="570" t="str">
        <f t="shared" si="151"/>
        <v/>
      </c>
      <c r="DC85" s="571" t="str">
        <f t="shared" si="151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2">+DG85+(DI85-DG85)*(2027-2025)/(2030-2025)</f>
        <v>6.9250482043438293</v>
      </c>
      <c r="DI85" s="570">
        <v>5.7316186137284753</v>
      </c>
      <c r="DJ85" s="572">
        <f t="shared" ref="DJ85:DJ87" si="153">+DI85+(DK85-DI85)*(2033-2030)/(2035-2030)</f>
        <v>4.86647321568931</v>
      </c>
      <c r="DK85" s="570">
        <v>4.2897096169965332</v>
      </c>
      <c r="DL85" s="572">
        <f t="shared" ref="DL85:DL87" si="154">+DK85+(DM85-DK85)*(2037-2035)/(2040-2035)</f>
        <v>3.9319640225224832</v>
      </c>
      <c r="DM85" s="570">
        <v>3.3953456308114087</v>
      </c>
      <c r="DN85" s="572">
        <f t="shared" si="145"/>
        <v>2.9682362412096941</v>
      </c>
      <c r="DO85" s="570">
        <v>2.6834966481418845</v>
      </c>
      <c r="DP85" s="572">
        <f t="shared" si="146"/>
        <v>2.5447690578865614</v>
      </c>
      <c r="DQ85" s="571">
        <v>2.3366776725035767</v>
      </c>
    </row>
    <row r="86" spans="9:121" ht="15.75" customHeight="1" x14ac:dyDescent="0.3">
      <c r="I86" s="431" t="s">
        <v>1179</v>
      </c>
      <c r="J86" s="434" t="s">
        <v>1184</v>
      </c>
      <c r="K86" s="431">
        <v>21</v>
      </c>
      <c r="L86" s="434"/>
      <c r="M86" s="434" t="str">
        <f t="shared" si="36"/>
        <v>Medium Oil</v>
      </c>
      <c r="N86" s="575">
        <f t="shared" ref="N86:O86" si="155">Y54</f>
        <v>8.7564836170076354</v>
      </c>
      <c r="O86" s="576">
        <f t="shared" si="155"/>
        <v>0.43874352621703561</v>
      </c>
      <c r="P86" s="577">
        <f t="shared" si="52"/>
        <v>4.771426734578444E-2</v>
      </c>
      <c r="Q86" s="578">
        <f t="shared" si="38"/>
        <v>0.23786180586758954</v>
      </c>
      <c r="R86" s="579">
        <f t="shared" ref="R86:V86" si="156">T54</f>
        <v>0</v>
      </c>
      <c r="S86" s="579">
        <f t="shared" si="156"/>
        <v>5.7140945681870784E-3</v>
      </c>
      <c r="T86" s="579">
        <f t="shared" si="156"/>
        <v>0.4330294316488485</v>
      </c>
      <c r="U86" s="579">
        <f t="shared" si="156"/>
        <v>0.19516762578125896</v>
      </c>
      <c r="V86" s="579">
        <f t="shared" si="156"/>
        <v>0</v>
      </c>
      <c r="W86" s="580">
        <f t="shared" ref="W86:Y86" si="157">+IF($O86=0,"-",R86/$O86)</f>
        <v>0</v>
      </c>
      <c r="X86" s="580">
        <f t="shared" si="157"/>
        <v>1.302376952990175E-2</v>
      </c>
      <c r="Y86" s="580">
        <f t="shared" si="157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8">+IF(AI86="","",AI86*$AH86)</f>
        <v>9.1952271432246704</v>
      </c>
      <c r="AX86" s="591">
        <f t="shared" si="158"/>
        <v>8.7082524970102764</v>
      </c>
      <c r="AY86" s="591">
        <f t="shared" si="158"/>
        <v>7.4103150703423335</v>
      </c>
      <c r="AZ86" s="591">
        <f t="shared" si="158"/>
        <v>6.5450234525637052</v>
      </c>
      <c r="BA86" s="591">
        <f t="shared" si="158"/>
        <v>5.4966407959613486</v>
      </c>
      <c r="BB86" s="591">
        <f t="shared" si="158"/>
        <v>3.9240668110578114</v>
      </c>
      <c r="BC86" s="591">
        <f t="shared" si="158"/>
        <v>3.1763047234570938</v>
      </c>
      <c r="BD86" s="591">
        <f t="shared" si="158"/>
        <v>2.677796665056615</v>
      </c>
      <c r="BE86" s="591">
        <f t="shared" si="158"/>
        <v>2.4084531460511469</v>
      </c>
      <c r="BF86" s="591">
        <f t="shared" si="158"/>
        <v>2.0044378675429444</v>
      </c>
      <c r="BG86" s="591">
        <f t="shared" si="158"/>
        <v>1.7384626462293669</v>
      </c>
      <c r="BH86" s="591">
        <f t="shared" si="158"/>
        <v>1.5611458320203151</v>
      </c>
      <c r="BI86" s="591">
        <f t="shared" si="158"/>
        <v>1.3833478324267074</v>
      </c>
      <c r="BJ86" s="592">
        <f t="shared" si="158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9">+IF(CB86="","",CB86*$AH86)</f>
        <v/>
      </c>
      <c r="CQ86" s="591" t="str">
        <f t="shared" si="159"/>
        <v/>
      </c>
      <c r="CR86" s="591" t="str">
        <f t="shared" si="159"/>
        <v/>
      </c>
      <c r="CS86" s="591" t="str">
        <f t="shared" si="159"/>
        <v/>
      </c>
      <c r="CT86" s="591" t="str">
        <f t="shared" si="159"/>
        <v/>
      </c>
      <c r="CU86" s="591" t="str">
        <f t="shared" si="159"/>
        <v/>
      </c>
      <c r="CV86" s="591" t="str">
        <f t="shared" si="159"/>
        <v/>
      </c>
      <c r="CW86" s="591" t="str">
        <f t="shared" si="159"/>
        <v/>
      </c>
      <c r="CX86" s="591" t="str">
        <f t="shared" si="159"/>
        <v/>
      </c>
      <c r="CY86" s="591" t="str">
        <f t="shared" si="159"/>
        <v/>
      </c>
      <c r="CZ86" s="591" t="str">
        <f t="shared" si="159"/>
        <v/>
      </c>
      <c r="DA86" s="591" t="str">
        <f t="shared" si="159"/>
        <v/>
      </c>
      <c r="DB86" s="591" t="str">
        <f t="shared" si="159"/>
        <v/>
      </c>
      <c r="DC86" s="592" t="str">
        <f t="shared" si="159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2"/>
        <v>5.4966407959613477</v>
      </c>
      <c r="DI86" s="570">
        <v>3.9240668110578114</v>
      </c>
      <c r="DJ86" s="572">
        <f t="shared" si="153"/>
        <v>3.1763047234570934</v>
      </c>
      <c r="DK86" s="570">
        <v>2.677796665056615</v>
      </c>
      <c r="DL86" s="572">
        <f t="shared" si="154"/>
        <v>2.4084531460511469</v>
      </c>
      <c r="DM86" s="570">
        <v>2.0044378675429444</v>
      </c>
      <c r="DN86" s="572">
        <f t="shared" si="145"/>
        <v>1.7384626462293669</v>
      </c>
      <c r="DO86" s="570">
        <v>1.5611458320203151</v>
      </c>
      <c r="DP86" s="572">
        <f t="shared" si="146"/>
        <v>1.3833478324267074</v>
      </c>
      <c r="DQ86" s="571">
        <v>1.1166508330362959</v>
      </c>
    </row>
    <row r="87" spans="9:121" ht="15.75" customHeight="1" x14ac:dyDescent="0.3">
      <c r="I87" s="432" t="s">
        <v>1187</v>
      </c>
      <c r="J87" s="440" t="s">
        <v>1188</v>
      </c>
      <c r="K87" s="431" t="s">
        <v>1022</v>
      </c>
      <c r="L87" s="434" t="s">
        <v>7</v>
      </c>
      <c r="M87" s="434" t="s">
        <v>1319</v>
      </c>
      <c r="N87" s="575">
        <f t="shared" ref="N87:O87" si="160">Y55</f>
        <v>0</v>
      </c>
      <c r="O87" s="576">
        <f t="shared" si="160"/>
        <v>1.0840525806313783</v>
      </c>
      <c r="P87" s="577">
        <f t="shared" si="52"/>
        <v>1</v>
      </c>
      <c r="Q87" s="578">
        <f t="shared" si="38"/>
        <v>1.0840525806313783</v>
      </c>
      <c r="R87" s="579">
        <f t="shared" ref="R87:V87" si="161">T55</f>
        <v>0</v>
      </c>
      <c r="S87" s="579">
        <f t="shared" si="161"/>
        <v>0</v>
      </c>
      <c r="T87" s="579">
        <f t="shared" si="161"/>
        <v>0</v>
      </c>
      <c r="U87" s="579">
        <f t="shared" si="161"/>
        <v>0</v>
      </c>
      <c r="V87" s="579">
        <f t="shared" si="161"/>
        <v>1.0840525806313783</v>
      </c>
      <c r="W87" s="580">
        <f t="shared" ref="W87:Y87" si="162">+IF($O87=0,"-",R87/$O87)</f>
        <v>0</v>
      </c>
      <c r="X87" s="580">
        <f t="shared" si="162"/>
        <v>0</v>
      </c>
      <c r="Y87" s="580">
        <f t="shared" si="162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3">+IF(AI87="","",AI87*$AH87)</f>
        <v>1.0840525806313783</v>
      </c>
      <c r="AX87" s="591">
        <f t="shared" si="163"/>
        <v>1.1263827718978625</v>
      </c>
      <c r="AY87" s="591">
        <f t="shared" si="163"/>
        <v>1.4482064210115375</v>
      </c>
      <c r="AZ87" s="591">
        <f t="shared" si="163"/>
        <v>1.2250061482391499</v>
      </c>
      <c r="BA87" s="591">
        <f t="shared" si="163"/>
        <v>1.073437590914645</v>
      </c>
      <c r="BB87" s="591">
        <f t="shared" si="163"/>
        <v>0.84608475492788726</v>
      </c>
      <c r="BC87" s="591">
        <f t="shared" si="163"/>
        <v>0.68724921197823496</v>
      </c>
      <c r="BD87" s="591">
        <f t="shared" si="163"/>
        <v>0.5813588500118001</v>
      </c>
      <c r="BE87" s="591">
        <f t="shared" si="163"/>
        <v>0.51076527536751015</v>
      </c>
      <c r="BF87" s="591">
        <f t="shared" si="163"/>
        <v>0.40487491340107512</v>
      </c>
      <c r="BG87" s="591">
        <f t="shared" si="163"/>
        <v>0.3301287755424151</v>
      </c>
      <c r="BH87" s="591">
        <f t="shared" si="163"/>
        <v>0.28029801696997508</v>
      </c>
      <c r="BI87" s="591">
        <f t="shared" si="163"/>
        <v>0.24707751125501498</v>
      </c>
      <c r="BJ87" s="592">
        <f t="shared" si="163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4">+IF(CB87="","",CB87*$AH87)</f>
        <v/>
      </c>
      <c r="CQ87" s="591" t="str">
        <f t="shared" si="164"/>
        <v/>
      </c>
      <c r="CR87" s="591" t="str">
        <f t="shared" si="164"/>
        <v/>
      </c>
      <c r="CS87" s="591" t="str">
        <f t="shared" si="164"/>
        <v/>
      </c>
      <c r="CT87" s="591" t="str">
        <f t="shared" si="164"/>
        <v/>
      </c>
      <c r="CU87" s="591" t="str">
        <f t="shared" si="164"/>
        <v/>
      </c>
      <c r="CV87" s="591" t="str">
        <f t="shared" si="164"/>
        <v/>
      </c>
      <c r="CW87" s="591" t="str">
        <f t="shared" si="164"/>
        <v/>
      </c>
      <c r="CX87" s="591" t="str">
        <f t="shared" si="164"/>
        <v/>
      </c>
      <c r="CY87" s="591" t="str">
        <f t="shared" si="164"/>
        <v/>
      </c>
      <c r="CZ87" s="591" t="str">
        <f t="shared" si="164"/>
        <v/>
      </c>
      <c r="DA87" s="591" t="str">
        <f t="shared" si="164"/>
        <v/>
      </c>
      <c r="DB87" s="591" t="str">
        <f t="shared" si="164"/>
        <v/>
      </c>
      <c r="DC87" s="592" t="str">
        <f t="shared" si="164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2"/>
        <v>1.0734375909146447</v>
      </c>
      <c r="DI87" s="595">
        <v>0.84608475492788726</v>
      </c>
      <c r="DJ87" s="596">
        <f t="shared" si="153"/>
        <v>0.68724921197823496</v>
      </c>
      <c r="DK87" s="595">
        <v>0.5813588500118001</v>
      </c>
      <c r="DL87" s="596">
        <f t="shared" si="154"/>
        <v>0.51076527536751015</v>
      </c>
      <c r="DM87" s="595">
        <v>0.40487491340107512</v>
      </c>
      <c r="DN87" s="596">
        <f t="shared" si="145"/>
        <v>0.3301287755424151</v>
      </c>
      <c r="DO87" s="595">
        <v>0.28029801696997508</v>
      </c>
      <c r="DP87" s="596">
        <f t="shared" si="146"/>
        <v>0.24707751125501498</v>
      </c>
      <c r="DQ87" s="597">
        <v>0.19724675268257483</v>
      </c>
    </row>
    <row r="88" spans="9:121" ht="15.75" customHeight="1" x14ac:dyDescent="0.3">
      <c r="I88" s="432" t="s">
        <v>1187</v>
      </c>
      <c r="J88" s="440" t="s">
        <v>1191</v>
      </c>
      <c r="K88" s="431" t="s">
        <v>1022</v>
      </c>
      <c r="L88" s="434" t="s">
        <v>7</v>
      </c>
      <c r="M88" s="434" t="s">
        <v>1319</v>
      </c>
      <c r="N88" s="583">
        <f t="shared" ref="N88:O88" si="165">Y56</f>
        <v>1.3579511620070052E-2</v>
      </c>
      <c r="O88" s="576">
        <f t="shared" si="165"/>
        <v>2.2925734862295029</v>
      </c>
      <c r="P88" s="577">
        <f t="shared" si="52"/>
        <v>0.99411161721154995</v>
      </c>
      <c r="Q88" s="578">
        <f t="shared" si="38"/>
        <v>2.2440339691202391</v>
      </c>
      <c r="R88" s="579">
        <f t="shared" ref="R88:V88" si="166">T56</f>
        <v>4.2906187128613207E-3</v>
      </c>
      <c r="S88" s="579">
        <f t="shared" si="166"/>
        <v>4.4248898396402753E-2</v>
      </c>
      <c r="T88" s="579">
        <f t="shared" si="166"/>
        <v>0</v>
      </c>
      <c r="U88" s="579">
        <f t="shared" si="166"/>
        <v>0</v>
      </c>
      <c r="V88" s="579">
        <f t="shared" si="166"/>
        <v>2.2440339691202391</v>
      </c>
      <c r="W88" s="580">
        <f t="shared" ref="W88:Y88" si="167">+IF($O88=0,"-",R88/$O88)</f>
        <v>1.8715294138369877E-3</v>
      </c>
      <c r="X88" s="580">
        <f t="shared" si="167"/>
        <v>1.9300972754935336E-2</v>
      </c>
      <c r="Y88" s="580">
        <f t="shared" si="167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8">+IF(AI88="","",AI88*$AH88)</f>
        <v>2.3061529978495727</v>
      </c>
      <c r="AX88" s="591">
        <f t="shared" si="168"/>
        <v>2.2219884839807933</v>
      </c>
      <c r="AY88" s="591">
        <f t="shared" si="168"/>
        <v>2.2041946644495511</v>
      </c>
      <c r="AZ88" s="591">
        <f t="shared" si="168"/>
        <v>1.8234035596277018</v>
      </c>
      <c r="BA88" s="591">
        <f t="shared" si="168"/>
        <v>1.4932499279846376</v>
      </c>
      <c r="BB88" s="591">
        <f t="shared" si="168"/>
        <v>1.1036545018620887</v>
      </c>
      <c r="BC88" s="591">
        <f t="shared" si="168"/>
        <v>0.82391949793526853</v>
      </c>
      <c r="BD88" s="591">
        <f t="shared" si="168"/>
        <v>0.69656827300258517</v>
      </c>
      <c r="BE88" s="591">
        <f t="shared" si="168"/>
        <v>0.56928438513529978</v>
      </c>
      <c r="BF88" s="591">
        <f t="shared" si="168"/>
        <v>0.44169748047372609</v>
      </c>
      <c r="BG88" s="591">
        <f t="shared" si="168"/>
        <v>0.33942931240154489</v>
      </c>
      <c r="BH88" s="591">
        <f t="shared" si="168"/>
        <v>0.28815213710148468</v>
      </c>
      <c r="BI88" s="591">
        <f t="shared" si="168"/>
        <v>0.236874961801425</v>
      </c>
      <c r="BJ88" s="592">
        <f t="shared" si="168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9">+IF(CB88="","",CB88*$AH88)</f>
        <v/>
      </c>
      <c r="CQ88" s="591" t="str">
        <f t="shared" si="169"/>
        <v/>
      </c>
      <c r="CR88" s="591" t="str">
        <f t="shared" si="169"/>
        <v/>
      </c>
      <c r="CS88" s="591" t="str">
        <f t="shared" si="169"/>
        <v/>
      </c>
      <c r="CT88" s="591" t="str">
        <f t="shared" si="169"/>
        <v/>
      </c>
      <c r="CU88" s="591" t="str">
        <f t="shared" si="169"/>
        <v/>
      </c>
      <c r="CV88" s="591" t="str">
        <f t="shared" si="169"/>
        <v/>
      </c>
      <c r="CW88" s="591" t="str">
        <f t="shared" si="169"/>
        <v/>
      </c>
      <c r="CX88" s="591" t="str">
        <f t="shared" si="169"/>
        <v/>
      </c>
      <c r="CY88" s="591" t="str">
        <f t="shared" si="169"/>
        <v/>
      </c>
      <c r="CZ88" s="591" t="str">
        <f t="shared" si="169"/>
        <v/>
      </c>
      <c r="DA88" s="591" t="str">
        <f t="shared" si="169"/>
        <v/>
      </c>
      <c r="DB88" s="591" t="str">
        <f t="shared" si="169"/>
        <v/>
      </c>
      <c r="DC88" s="592" t="str">
        <f t="shared" si="169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1364</v>
      </c>
    </row>
    <row r="89" spans="9:121" ht="15.75" customHeight="1" x14ac:dyDescent="0.3">
      <c r="I89" s="432" t="s">
        <v>1187</v>
      </c>
      <c r="J89" s="440" t="s">
        <v>1192</v>
      </c>
      <c r="K89" s="431" t="s">
        <v>1022</v>
      </c>
      <c r="L89" s="434" t="s">
        <v>7</v>
      </c>
      <c r="M89" s="434" t="s">
        <v>1319</v>
      </c>
      <c r="N89" s="583">
        <f t="shared" ref="N89:O89" si="170">Y57</f>
        <v>6.1343436802343387E-2</v>
      </c>
      <c r="O89" s="576">
        <f t="shared" si="170"/>
        <v>10.354312893772342</v>
      </c>
      <c r="P89" s="577">
        <f t="shared" si="52"/>
        <v>0.99411045882703797</v>
      </c>
      <c r="Q89" s="578">
        <f t="shared" si="38"/>
        <v>10.137571027545471</v>
      </c>
      <c r="R89" s="579">
        <f t="shared" ref="R89:V89" si="171">T57</f>
        <v>1.8616237427097122E-2</v>
      </c>
      <c r="S89" s="579">
        <f t="shared" si="171"/>
        <v>0.19812562879977277</v>
      </c>
      <c r="T89" s="579">
        <f t="shared" si="171"/>
        <v>0</v>
      </c>
      <c r="U89" s="579">
        <f t="shared" si="171"/>
        <v>0</v>
      </c>
      <c r="V89" s="579">
        <f t="shared" si="171"/>
        <v>10.137571027545471</v>
      </c>
      <c r="W89" s="580">
        <f t="shared" ref="W89:Y89" si="172">+IF($O89=0,"-",R89/$O89)</f>
        <v>1.79792108062467E-3</v>
      </c>
      <c r="X89" s="580">
        <f t="shared" si="172"/>
        <v>1.913459935317741E-2</v>
      </c>
      <c r="Y89" s="580">
        <f t="shared" si="172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3">+IF(AI89="","",AI89*$AH89)</f>
        <v>10.415656330574684</v>
      </c>
      <c r="AX89" s="591">
        <f t="shared" si="173"/>
        <v>10.206646504543086</v>
      </c>
      <c r="AY89" s="591">
        <f t="shared" si="173"/>
        <v>9.9279667365009505</v>
      </c>
      <c r="AZ89" s="591">
        <f t="shared" si="173"/>
        <v>8.4648979542797598</v>
      </c>
      <c r="BA89" s="591">
        <f t="shared" si="173"/>
        <v>7.2456739690954315</v>
      </c>
      <c r="BB89" s="591">
        <f t="shared" si="173"/>
        <v>5.7477702158689725</v>
      </c>
      <c r="BC89" s="591">
        <f t="shared" si="173"/>
        <v>4.7027210857109774</v>
      </c>
      <c r="BD89" s="591">
        <f t="shared" si="173"/>
        <v>4.0408566366109131</v>
      </c>
      <c r="BE89" s="591">
        <f t="shared" si="173"/>
        <v>3.4834971005266495</v>
      </c>
      <c r="BF89" s="591">
        <f t="shared" si="173"/>
        <v>2.8216326514265861</v>
      </c>
      <c r="BG89" s="591">
        <f t="shared" si="173"/>
        <v>2.1597682023265286</v>
      </c>
      <c r="BH89" s="591">
        <f t="shared" si="173"/>
        <v>1.718525236259782</v>
      </c>
      <c r="BI89" s="591">
        <f t="shared" si="173"/>
        <v>1.2772822701931017</v>
      </c>
      <c r="BJ89" s="592">
        <f t="shared" si="173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4">+IF(CB89="","",CB89*$AH89)</f>
        <v/>
      </c>
      <c r="CQ89" s="591" t="str">
        <f t="shared" si="174"/>
        <v/>
      </c>
      <c r="CR89" s="591" t="str">
        <f t="shared" si="174"/>
        <v/>
      </c>
      <c r="CS89" s="591" t="str">
        <f t="shared" si="174"/>
        <v/>
      </c>
      <c r="CT89" s="591" t="str">
        <f t="shared" si="174"/>
        <v/>
      </c>
      <c r="CU89" s="591" t="str">
        <f t="shared" si="174"/>
        <v/>
      </c>
      <c r="CV89" s="591" t="str">
        <f t="shared" si="174"/>
        <v/>
      </c>
      <c r="CW89" s="591" t="str">
        <f t="shared" si="174"/>
        <v/>
      </c>
      <c r="CX89" s="591" t="str">
        <f t="shared" si="174"/>
        <v/>
      </c>
      <c r="CY89" s="591" t="str">
        <f t="shared" si="174"/>
        <v/>
      </c>
      <c r="CZ89" s="591" t="str">
        <f t="shared" si="174"/>
        <v/>
      </c>
      <c r="DA89" s="591" t="str">
        <f t="shared" si="174"/>
        <v/>
      </c>
      <c r="DB89" s="591" t="str">
        <f t="shared" si="174"/>
        <v/>
      </c>
      <c r="DC89" s="592" t="str">
        <f t="shared" si="174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1364</v>
      </c>
      <c r="DO89" s="599" t="s">
        <v>1364</v>
      </c>
      <c r="DP89" s="599" t="s">
        <v>1364</v>
      </c>
      <c r="DQ89" s="600" t="s">
        <v>1364</v>
      </c>
    </row>
    <row r="90" spans="9:121" ht="15.75" customHeight="1" x14ac:dyDescent="0.3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3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1365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3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1366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5">0.05*BK78</f>
        <v>0.45976135716123356</v>
      </c>
      <c r="AX92" s="222">
        <f t="shared" si="175"/>
        <v>0.35887383114809163</v>
      </c>
      <c r="AY92" s="222">
        <f t="shared" si="175"/>
        <v>0.15821478661537516</v>
      </c>
      <c r="AZ92" s="222">
        <f t="shared" si="175"/>
        <v>9.9788867633869835E-2</v>
      </c>
      <c r="BA92" s="222">
        <f t="shared" si="175"/>
        <v>7.9246601656003113E-2</v>
      </c>
      <c r="BB92" s="222">
        <f t="shared" si="175"/>
        <v>4.8433202689203016E-2</v>
      </c>
      <c r="BC92" s="222">
        <f t="shared" si="175"/>
        <v>1.7807392237011568E-2</v>
      </c>
      <c r="BD92" s="222">
        <f t="shared" si="175"/>
        <v>1.3469739604707842E-2</v>
      </c>
      <c r="BE92" s="222">
        <f t="shared" si="175"/>
        <v>1.0699240411137064E-2</v>
      </c>
      <c r="BF92" s="222">
        <f t="shared" si="175"/>
        <v>6.5434916207808948E-3</v>
      </c>
      <c r="BG92" s="222">
        <f t="shared" si="175"/>
        <v>2.3877428304250412E-3</v>
      </c>
      <c r="BH92" s="222">
        <f t="shared" si="175"/>
        <v>0</v>
      </c>
      <c r="BI92" s="222">
        <f t="shared" si="175"/>
        <v>0</v>
      </c>
      <c r="BJ92" s="222">
        <f t="shared" si="175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3">
      <c r="N93" s="856"/>
      <c r="P93" s="836"/>
      <c r="AB93" s="856"/>
      <c r="CV93" s="1"/>
      <c r="CW93" s="1"/>
      <c r="CX93" s="1"/>
      <c r="CY93" s="1"/>
      <c r="CZ93" s="1"/>
      <c r="DA93" s="1"/>
      <c r="DB93" s="1"/>
    </row>
    <row r="94" spans="9:121" ht="15.75" customHeight="1" x14ac:dyDescent="0.3">
      <c r="CV94" s="1"/>
      <c r="CW94" s="1"/>
      <c r="CX94" s="1"/>
      <c r="CY94" s="1"/>
      <c r="CZ94" s="1"/>
      <c r="DA94" s="1"/>
      <c r="DB94" s="1"/>
    </row>
    <row r="95" spans="9:121" ht="15.75" customHeight="1" x14ac:dyDescent="0.3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3">
      <c r="R96" s="1032" t="s">
        <v>1334</v>
      </c>
      <c r="S96" s="980"/>
      <c r="T96" s="980"/>
      <c r="U96" s="980"/>
      <c r="V96" s="981"/>
      <c r="W96" s="1033" t="s">
        <v>1335</v>
      </c>
      <c r="X96" s="980"/>
      <c r="Y96" s="980"/>
      <c r="Z96" s="981"/>
      <c r="AA96" s="541" t="s">
        <v>1336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3">
      <c r="N97" s="446" t="s">
        <v>59</v>
      </c>
      <c r="O97" s="446" t="s">
        <v>59</v>
      </c>
      <c r="P97" s="542" t="s">
        <v>1338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1338</v>
      </c>
      <c r="X97" s="544" t="s">
        <v>1338</v>
      </c>
      <c r="Y97" s="544" t="s">
        <v>1338</v>
      </c>
      <c r="Z97" s="544" t="s">
        <v>1338</v>
      </c>
      <c r="AA97" s="263" t="s">
        <v>1338</v>
      </c>
      <c r="AB97" s="439" t="s">
        <v>59</v>
      </c>
      <c r="AC97" s="439" t="s">
        <v>1339</v>
      </c>
      <c r="AD97" s="542" t="s">
        <v>59</v>
      </c>
      <c r="AE97" s="542" t="s">
        <v>1339</v>
      </c>
      <c r="AF97" s="542" t="s">
        <v>59</v>
      </c>
      <c r="AG97" s="542" t="s">
        <v>1339</v>
      </c>
      <c r="AH97" s="14" t="s">
        <v>59</v>
      </c>
      <c r="AI97" s="1035" t="s">
        <v>1367</v>
      </c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985"/>
      <c r="AW97" s="1035" t="s">
        <v>1368</v>
      </c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985"/>
      <c r="BK97" s="1035" t="s">
        <v>1369</v>
      </c>
      <c r="BL97" s="1016"/>
      <c r="BM97" s="1016"/>
      <c r="BN97" s="1016"/>
      <c r="BO97" s="1016"/>
      <c r="BP97" s="1016"/>
      <c r="BQ97" s="1016"/>
      <c r="BR97" s="1016"/>
      <c r="BS97" s="1016"/>
      <c r="BT97" s="1016"/>
      <c r="BU97" s="1016"/>
      <c r="BV97" s="1016"/>
      <c r="BW97" s="1016"/>
      <c r="BX97" s="985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3">
      <c r="J98" s="608" t="s">
        <v>1125</v>
      </c>
      <c r="K98" s="608" t="s">
        <v>1370</v>
      </c>
      <c r="L98" s="608" t="s">
        <v>1371</v>
      </c>
      <c r="M98" s="608" t="str">
        <f>+M66</f>
        <v>Type of Oil producing</v>
      </c>
      <c r="N98" s="608" t="s">
        <v>1372</v>
      </c>
      <c r="O98" s="608" t="s">
        <v>1373</v>
      </c>
      <c r="P98" s="609" t="s">
        <v>1345</v>
      </c>
      <c r="Q98" s="609" t="s">
        <v>1374</v>
      </c>
      <c r="R98" s="610" t="s">
        <v>1375</v>
      </c>
      <c r="S98" s="610" t="s">
        <v>1376</v>
      </c>
      <c r="T98" s="610" t="s">
        <v>1377</v>
      </c>
      <c r="U98" s="610" t="s">
        <v>1378</v>
      </c>
      <c r="V98" s="610" t="s">
        <v>1379</v>
      </c>
      <c r="W98" s="611" t="s">
        <v>1380</v>
      </c>
      <c r="X98" s="611" t="s">
        <v>1381</v>
      </c>
      <c r="Y98" s="611" t="s">
        <v>1382</v>
      </c>
      <c r="Z98" s="611" t="s">
        <v>1383</v>
      </c>
      <c r="AA98" s="612" t="s">
        <v>1384</v>
      </c>
      <c r="AB98" s="552" t="s">
        <v>1385</v>
      </c>
      <c r="AC98" s="552" t="s">
        <v>1358</v>
      </c>
      <c r="AD98" s="549" t="s">
        <v>1386</v>
      </c>
      <c r="AE98" s="549" t="s">
        <v>1387</v>
      </c>
      <c r="AF98" s="549" t="s">
        <v>1388</v>
      </c>
      <c r="AG98" s="549" t="s">
        <v>1389</v>
      </c>
      <c r="AH98" s="553" t="s">
        <v>1390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3">
      <c r="J99" s="103" t="s">
        <v>1145</v>
      </c>
      <c r="K99" s="103" t="s">
        <v>1319</v>
      </c>
      <c r="L99" s="614" t="s">
        <v>6</v>
      </c>
      <c r="M99" s="615" t="s">
        <v>1391</v>
      </c>
      <c r="N99" s="616">
        <f>+SUMIFS(N$67:N$89,$I$67:$I$89,$J99,$M$67:$M$89,$K99)</f>
        <v>0</v>
      </c>
      <c r="O99" s="616">
        <f t="shared" ref="O99" si="176">+SUMIFS(O$67:O$89,$I$67:$I$89,$J99,$M$67:$M$89,$K99)</f>
        <v>68.585731940983607</v>
      </c>
      <c r="P99" s="617">
        <f t="shared" ref="P99:P105" si="177">+O99/(N99+O99)</f>
        <v>1</v>
      </c>
      <c r="Q99" s="618">
        <f t="shared" ref="Q99:V99" si="178">+SUMIFS(Q$67:Q$89,$I$67:$I$89,$J99,$M$67:$M$89,$K99)</f>
        <v>66.042848806832495</v>
      </c>
      <c r="R99" s="619">
        <f t="shared" si="178"/>
        <v>2.4500442407782339</v>
      </c>
      <c r="S99" s="620">
        <f t="shared" si="178"/>
        <v>9.2838893372876957E-2</v>
      </c>
      <c r="T99" s="619">
        <f t="shared" si="178"/>
        <v>5.6186813035864835</v>
      </c>
      <c r="U99" s="619">
        <f t="shared" si="178"/>
        <v>0</v>
      </c>
      <c r="V99" s="619">
        <f t="shared" si="178"/>
        <v>60.424167503246018</v>
      </c>
      <c r="W99" s="559">
        <f t="shared" ref="W99:Y99" si="179">+IF($O99=0,"-",R99/$O99)</f>
        <v>3.5722360488715625E-2</v>
      </c>
      <c r="X99" s="621">
        <f t="shared" si="179"/>
        <v>1.3536181760480828E-3</v>
      </c>
      <c r="Y99" s="559">
        <f t="shared" si="179"/>
        <v>8.1922014165004831E-2</v>
      </c>
      <c r="Z99" s="559">
        <f t="shared" ref="Z99:Z112" si="180">+IF($O99=0,"-",V99/$O99)</f>
        <v>0.88100200717023158</v>
      </c>
      <c r="AA99" s="560">
        <f t="shared" ref="AA99:AA101" si="181">+IF($T99=0,"-",U99/$T99)</f>
        <v>0</v>
      </c>
      <c r="AB99" s="622">
        <f t="shared" ref="AB99:AB105" si="182">+SUMIFS(AB$67:AB$89,$I$67:$I$89,$J99,$M$67:$M$89,$K99)</f>
        <v>266.73883552000007</v>
      </c>
      <c r="AC99" s="623">
        <f t="shared" ref="AC99:AC105" si="183">+IF((N99+O99)=0,"-",AB99/(N99+O99))</f>
        <v>3.8891301145480592</v>
      </c>
      <c r="AD99" s="563">
        <f t="shared" ref="AD99:AD112" si="184">+AB99*(100%-P99)</f>
        <v>0</v>
      </c>
      <c r="AE99" s="564" t="str">
        <f t="shared" ref="AE99:AE112" si="185">+IF(N99=0,"-",AD99/N99)</f>
        <v>-</v>
      </c>
      <c r="AF99" s="563">
        <f t="shared" ref="AF99:AF112" si="186">+AB99*(P99)</f>
        <v>266.73883552000007</v>
      </c>
      <c r="AG99" s="624">
        <f t="shared" ref="AG99:AG105" si="187">+AF99/O99</f>
        <v>3.8891301145480592</v>
      </c>
      <c r="AH99" s="616">
        <f t="shared" ref="AH99:AH105" si="188">+SUMIFS(AH$67:AH$89,$I$67:$I$89,$J99,$M$67:$M$89,$K99)</f>
        <v>68.585731940983607</v>
      </c>
      <c r="AI99" s="616">
        <f t="shared" ref="AI99:AV99" si="189">+SUMIFS(BK$67:BK$89,$I$67:$I$89,$J99,$M$67:$M$89,$K99)</f>
        <v>68.585731940983607</v>
      </c>
      <c r="AJ99" s="616">
        <f t="shared" si="189"/>
        <v>55.42289382660443</v>
      </c>
      <c r="AK99" s="616">
        <f t="shared" si="189"/>
        <v>48.301053084017497</v>
      </c>
      <c r="AL99" s="616">
        <f t="shared" si="189"/>
        <v>38.921861734744084</v>
      </c>
      <c r="AM99" s="616">
        <f t="shared" si="189"/>
        <v>31.12573621980787</v>
      </c>
      <c r="AN99" s="616">
        <f t="shared" si="189"/>
        <v>20.101904077407454</v>
      </c>
      <c r="AO99" s="616">
        <f t="shared" si="189"/>
        <v>8.0077874319897546</v>
      </c>
      <c r="AP99" s="616">
        <f t="shared" si="189"/>
        <v>2.86729599242289</v>
      </c>
      <c r="AQ99" s="616">
        <f t="shared" si="189"/>
        <v>2.3371052350566992</v>
      </c>
      <c r="AR99" s="616">
        <f t="shared" si="189"/>
        <v>1.5418190990073675</v>
      </c>
      <c r="AS99" s="616">
        <f t="shared" si="189"/>
        <v>0.74653296295810601</v>
      </c>
      <c r="AT99" s="616">
        <f t="shared" si="189"/>
        <v>0.21634220559186546</v>
      </c>
      <c r="AU99" s="616">
        <f t="shared" si="189"/>
        <v>0</v>
      </c>
      <c r="AV99" s="616">
        <f t="shared" si="189"/>
        <v>0</v>
      </c>
      <c r="AW99" s="625">
        <f t="shared" ref="AW99:BJ99" si="190">+AI99*(100%-$P99)</f>
        <v>0</v>
      </c>
      <c r="AX99" s="625">
        <f t="shared" si="190"/>
        <v>0</v>
      </c>
      <c r="AY99" s="625">
        <f t="shared" si="190"/>
        <v>0</v>
      </c>
      <c r="AZ99" s="625">
        <f t="shared" si="190"/>
        <v>0</v>
      </c>
      <c r="BA99" s="625">
        <f t="shared" si="190"/>
        <v>0</v>
      </c>
      <c r="BB99" s="625">
        <f t="shared" si="190"/>
        <v>0</v>
      </c>
      <c r="BC99" s="625">
        <f t="shared" si="190"/>
        <v>0</v>
      </c>
      <c r="BD99" s="625">
        <f t="shared" si="190"/>
        <v>0</v>
      </c>
      <c r="BE99" s="625">
        <f t="shared" si="190"/>
        <v>0</v>
      </c>
      <c r="BF99" s="625">
        <f t="shared" si="190"/>
        <v>0</v>
      </c>
      <c r="BG99" s="625">
        <f t="shared" si="190"/>
        <v>0</v>
      </c>
      <c r="BH99" s="625">
        <f t="shared" si="190"/>
        <v>0</v>
      </c>
      <c r="BI99" s="625">
        <f t="shared" si="190"/>
        <v>0</v>
      </c>
      <c r="BJ99" s="625">
        <f t="shared" si="190"/>
        <v>0</v>
      </c>
      <c r="BK99" s="625">
        <f t="shared" ref="BK99:BX99" si="191">+AI99*($P99)</f>
        <v>68.585731940983607</v>
      </c>
      <c r="BL99" s="625">
        <f t="shared" si="191"/>
        <v>55.42289382660443</v>
      </c>
      <c r="BM99" s="625">
        <f t="shared" si="191"/>
        <v>48.301053084017497</v>
      </c>
      <c r="BN99" s="625">
        <f t="shared" si="191"/>
        <v>38.921861734744084</v>
      </c>
      <c r="BO99" s="625">
        <f t="shared" si="191"/>
        <v>31.12573621980787</v>
      </c>
      <c r="BP99" s="625">
        <f t="shared" si="191"/>
        <v>20.101904077407454</v>
      </c>
      <c r="BQ99" s="625">
        <f t="shared" si="191"/>
        <v>8.0077874319897546</v>
      </c>
      <c r="BR99" s="625">
        <f t="shared" si="191"/>
        <v>2.86729599242289</v>
      </c>
      <c r="BS99" s="625">
        <f t="shared" si="191"/>
        <v>2.3371052350566992</v>
      </c>
      <c r="BT99" s="625">
        <f t="shared" si="191"/>
        <v>1.5418190990073675</v>
      </c>
      <c r="BU99" s="625">
        <f t="shared" si="191"/>
        <v>0.74653296295810601</v>
      </c>
      <c r="BV99" s="625">
        <f t="shared" si="191"/>
        <v>0.21634220559186546</v>
      </c>
      <c r="BW99" s="625">
        <f t="shared" si="191"/>
        <v>0</v>
      </c>
      <c r="BX99" s="625">
        <f t="shared" si="191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3">
      <c r="J100" s="103" t="s">
        <v>1149</v>
      </c>
      <c r="K100" s="103" t="s">
        <v>1119</v>
      </c>
      <c r="L100" s="614" t="s">
        <v>12</v>
      </c>
      <c r="M100" s="626" t="s">
        <v>1392</v>
      </c>
      <c r="N100" s="616">
        <f>+SUMIFS(N$67:N$89,$I$67:$I$89,$J100,$M$67:$M$89,$K100)</f>
        <v>107.6091233110016</v>
      </c>
      <c r="O100" s="616">
        <f>+SUMIFS(O$67:O$89,$I$67:$I$89,$J100,$M$67:$M$89,$K100)</f>
        <v>269.18339314049138</v>
      </c>
      <c r="P100" s="617">
        <f t="shared" si="177"/>
        <v>0.7144074825996316</v>
      </c>
      <c r="Q100" s="618">
        <f t="shared" ref="Q100:V100" si="192">+SUMIFS(Q$67:Q$89,$I$67:$I$89,$J100,$M$67:$M$89,$K100)</f>
        <v>221.53658720841196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82.744783788999428</v>
      </c>
      <c r="U100" s="619">
        <f t="shared" si="192"/>
        <v>15.545840389453234</v>
      </c>
      <c r="V100" s="619">
        <f t="shared" si="192"/>
        <v>154.33764380886575</v>
      </c>
      <c r="W100" s="559">
        <f t="shared" ref="W100:Y100" si="193">+IF($O100=0,"-",R100/$O100)</f>
        <v>0.10713140623249595</v>
      </c>
      <c r="X100" s="559">
        <f t="shared" si="193"/>
        <v>1.2121736274226792E-2</v>
      </c>
      <c r="Y100" s="559">
        <f t="shared" si="193"/>
        <v>0.30739185959296356</v>
      </c>
      <c r="Z100" s="559">
        <f t="shared" si="180"/>
        <v>0.57335499790031375</v>
      </c>
      <c r="AA100" s="560">
        <f t="shared" si="181"/>
        <v>0.18787698363071906</v>
      </c>
      <c r="AB100" s="622">
        <f>+SUMIFS(AB$67:AB$89,$I$67:$I$89,$J100,$M$67:$M$89,$K100)</f>
        <v>2159.2322362664527</v>
      </c>
      <c r="AC100" s="623">
        <f t="shared" si="183"/>
        <v>5.7305603004045462</v>
      </c>
      <c r="AD100" s="563">
        <f>+AB100*(100%-P100)</f>
        <v>616.66057000736328</v>
      </c>
      <c r="AE100" s="627">
        <f t="shared" si="185"/>
        <v>5.7305603004045471</v>
      </c>
      <c r="AF100" s="563">
        <f t="shared" si="186"/>
        <v>1542.5716662590894</v>
      </c>
      <c r="AG100" s="627">
        <f t="shared" si="187"/>
        <v>5.7305603004045462</v>
      </c>
      <c r="AH100" s="616">
        <f t="shared" si="188"/>
        <v>376.79251645149293</v>
      </c>
      <c r="AI100" s="616">
        <f>+SUMIFS(BK$67:BK$89,$I$67:$I$89,$J100,$M$67:$M$89,$K100)</f>
        <v>376.79251645149293</v>
      </c>
      <c r="AJ100" s="616">
        <f t="shared" ref="AJ100:AV100" si="194">+SUMIFS(BL$67:BL$89,$I$67:$I$89,$J100,$M$67:$M$89,$K100)</f>
        <v>369.59874879475456</v>
      </c>
      <c r="AK100" s="616">
        <f t="shared" si="194"/>
        <v>295.71175125095385</v>
      </c>
      <c r="AL100" s="616">
        <f t="shared" si="194"/>
        <v>221.21840706405601</v>
      </c>
      <c r="AM100" s="616">
        <f t="shared" si="194"/>
        <v>171.31169310730004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</v>
      </c>
      <c r="AX100" s="625">
        <f t="shared" si="195"/>
        <v>105.55463709632033</v>
      </c>
      <c r="AY100" s="625">
        <f t="shared" si="195"/>
        <v>84.453063464631455</v>
      </c>
      <c r="AZ100" s="625">
        <f t="shared" si="195"/>
        <v>63.178321768723194</v>
      </c>
      <c r="BA100" s="625">
        <f t="shared" si="195"/>
        <v>48.925337694633157</v>
      </c>
      <c r="BB100" s="625">
        <f t="shared" si="195"/>
        <v>31.972828389666304</v>
      </c>
      <c r="BC100" s="625">
        <f t="shared" si="195"/>
        <v>20.671166945029047</v>
      </c>
      <c r="BD100" s="625">
        <f t="shared" si="195"/>
        <v>14.917943211896333</v>
      </c>
      <c r="BE100" s="625">
        <f t="shared" si="195"/>
        <v>11.160381779244979</v>
      </c>
      <c r="BF100" s="625">
        <f t="shared" si="195"/>
        <v>6.681978492125638</v>
      </c>
      <c r="BG100" s="625">
        <f t="shared" si="195"/>
        <v>4.9563129226524474</v>
      </c>
      <c r="BH100" s="625">
        <f t="shared" si="195"/>
        <v>3.8058692096703348</v>
      </c>
      <c r="BI100" s="625">
        <f t="shared" si="195"/>
        <v>2.8643462712518848</v>
      </c>
      <c r="BJ100" s="625">
        <f t="shared" si="195"/>
        <v>1.9105739894896381</v>
      </c>
      <c r="BK100" s="625">
        <f t="shared" ref="BK100:BX100" si="196">+AI100*($P100)</f>
        <v>269.18339314049132</v>
      </c>
      <c r="BL100" s="625">
        <f t="shared" si="196"/>
        <v>264.04411169843422</v>
      </c>
      <c r="BM100" s="625">
        <f t="shared" si="196"/>
        <v>211.25868778632241</v>
      </c>
      <c r="BN100" s="625">
        <f t="shared" si="196"/>
        <v>158.0400852953328</v>
      </c>
      <c r="BO100" s="625">
        <f t="shared" si="196"/>
        <v>122.38635541266689</v>
      </c>
      <c r="BP100" s="625">
        <f t="shared" si="196"/>
        <v>79.979783957120134</v>
      </c>
      <c r="BQ100" s="625">
        <f t="shared" si="196"/>
        <v>51.708764900490593</v>
      </c>
      <c r="BR100" s="625">
        <f t="shared" si="196"/>
        <v>37.317120044271071</v>
      </c>
      <c r="BS100" s="625">
        <f t="shared" si="196"/>
        <v>27.91760906180842</v>
      </c>
      <c r="BT100" s="625">
        <f t="shared" si="196"/>
        <v>16.714917732428663</v>
      </c>
      <c r="BU100" s="625">
        <f t="shared" si="196"/>
        <v>12.398178601732479</v>
      </c>
      <c r="BV100" s="625">
        <f t="shared" si="196"/>
        <v>9.520352514601722</v>
      </c>
      <c r="BW100" s="625">
        <f t="shared" si="196"/>
        <v>7.1651401359021074</v>
      </c>
      <c r="BX100" s="625">
        <f t="shared" si="196"/>
        <v>4.7792861191743068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3">
      <c r="J101" s="103" t="s">
        <v>1149</v>
      </c>
      <c r="K101" s="103" t="s">
        <v>1117</v>
      </c>
      <c r="L101" s="614" t="s">
        <v>16</v>
      </c>
      <c r="M101" s="34" t="s">
        <v>1393</v>
      </c>
      <c r="N101" s="616">
        <f>+SUMIFS(N$67:N$89,$I$67:$I$89,$J101,$M$67:$M$89,$K101)</f>
        <v>724.65339318846713</v>
      </c>
      <c r="O101" s="616">
        <f t="shared" ref="O101" si="197">+SUMIFS(O$67:O$89,$I$67:$I$89,$J101,$M$67:$M$89,$K101)</f>
        <v>2.0511176562165518</v>
      </c>
      <c r="P101" s="617">
        <f t="shared" si="177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20">
        <f t="shared" si="198"/>
        <v>0.4330294316488485</v>
      </c>
      <c r="U101" s="620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80"/>
        <v>0</v>
      </c>
      <c r="AA101" s="560">
        <f t="shared" si="181"/>
        <v>0.4507029118970462</v>
      </c>
      <c r="AB101" s="622">
        <f t="shared" si="182"/>
        <v>6496.7121983715815</v>
      </c>
      <c r="AC101" s="623">
        <f t="shared" si="183"/>
        <v>8.9399640451111821</v>
      </c>
      <c r="AD101" s="563">
        <f t="shared" si="184"/>
        <v>6478.3752802727131</v>
      </c>
      <c r="AE101" s="627">
        <f t="shared" si="185"/>
        <v>8.9399640451111821</v>
      </c>
      <c r="AF101" s="563">
        <f t="shared" si="186"/>
        <v>18.33691809886869</v>
      </c>
      <c r="AG101" s="627">
        <f t="shared" si="187"/>
        <v>8.9399640451111804</v>
      </c>
      <c r="AH101" s="616">
        <f t="shared" si="188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3">
      <c r="J102" s="103" t="s">
        <v>1168</v>
      </c>
      <c r="K102" s="103" t="s">
        <v>1119</v>
      </c>
      <c r="L102" s="614" t="s">
        <v>20</v>
      </c>
      <c r="M102" s="34" t="s">
        <v>1394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7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80"/>
        <v>0</v>
      </c>
      <c r="AA102" s="560">
        <f>+IF($T102=0,0,U102/$T102)</f>
        <v>0</v>
      </c>
      <c r="AB102" s="622">
        <f t="shared" si="182"/>
        <v>44.660401360000002</v>
      </c>
      <c r="AC102" s="623">
        <f t="shared" si="183"/>
        <v>7.9251279398869023</v>
      </c>
      <c r="AD102" s="563">
        <f t="shared" si="184"/>
        <v>34.54842039201656</v>
      </c>
      <c r="AE102" s="627">
        <f t="shared" si="185"/>
        <v>7.9251279398869032</v>
      </c>
      <c r="AF102" s="563">
        <f t="shared" si="186"/>
        <v>10.111980967983444</v>
      </c>
      <c r="AG102" s="627">
        <f t="shared" si="187"/>
        <v>7.9251279398869032</v>
      </c>
      <c r="AH102" s="616">
        <f t="shared" si="188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3">
      <c r="J103" s="103" t="s">
        <v>1170</v>
      </c>
      <c r="K103" s="103" t="s">
        <v>1118</v>
      </c>
      <c r="L103" s="614" t="s">
        <v>24</v>
      </c>
      <c r="M103" s="34" t="s">
        <v>1395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7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80"/>
        <v>0.18759637736801693</v>
      </c>
      <c r="AA103" s="560">
        <f t="shared" ref="AA103:AA104" si="212">+IF($T103=0,"-",U103/$T103)</f>
        <v>0</v>
      </c>
      <c r="AB103" s="622">
        <f t="shared" si="182"/>
        <v>1058.6607668001971</v>
      </c>
      <c r="AC103" s="623">
        <f t="shared" si="183"/>
        <v>6.3988764764176702</v>
      </c>
      <c r="AD103" s="563">
        <f t="shared" si="184"/>
        <v>1027.9533241655267</v>
      </c>
      <c r="AE103" s="627">
        <f t="shared" si="185"/>
        <v>6.3988764764176693</v>
      </c>
      <c r="AF103" s="563">
        <f t="shared" si="186"/>
        <v>30.707442634670208</v>
      </c>
      <c r="AG103" s="627">
        <f t="shared" si="187"/>
        <v>6.3988764764176702</v>
      </c>
      <c r="AH103" s="616">
        <f t="shared" si="188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3">
      <c r="J104" s="103" t="s">
        <v>1179</v>
      </c>
      <c r="K104" s="103" t="s">
        <v>1118</v>
      </c>
      <c r="L104" s="614" t="s">
        <v>28</v>
      </c>
      <c r="M104" s="626" t="s">
        <v>1396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7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80"/>
        <v>8.7309826136574556E-4</v>
      </c>
      <c r="AA104" s="560">
        <f t="shared" si="212"/>
        <v>0.39345284643786937</v>
      </c>
      <c r="AB104" s="622">
        <f t="shared" si="182"/>
        <v>283.33235609852005</v>
      </c>
      <c r="AC104" s="623">
        <f t="shared" si="183"/>
        <v>9.4876824825658908</v>
      </c>
      <c r="AD104" s="563">
        <f t="shared" si="184"/>
        <v>269.39977011015941</v>
      </c>
      <c r="AE104" s="627">
        <f t="shared" si="185"/>
        <v>9.4876824825658908</v>
      </c>
      <c r="AF104" s="563">
        <f t="shared" si="186"/>
        <v>13.932585988360662</v>
      </c>
      <c r="AG104" s="627">
        <f t="shared" si="187"/>
        <v>9.4876824825658908</v>
      </c>
      <c r="AH104" s="616">
        <f t="shared" si="188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3">
      <c r="J105" s="103" t="s">
        <v>1187</v>
      </c>
      <c r="K105" s="103" t="s">
        <v>1319</v>
      </c>
      <c r="L105" s="614" t="s">
        <v>31</v>
      </c>
      <c r="M105" s="626" t="s">
        <v>1397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7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80"/>
        <v>0.98068002602759363</v>
      </c>
      <c r="AA105" s="560">
        <f>+IF($T105=0,0,U105/$T105)</f>
        <v>0</v>
      </c>
      <c r="AB105" s="622">
        <f t="shared" si="182"/>
        <v>157.75252398843665</v>
      </c>
      <c r="AC105" s="623">
        <f t="shared" si="183"/>
        <v>11.426488619661082</v>
      </c>
      <c r="AD105" s="563">
        <f t="shared" si="184"/>
        <v>0.85610621750016469</v>
      </c>
      <c r="AE105" s="627">
        <f t="shared" si="185"/>
        <v>11.426488619661127</v>
      </c>
      <c r="AF105" s="563">
        <f t="shared" si="186"/>
        <v>156.89641777093649</v>
      </c>
      <c r="AG105" s="627">
        <f t="shared" si="187"/>
        <v>11.426488619661082</v>
      </c>
      <c r="AH105" s="616">
        <f t="shared" si="188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3">
      <c r="J106" s="103" t="s">
        <v>1149</v>
      </c>
      <c r="K106" s="103" t="s">
        <v>1118</v>
      </c>
      <c r="L106" s="614" t="s">
        <v>1398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80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4"/>
        <v>0</v>
      </c>
      <c r="AE106" s="628" t="str">
        <f t="shared" si="185"/>
        <v>-</v>
      </c>
      <c r="AF106" s="627">
        <f t="shared" si="186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3">
      <c r="J107" s="103" t="s">
        <v>1168</v>
      </c>
      <c r="K107" s="103" t="s">
        <v>1118</v>
      </c>
      <c r="L107" s="614" t="s">
        <v>1398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80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4"/>
        <v>0</v>
      </c>
      <c r="AE107" s="628" t="str">
        <f t="shared" si="185"/>
        <v>-</v>
      </c>
      <c r="AF107" s="627">
        <f t="shared" si="186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3">
      <c r="J108" s="103" t="s">
        <v>1168</v>
      </c>
      <c r="K108" s="103" t="s">
        <v>1117</v>
      </c>
      <c r="L108" s="614" t="s">
        <v>1398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80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4"/>
        <v>0</v>
      </c>
      <c r="AE108" s="628" t="str">
        <f t="shared" si="185"/>
        <v>-</v>
      </c>
      <c r="AF108" s="627">
        <f t="shared" si="186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3">
      <c r="J109" s="103" t="s">
        <v>1170</v>
      </c>
      <c r="K109" s="103" t="s">
        <v>1119</v>
      </c>
      <c r="L109" s="614" t="s">
        <v>1398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80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4"/>
        <v>0</v>
      </c>
      <c r="AE109" s="628" t="str">
        <f t="shared" si="185"/>
        <v>-</v>
      </c>
      <c r="AF109" s="627">
        <f t="shared" si="186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3">
      <c r="J110" s="103" t="s">
        <v>1170</v>
      </c>
      <c r="K110" s="103" t="s">
        <v>1117</v>
      </c>
      <c r="L110" s="614" t="s">
        <v>1398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80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4"/>
        <v>33.307514591244193</v>
      </c>
      <c r="AE110" s="627">
        <f t="shared" si="185"/>
        <v>10.152972558945223</v>
      </c>
      <c r="AF110" s="627">
        <f t="shared" si="186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3">
      <c r="J111" s="103" t="s">
        <v>1179</v>
      </c>
      <c r="K111" s="103" t="s">
        <v>1119</v>
      </c>
      <c r="L111" s="614" t="s">
        <v>1398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80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4"/>
        <v>0</v>
      </c>
      <c r="AE111" s="628" t="str">
        <f t="shared" si="185"/>
        <v>-</v>
      </c>
      <c r="AF111" s="627">
        <f t="shared" si="186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3">
      <c r="J112" s="103" t="s">
        <v>1179</v>
      </c>
      <c r="K112" s="103" t="s">
        <v>1117</v>
      </c>
      <c r="L112" s="614" t="s">
        <v>1398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80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4"/>
        <v>0</v>
      </c>
      <c r="AE112" s="628" t="str">
        <f t="shared" si="185"/>
        <v>-</v>
      </c>
      <c r="AF112" s="627">
        <f t="shared" si="186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3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3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3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5">
      <c r="J116" s="1036" t="s">
        <v>1399</v>
      </c>
      <c r="K116" s="1037"/>
      <c r="L116" s="1037"/>
      <c r="M116" s="1037"/>
      <c r="N116" s="1037"/>
      <c r="O116" s="1037"/>
      <c r="P116" s="1037"/>
      <c r="Q116" s="1037"/>
      <c r="R116" s="1037"/>
      <c r="S116" s="1037"/>
      <c r="T116" s="1037"/>
      <c r="U116" s="1037"/>
      <c r="V116" s="1037"/>
      <c r="W116" s="1037"/>
      <c r="X116" s="1037"/>
      <c r="Y116" s="1037"/>
      <c r="Z116" s="1037"/>
      <c r="AA116" s="1037"/>
      <c r="AB116" s="1037"/>
      <c r="AC116" s="1037"/>
      <c r="AD116" s="1037"/>
      <c r="AE116" s="1037"/>
      <c r="AF116" s="1037"/>
      <c r="AG116" s="1038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3">
      <c r="R117" s="231"/>
      <c r="AB117" s="231"/>
      <c r="AF117" s="231">
        <f>+SUM(AF99:AF104)</f>
        <v>1882.3994294689726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971.48849262837223</v>
      </c>
      <c r="AY117" s="632">
        <f t="shared" si="273"/>
        <v>810.68364655400239</v>
      </c>
      <c r="AZ117" s="632">
        <f t="shared" si="273"/>
        <v>667.28375525595186</v>
      </c>
      <c r="BA117" s="632">
        <f t="shared" si="273"/>
        <v>558.42014931750418</v>
      </c>
      <c r="BB117" s="632">
        <f t="shared" si="273"/>
        <v>399.75639540765508</v>
      </c>
      <c r="BC117" s="632">
        <f t="shared" si="273"/>
        <v>323.20719747285551</v>
      </c>
      <c r="BD117" s="632">
        <f t="shared" si="273"/>
        <v>269.43749009101651</v>
      </c>
      <c r="BE117" s="632">
        <f t="shared" si="273"/>
        <v>223.91210147505601</v>
      </c>
      <c r="BF117" s="632">
        <f t="shared" si="273"/>
        <v>156.85986604729322</v>
      </c>
      <c r="BG117" s="632">
        <f t="shared" si="273"/>
        <v>103.46702845198907</v>
      </c>
      <c r="BH117" s="632">
        <f t="shared" si="273"/>
        <v>88.251820414780013</v>
      </c>
      <c r="BI117" s="632">
        <f t="shared" si="273"/>
        <v>78.909253260719709</v>
      </c>
      <c r="BJ117" s="632">
        <f t="shared" si="273"/>
        <v>66.314169119658501</v>
      </c>
      <c r="BK117" s="633">
        <f t="shared" si="273"/>
        <v>347.36355425783938</v>
      </c>
      <c r="BL117" s="632">
        <f t="shared" si="273"/>
        <v>328.44672499540297</v>
      </c>
      <c r="BM117" s="632">
        <f t="shared" si="273"/>
        <v>266.84840766161625</v>
      </c>
      <c r="BN117" s="632">
        <f t="shared" si="273"/>
        <v>202.94139999381096</v>
      </c>
      <c r="BO117" s="632">
        <f t="shared" si="273"/>
        <v>158.45922461096148</v>
      </c>
      <c r="BP117" s="632">
        <f t="shared" si="273"/>
        <v>103.4909269232822</v>
      </c>
      <c r="BQ117" s="632">
        <f t="shared" si="273"/>
        <v>62.430237987847477</v>
      </c>
      <c r="BR117" s="632">
        <f t="shared" si="273"/>
        <v>42.421611066732957</v>
      </c>
      <c r="BS117" s="632">
        <f t="shared" si="273"/>
        <v>32.158370869623056</v>
      </c>
      <c r="BT117" s="632">
        <f t="shared" si="273"/>
        <v>19.663262709620493</v>
      </c>
      <c r="BU117" s="632">
        <f t="shared" si="273"/>
        <v>14.194291369736252</v>
      </c>
      <c r="BV117" s="632">
        <f t="shared" si="273"/>
        <v>10.638590168910678</v>
      </c>
      <c r="BW117" s="632">
        <f t="shared" si="273"/>
        <v>7.9579786805109487</v>
      </c>
      <c r="BX117" s="634">
        <f t="shared" si="273"/>
        <v>5.4372244221875707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3">
      <c r="AB118" s="12" t="s">
        <v>1400</v>
      </c>
      <c r="AC118" s="12" t="s">
        <v>1401</v>
      </c>
      <c r="AF118" s="12">
        <f>+AF117*(1000/D8)/1000</f>
        <v>309.24027761278944</v>
      </c>
      <c r="AV118" s="47" t="s">
        <v>586</v>
      </c>
      <c r="AW118" s="635">
        <f t="shared" ref="AW118:BJ118" si="274">+AW117*1000/($D$8*365)</f>
        <v>461.63196063013703</v>
      </c>
      <c r="AX118" s="635">
        <f t="shared" si="274"/>
        <v>437.24924493430632</v>
      </c>
      <c r="AY118" s="635">
        <f t="shared" si="274"/>
        <v>364.87391773144236</v>
      </c>
      <c r="AZ118" s="635">
        <f t="shared" si="274"/>
        <v>300.33224310584319</v>
      </c>
      <c r="BA118" s="635">
        <f t="shared" si="274"/>
        <v>251.33472037798418</v>
      </c>
      <c r="BB118" s="635">
        <f t="shared" si="274"/>
        <v>179.92305969240297</v>
      </c>
      <c r="BC118" s="635">
        <f t="shared" si="274"/>
        <v>145.46966240432852</v>
      </c>
      <c r="BD118" s="635">
        <f t="shared" si="274"/>
        <v>121.26889818380845</v>
      </c>
      <c r="BE118" s="635">
        <f t="shared" si="274"/>
        <v>100.77875141550874</v>
      </c>
      <c r="BF118" s="635">
        <f t="shared" si="274"/>
        <v>70.599763672046109</v>
      </c>
      <c r="BG118" s="635">
        <f t="shared" si="274"/>
        <v>46.568621666149575</v>
      </c>
      <c r="BH118" s="635">
        <f t="shared" si="274"/>
        <v>39.72053414244796</v>
      </c>
      <c r="BI118" s="635">
        <f t="shared" si="274"/>
        <v>35.51561512914207</v>
      </c>
      <c r="BJ118" s="635">
        <f t="shared" si="274"/>
        <v>29.846797564804991</v>
      </c>
      <c r="BK118" s="636">
        <f t="shared" ref="BK118:BX118" si="275">+BK117*1000/($D$7*365)</f>
        <v>942.67153424657533</v>
      </c>
      <c r="BL118" s="635">
        <f t="shared" si="275"/>
        <v>891.33524336251526</v>
      </c>
      <c r="BM118" s="635">
        <f t="shared" si="275"/>
        <v>724.17038223564396</v>
      </c>
      <c r="BN118" s="635">
        <f t="shared" si="275"/>
        <v>550.74022173411777</v>
      </c>
      <c r="BO118" s="635">
        <f t="shared" si="275"/>
        <v>430.02496533836239</v>
      </c>
      <c r="BP118" s="635">
        <f t="shared" si="275"/>
        <v>280.85258130147929</v>
      </c>
      <c r="BQ118" s="635">
        <f t="shared" si="275"/>
        <v>169.42251858610132</v>
      </c>
      <c r="BR118" s="635">
        <f t="shared" si="275"/>
        <v>115.12331878031547</v>
      </c>
      <c r="BS118" s="635">
        <f t="shared" si="275"/>
        <v>87.271046242335572</v>
      </c>
      <c r="BT118" s="635">
        <f t="shared" si="275"/>
        <v>53.361954066754535</v>
      </c>
      <c r="BU118" s="635">
        <f t="shared" si="275"/>
        <v>38.520317572292406</v>
      </c>
      <c r="BV118" s="635">
        <f t="shared" si="275"/>
        <v>28.870893315720476</v>
      </c>
      <c r="BW118" s="635">
        <f t="shared" si="275"/>
        <v>21.596278251720161</v>
      </c>
      <c r="BX118" s="637">
        <f t="shared" si="275"/>
        <v>14.755482045482417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3">
      <c r="AB119" s="12" t="s">
        <v>1402</v>
      </c>
      <c r="AC119" s="12" t="s">
        <v>1403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3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1404</v>
      </c>
      <c r="Y120" s="639" t="s">
        <v>1345</v>
      </c>
      <c r="Z120" s="639" t="s">
        <v>1405</v>
      </c>
      <c r="AA120" s="640" t="s">
        <v>1406</v>
      </c>
      <c r="AB120" s="640" t="s">
        <v>1407</v>
      </c>
      <c r="AC120" s="640" t="s">
        <v>1408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3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>+$T$133/1000</f>
        <v>1.0582000000000001E-2</v>
      </c>
      <c r="O121" s="379" t="s">
        <v>1409</v>
      </c>
      <c r="S121" s="12">
        <v>11.07</v>
      </c>
      <c r="U121" s="12">
        <f t="shared" ref="U121:U127" si="278">+S121*N121</f>
        <v>0.11714274000000001</v>
      </c>
      <c r="X121" s="615" t="s">
        <v>1391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1225</v>
      </c>
      <c r="AB121" s="12" t="s">
        <v>1225</v>
      </c>
      <c r="AC121" s="12" t="s">
        <v>531</v>
      </c>
      <c r="AD121">
        <f>T133</f>
        <v>10.582000000000001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3">
      <c r="J122" s="103" t="str">
        <f t="shared" ref="J122:M122" si="279">J100</f>
        <v>Llanos Orientales</v>
      </c>
      <c r="K122" s="103" t="str">
        <f t="shared" si="279"/>
        <v>Light Oil</v>
      </c>
      <c r="L122" s="614" t="str">
        <f t="shared" si="279"/>
        <v>CAM2</v>
      </c>
      <c r="M122" s="626" t="str">
        <f t="shared" si="279"/>
        <v>LLO - Ligth</v>
      </c>
      <c r="N122" s="379">
        <f>+$T$133/1000</f>
        <v>1.0582000000000001E-2</v>
      </c>
      <c r="O122" s="379" t="s">
        <v>1409</v>
      </c>
      <c r="S122" s="12">
        <v>363.69</v>
      </c>
      <c r="U122" s="12">
        <f t="shared" si="278"/>
        <v>3.8485675800000005</v>
      </c>
      <c r="X122" s="626" t="s">
        <v>1392</v>
      </c>
      <c r="Y122" s="400">
        <v>0.7144074825996316</v>
      </c>
      <c r="Z122" s="641">
        <v>221.53658720841196</v>
      </c>
      <c r="AA122" s="12" t="s">
        <v>1225</v>
      </c>
      <c r="AB122" s="12" t="s">
        <v>1225</v>
      </c>
      <c r="AC122" s="12" t="s">
        <v>531</v>
      </c>
      <c r="AD122">
        <f>T133+T134</f>
        <v>11.801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3">
      <c r="J123" s="103" t="str">
        <f t="shared" ref="J123:M123" si="280">J101</f>
        <v>Llanos Orientales</v>
      </c>
      <c r="K123" s="103" t="str">
        <f t="shared" si="280"/>
        <v>Heavy Oil</v>
      </c>
      <c r="L123" s="614" t="str">
        <f t="shared" si="280"/>
        <v>CAM3</v>
      </c>
      <c r="M123" s="34" t="str">
        <f t="shared" si="280"/>
        <v>LLO - Heavy</v>
      </c>
      <c r="N123" s="379">
        <f>+(T135+$T$133)/1000</f>
        <v>1.4998000000000001E-2</v>
      </c>
      <c r="O123" s="379" t="s">
        <v>1409</v>
      </c>
      <c r="S123" s="12">
        <v>726.7</v>
      </c>
      <c r="U123" s="12">
        <f t="shared" si="278"/>
        <v>10.899046600000002</v>
      </c>
      <c r="X123" s="34" t="s">
        <v>1393</v>
      </c>
      <c r="Y123" s="400">
        <v>2.8224919834781799E-3</v>
      </c>
      <c r="Z123" s="641">
        <v>0.23786180586758954</v>
      </c>
      <c r="AA123" s="12" t="s">
        <v>1225</v>
      </c>
      <c r="AB123" s="12" t="s">
        <v>531</v>
      </c>
      <c r="AC123" s="12" t="s">
        <v>1225</v>
      </c>
      <c r="AD123">
        <f>T133+T135</f>
        <v>14.998000000000001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3">
      <c r="J124" s="103" t="str">
        <f t="shared" ref="J124:M124" si="281">J102</f>
        <v>Putumayo</v>
      </c>
      <c r="K124" s="103" t="str">
        <f t="shared" si="281"/>
        <v>Light Oil</v>
      </c>
      <c r="L124" s="614" t="str">
        <f t="shared" si="281"/>
        <v>CAM4</v>
      </c>
      <c r="M124" s="34" t="str">
        <f t="shared" si="281"/>
        <v>PU - Ligth</v>
      </c>
      <c r="N124" s="379">
        <f>+$T$133/1000</f>
        <v>1.0582000000000001E-2</v>
      </c>
      <c r="O124" s="379" t="s">
        <v>1409</v>
      </c>
      <c r="P124" s="1"/>
      <c r="S124" s="12">
        <v>5.64</v>
      </c>
      <c r="U124" s="12">
        <f t="shared" si="278"/>
        <v>5.9682480000000003E-2</v>
      </c>
      <c r="X124" s="34" t="s">
        <v>1394</v>
      </c>
      <c r="Y124" s="400">
        <v>0.2264193930205074</v>
      </c>
      <c r="Z124" s="641">
        <v>0</v>
      </c>
      <c r="AA124" s="12" t="s">
        <v>1225</v>
      </c>
      <c r="AB124" s="12" t="s">
        <v>531</v>
      </c>
      <c r="AC124" s="12" t="s">
        <v>1225</v>
      </c>
      <c r="AD124">
        <f>T133</f>
        <v>10.582000000000001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3">
      <c r="J125" s="103" t="str">
        <f t="shared" ref="J125:M125" si="282">J103</f>
        <v>VMM</v>
      </c>
      <c r="K125" s="103" t="str">
        <f t="shared" si="282"/>
        <v>Medium Oil</v>
      </c>
      <c r="L125" s="614" t="str">
        <f t="shared" si="282"/>
        <v>CAM5</v>
      </c>
      <c r="M125" s="34" t="str">
        <f t="shared" si="282"/>
        <v>VMM - Medium</v>
      </c>
      <c r="N125" s="379">
        <f>+$T$133/1000</f>
        <v>1.0582000000000001E-2</v>
      </c>
      <c r="O125" s="379" t="s">
        <v>1409</v>
      </c>
      <c r="P125" s="1"/>
      <c r="S125" s="12">
        <v>165.44</v>
      </c>
      <c r="U125" s="12">
        <f t="shared" si="278"/>
        <v>1.7506860800000001</v>
      </c>
      <c r="X125" s="34" t="s">
        <v>1395</v>
      </c>
      <c r="Y125" s="400">
        <v>2.9005932398423979E-2</v>
      </c>
      <c r="Z125" s="641">
        <v>2.2768748695271519</v>
      </c>
      <c r="AA125" s="12" t="s">
        <v>1225</v>
      </c>
      <c r="AB125" s="12" t="s">
        <v>531</v>
      </c>
      <c r="AC125" s="12" t="s">
        <v>1225</v>
      </c>
      <c r="AD125">
        <f>+T133+T134</f>
        <v>11.801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3">
      <c r="J126" s="103" t="str">
        <f t="shared" ref="J126:M126" si="283">J104</f>
        <v>VSM</v>
      </c>
      <c r="K126" s="103" t="str">
        <f t="shared" si="283"/>
        <v>Medium Oil</v>
      </c>
      <c r="L126" s="614" t="str">
        <f t="shared" si="283"/>
        <v>CAM6</v>
      </c>
      <c r="M126" s="626" t="str">
        <f t="shared" si="283"/>
        <v>VSM - Medium</v>
      </c>
      <c r="N126" s="379">
        <f>+$T$133/1000</f>
        <v>1.0582000000000001E-2</v>
      </c>
      <c r="O126" s="379" t="s">
        <v>1409</v>
      </c>
      <c r="P126" s="1"/>
      <c r="S126" s="12">
        <v>29.86</v>
      </c>
      <c r="U126" s="12">
        <f t="shared" si="278"/>
        <v>0.31597852000000004</v>
      </c>
      <c r="X126" s="626" t="s">
        <v>1396</v>
      </c>
      <c r="Y126" s="400">
        <v>4.9174002504380532E-2</v>
      </c>
      <c r="Z126" s="641">
        <v>0.61987830491387741</v>
      </c>
      <c r="AA126" s="12" t="s">
        <v>1225</v>
      </c>
      <c r="AB126" s="12" t="s">
        <v>531</v>
      </c>
      <c r="AC126" s="12" t="s">
        <v>1225</v>
      </c>
      <c r="AD126">
        <f>T133+T134</f>
        <v>11.801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3">
      <c r="J127" s="103" t="s">
        <v>1187</v>
      </c>
      <c r="K127" s="103" t="str">
        <f t="shared" ref="K127:M127" si="284">+K105</f>
        <v>Doesn't Apply</v>
      </c>
      <c r="L127" s="614" t="str">
        <f t="shared" si="284"/>
        <v>CAM7</v>
      </c>
      <c r="M127" s="626" t="str">
        <f t="shared" si="284"/>
        <v>VIM - GAS</v>
      </c>
      <c r="N127" s="379">
        <f>+$T$133/1000</f>
        <v>1.0582000000000001E-2</v>
      </c>
      <c r="O127" s="379" t="s">
        <v>1409</v>
      </c>
      <c r="P127" s="1"/>
      <c r="S127" s="12">
        <v>11.13</v>
      </c>
      <c r="U127" s="12">
        <f t="shared" si="278"/>
        <v>0.11777766000000002</v>
      </c>
      <c r="X127" s="626" t="s">
        <v>1397</v>
      </c>
      <c r="Y127" s="400">
        <v>0.99457310605335914</v>
      </c>
      <c r="Z127" s="641">
        <v>13.465657577297089</v>
      </c>
      <c r="AA127" s="12" t="s">
        <v>1225</v>
      </c>
      <c r="AB127" s="12" t="s">
        <v>1225</v>
      </c>
      <c r="AC127" s="12" t="s">
        <v>531</v>
      </c>
      <c r="AD127">
        <f>T133+T134</f>
        <v>11.801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3">
      <c r="J128" s="103" t="str">
        <f t="shared" ref="J128:M128" si="285">J106</f>
        <v>Llanos Orientales</v>
      </c>
      <c r="K128" s="103" t="str">
        <f t="shared" si="285"/>
        <v>Medium Oil</v>
      </c>
      <c r="L128" s="614" t="str">
        <f t="shared" si="285"/>
        <v>P</v>
      </c>
      <c r="M128" s="103">
        <f t="shared" si="285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3">
      <c r="J129" s="103" t="str">
        <f t="shared" ref="J129:M129" si="286">J107</f>
        <v>Putumayo</v>
      </c>
      <c r="K129" s="103" t="str">
        <f t="shared" si="286"/>
        <v>Medium Oil</v>
      </c>
      <c r="L129" s="614" t="str">
        <f t="shared" si="286"/>
        <v>P</v>
      </c>
      <c r="M129" s="103">
        <f t="shared" si="286"/>
        <v>0</v>
      </c>
      <c r="N129" s="642"/>
      <c r="O129" s="400"/>
      <c r="P129" s="1"/>
      <c r="U129" s="12">
        <f>+U128/0.0036</f>
        <v>4752.4671277777798</v>
      </c>
      <c r="V129" s="12" t="s">
        <v>523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3">
      <c r="J130" s="103" t="str">
        <f t="shared" ref="J130:M130" si="287">J108</f>
        <v>Putumayo</v>
      </c>
      <c r="K130" s="103" t="str">
        <f t="shared" si="287"/>
        <v>Heavy Oil</v>
      </c>
      <c r="L130" s="614" t="str">
        <f t="shared" si="287"/>
        <v>P</v>
      </c>
      <c r="M130" s="103">
        <f t="shared" si="287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3">
      <c r="J131" s="103" t="str">
        <f t="shared" ref="J131:M131" si="288">J109</f>
        <v>VMM</v>
      </c>
      <c r="K131" s="103" t="str">
        <f t="shared" si="288"/>
        <v>Light Oil</v>
      </c>
      <c r="L131" s="614" t="str">
        <f t="shared" si="288"/>
        <v>P</v>
      </c>
      <c r="M131" s="103">
        <f t="shared" si="288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3">
      <c r="J132" s="103" t="str">
        <f t="shared" ref="J132:M132" si="289">J110</f>
        <v>VMM</v>
      </c>
      <c r="K132" s="103" t="str">
        <f t="shared" si="289"/>
        <v>Heavy Oil</v>
      </c>
      <c r="L132" s="614" t="str">
        <f t="shared" si="289"/>
        <v>P</v>
      </c>
      <c r="M132" s="103">
        <f t="shared" si="289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1410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3">
      <c r="J133" s="103" t="str">
        <f t="shared" ref="J133:M133" si="290">J111</f>
        <v>VSM</v>
      </c>
      <c r="K133" s="103" t="str">
        <f t="shared" si="290"/>
        <v>Light Oil</v>
      </c>
      <c r="L133" s="614" t="str">
        <f t="shared" si="290"/>
        <v>P</v>
      </c>
      <c r="M133" s="103">
        <f t="shared" si="290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1410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3">
      <c r="J134" s="103" t="str">
        <f t="shared" ref="J134:M134" si="291">J112</f>
        <v>VSM</v>
      </c>
      <c r="K134" s="103" t="str">
        <f t="shared" si="291"/>
        <v>Heavy Oil</v>
      </c>
      <c r="L134" s="614" t="str">
        <f t="shared" si="291"/>
        <v>P</v>
      </c>
      <c r="M134" s="103">
        <f t="shared" si="291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1410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1410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1410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039" t="s">
        <v>1411</v>
      </c>
      <c r="K138" s="1037"/>
      <c r="L138" s="1037"/>
      <c r="M138" s="1037"/>
      <c r="N138" s="1037"/>
      <c r="O138" s="1037"/>
      <c r="P138" s="1037"/>
      <c r="Q138" s="1037"/>
      <c r="R138" s="1037"/>
      <c r="S138" s="1037"/>
      <c r="T138" s="1037"/>
      <c r="U138" s="1037"/>
      <c r="V138" s="1037"/>
      <c r="W138" s="1037"/>
      <c r="X138" s="1037"/>
      <c r="Y138" s="1037"/>
      <c r="Z138" s="1037"/>
      <c r="AA138" s="1037"/>
      <c r="AB138" s="1037"/>
      <c r="AC138" s="1037"/>
      <c r="AD138" s="1037"/>
      <c r="AE138" s="1037"/>
      <c r="AF138" s="1037"/>
      <c r="AG138" s="1038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2">J120</f>
        <v>Basin</v>
      </c>
      <c r="K140" s="608" t="str">
        <f t="shared" si="292"/>
        <v>Type Fluid</v>
      </c>
      <c r="L140" s="608" t="str">
        <f t="shared" si="292"/>
        <v>CAM</v>
      </c>
      <c r="M140" s="608" t="str">
        <f t="shared" si="292"/>
        <v>Type of Oil producing</v>
      </c>
      <c r="N140" s="426" t="s">
        <v>1412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3">J121</f>
        <v>Guajira</v>
      </c>
      <c r="K141" s="103" t="str">
        <f t="shared" si="293"/>
        <v>Doesn't Apply</v>
      </c>
      <c r="L141" s="614" t="str">
        <f t="shared" si="293"/>
        <v>CAM1</v>
      </c>
      <c r="M141" s="615" t="str">
        <f t="shared" si="293"/>
        <v>GU - Gas</v>
      </c>
      <c r="N141" s="1">
        <f>+T144</f>
        <v>0.4</v>
      </c>
      <c r="O141" s="1"/>
      <c r="P141" s="1"/>
      <c r="Q141" s="1"/>
      <c r="R141" s="1"/>
      <c r="T141" s="802" t="s">
        <v>1563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4">J122</f>
        <v>Llanos Orientales</v>
      </c>
      <c r="K142" s="103" t="str">
        <f t="shared" si="294"/>
        <v>Light Oil</v>
      </c>
      <c r="L142" s="614" t="str">
        <f t="shared" si="294"/>
        <v>CAM2</v>
      </c>
      <c r="M142" s="626" t="str">
        <f t="shared" si="294"/>
        <v>LLO - Ligth</v>
      </c>
      <c r="N142" s="1">
        <f>+T144+0.5</f>
        <v>0.9</v>
      </c>
      <c r="O142" s="1"/>
      <c r="P142" s="1"/>
      <c r="Q142" s="1"/>
      <c r="R142" s="1"/>
      <c r="S142" s="12" t="s">
        <v>1414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5">J123</f>
        <v>Llanos Orientales</v>
      </c>
      <c r="K143" s="103" t="str">
        <f t="shared" si="295"/>
        <v>Heavy Oil</v>
      </c>
      <c r="L143" s="614" t="str">
        <f t="shared" si="295"/>
        <v>CAM3</v>
      </c>
      <c r="M143" s="34" t="str">
        <f t="shared" si="295"/>
        <v>LLO - Heavy</v>
      </c>
      <c r="N143" s="1">
        <f>+T145</f>
        <v>0.5</v>
      </c>
      <c r="O143" s="1"/>
      <c r="P143" s="1"/>
      <c r="Q143" s="1"/>
      <c r="R143" s="1"/>
      <c r="S143" s="12" t="s">
        <v>1406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6">J124</f>
        <v>Putumayo</v>
      </c>
      <c r="K144" s="103" t="str">
        <f t="shared" si="296"/>
        <v>Light Oil</v>
      </c>
      <c r="L144" s="614" t="str">
        <f t="shared" si="296"/>
        <v>CAM4</v>
      </c>
      <c r="M144" s="34" t="str">
        <f t="shared" si="296"/>
        <v>PU - Ligth</v>
      </c>
      <c r="N144" s="1">
        <f>+T145</f>
        <v>0.5</v>
      </c>
      <c r="O144" s="1"/>
      <c r="P144" s="1"/>
      <c r="Q144" s="1"/>
      <c r="R144" s="1"/>
      <c r="S144" s="12" t="s">
        <v>1415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7">J125</f>
        <v>VMM</v>
      </c>
      <c r="K145" s="103" t="str">
        <f t="shared" si="297"/>
        <v>Medium Oil</v>
      </c>
      <c r="L145" s="614" t="str">
        <f t="shared" si="297"/>
        <v>CAM5</v>
      </c>
      <c r="M145" s="34" t="str">
        <f t="shared" si="297"/>
        <v>VMM - Medium</v>
      </c>
      <c r="N145" s="1">
        <f>+T145</f>
        <v>0.5</v>
      </c>
      <c r="O145" s="1"/>
      <c r="P145" s="1"/>
      <c r="Q145" s="1"/>
      <c r="R145" s="1"/>
      <c r="S145" s="12" t="s">
        <v>1408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298">J126</f>
        <v>VSM</v>
      </c>
      <c r="K146" s="103" t="str">
        <f t="shared" si="298"/>
        <v>Medium Oil</v>
      </c>
      <c r="L146" s="614" t="str">
        <f t="shared" si="298"/>
        <v>CAM6</v>
      </c>
      <c r="M146" s="626" t="str">
        <f t="shared" si="298"/>
        <v>VSM - Medium</v>
      </c>
      <c r="N146" s="1">
        <f>+T145</f>
        <v>0.5</v>
      </c>
      <c r="O146" s="1"/>
      <c r="P146" s="1"/>
      <c r="Q146" s="1"/>
      <c r="R146" s="1"/>
      <c r="S146" s="12" t="s">
        <v>1416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299">J127</f>
        <v>VIM</v>
      </c>
      <c r="K147" s="103" t="str">
        <f t="shared" si="299"/>
        <v>Doesn't Apply</v>
      </c>
      <c r="L147" s="614" t="str">
        <f t="shared" si="299"/>
        <v>CAM7</v>
      </c>
      <c r="M147" s="626" t="str">
        <f t="shared" si="299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5">
      <c r="J152" s="1039" t="s">
        <v>1417</v>
      </c>
      <c r="K152" s="1037"/>
      <c r="L152" s="1037"/>
      <c r="M152" s="1037"/>
      <c r="N152" s="1037"/>
      <c r="O152" s="1037"/>
      <c r="P152" s="1037"/>
      <c r="Q152" s="1037"/>
      <c r="R152" s="1037"/>
      <c r="S152" s="1037"/>
      <c r="T152" s="1037"/>
      <c r="U152" s="1037"/>
      <c r="V152" s="1037"/>
      <c r="W152" s="1037"/>
      <c r="X152" s="1037"/>
      <c r="Y152" s="1037"/>
      <c r="Z152" s="1037"/>
      <c r="AA152" s="1037"/>
      <c r="AB152" s="1037"/>
      <c r="AC152" s="1037"/>
      <c r="AD152" s="1037"/>
      <c r="AE152" s="1037"/>
      <c r="AF152" s="1037"/>
      <c r="AG152" s="1038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3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5">
      <c r="J154" s="12" t="s">
        <v>1418</v>
      </c>
      <c r="W154" s="282" t="s">
        <v>1419</v>
      </c>
      <c r="X154" s="282"/>
      <c r="Y154" s="282"/>
      <c r="Z154" s="282"/>
      <c r="AA154" s="282"/>
      <c r="AB154" s="282"/>
      <c r="AC154" s="282"/>
      <c r="AF154" s="282" t="s">
        <v>1420</v>
      </c>
      <c r="AG154" s="282"/>
      <c r="AH154" s="282"/>
      <c r="AI154" s="282"/>
      <c r="AJ154" s="282"/>
      <c r="AK154" s="282"/>
      <c r="AL154" s="282"/>
      <c r="AY154" s="282" t="s">
        <v>1421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3">
      <c r="J155" s="608" t="str">
        <f t="shared" ref="J155:M155" si="300">J120</f>
        <v>Basin</v>
      </c>
      <c r="K155" s="608" t="str">
        <f t="shared" si="300"/>
        <v>Type Fluid</v>
      </c>
      <c r="L155" s="608" t="str">
        <f t="shared" si="300"/>
        <v>CAM</v>
      </c>
      <c r="M155" s="608" t="str">
        <f t="shared" si="300"/>
        <v>Type of Oil producing</v>
      </c>
      <c r="N155" s="1028" t="s">
        <v>1422</v>
      </c>
      <c r="O155" s="983"/>
      <c r="P155" s="1028" t="s">
        <v>1422</v>
      </c>
      <c r="Q155" s="983"/>
      <c r="R155" s="643" t="s">
        <v>1423</v>
      </c>
      <c r="S155" s="643" t="s">
        <v>1424</v>
      </c>
      <c r="W155" s="12" t="s">
        <v>1425</v>
      </c>
      <c r="X155" s="12" t="s">
        <v>1426</v>
      </c>
      <c r="Y155" s="12" t="s">
        <v>1166</v>
      </c>
      <c r="Z155" s="12" t="s">
        <v>1275</v>
      </c>
      <c r="AA155" s="12" t="s">
        <v>1279</v>
      </c>
      <c r="AB155" s="12" t="s">
        <v>1180</v>
      </c>
      <c r="AC155" s="12" t="s">
        <v>1427</v>
      </c>
      <c r="AF155" s="12" t="s">
        <v>1425</v>
      </c>
      <c r="AG155" s="12" t="s">
        <v>1426</v>
      </c>
      <c r="AH155" s="12" t="s">
        <v>1166</v>
      </c>
      <c r="AI155" s="12" t="s">
        <v>1275</v>
      </c>
      <c r="AJ155" s="12" t="s">
        <v>1279</v>
      </c>
      <c r="AK155" s="12" t="s">
        <v>1180</v>
      </c>
      <c r="AL155" s="12" t="s">
        <v>1427</v>
      </c>
      <c r="AO155" s="12" t="s">
        <v>1425</v>
      </c>
      <c r="AP155" s="12" t="s">
        <v>1426</v>
      </c>
      <c r="AQ155" s="12" t="s">
        <v>1166</v>
      </c>
      <c r="AR155" s="12" t="s">
        <v>1275</v>
      </c>
      <c r="AS155" s="12" t="s">
        <v>1279</v>
      </c>
      <c r="AT155" s="12" t="s">
        <v>1180</v>
      </c>
      <c r="AU155" s="12" t="s">
        <v>1427</v>
      </c>
      <c r="AY155" s="12" t="s">
        <v>1425</v>
      </c>
      <c r="AZ155" s="12" t="s">
        <v>1426</v>
      </c>
      <c r="BA155" s="12" t="s">
        <v>1166</v>
      </c>
      <c r="BB155" s="12" t="s">
        <v>1275</v>
      </c>
      <c r="BC155" s="12" t="s">
        <v>1279</v>
      </c>
      <c r="BD155" s="12" t="s">
        <v>1180</v>
      </c>
      <c r="BE155" s="12" t="s">
        <v>1427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3">
      <c r="J156" s="103" t="str">
        <f t="shared" ref="J156:M156" si="301">J121</f>
        <v>Guajira</v>
      </c>
      <c r="K156" s="103" t="str">
        <f t="shared" si="301"/>
        <v>Doesn't Apply</v>
      </c>
      <c r="L156" s="614" t="str">
        <f t="shared" si="301"/>
        <v>CAM1</v>
      </c>
      <c r="M156" s="615" t="str">
        <f t="shared" si="301"/>
        <v>GU - Gas</v>
      </c>
      <c r="N156" s="644">
        <v>0</v>
      </c>
      <c r="O156" s="645" t="s">
        <v>509</v>
      </c>
      <c r="P156" s="346">
        <f>+N156*(365/1000)*$D$14/1000</f>
        <v>0</v>
      </c>
      <c r="Q156" s="12" t="s">
        <v>59</v>
      </c>
      <c r="R156" s="295">
        <f t="shared" ref="R156:R162" si="302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3">+AF156/W156</f>
        <v>0.15405477025270101</v>
      </c>
      <c r="AP156" s="228">
        <f t="shared" si="303"/>
        <v>0.16313036838542497</v>
      </c>
      <c r="AQ156" s="228">
        <f t="shared" si="303"/>
        <v>0</v>
      </c>
      <c r="AR156" s="228">
        <f t="shared" si="303"/>
        <v>0</v>
      </c>
      <c r="AS156" s="228">
        <f t="shared" si="303"/>
        <v>0.20013123783141773</v>
      </c>
      <c r="AT156" s="228">
        <f t="shared" si="303"/>
        <v>0</v>
      </c>
      <c r="AU156" s="228"/>
      <c r="AX156" s="12">
        <v>2019</v>
      </c>
      <c r="AY156" s="231">
        <f t="shared" ref="AY156:BE156" si="304">+W156-AF156</f>
        <v>1906.70037611931</v>
      </c>
      <c r="AZ156" s="231">
        <f t="shared" si="304"/>
        <v>3340.8684145499046</v>
      </c>
      <c r="BA156" s="231">
        <f t="shared" si="304"/>
        <v>469.74801054894476</v>
      </c>
      <c r="BB156" s="231">
        <f t="shared" si="304"/>
        <v>1938.6301241137664</v>
      </c>
      <c r="BC156" s="231">
        <f t="shared" si="304"/>
        <v>5877.8520308516045</v>
      </c>
      <c r="BD156" s="231">
        <f t="shared" si="304"/>
        <v>162.27952651346473</v>
      </c>
      <c r="BE156" s="231">
        <f t="shared" si="304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3">
      <c r="J157" s="103" t="str">
        <f t="shared" ref="J157:M157" si="305">J122</f>
        <v>Llanos Orientales</v>
      </c>
      <c r="K157" s="103" t="str">
        <f t="shared" si="305"/>
        <v>Light Oil</v>
      </c>
      <c r="L157" s="614" t="str">
        <f t="shared" si="305"/>
        <v>CAM2</v>
      </c>
      <c r="M157" s="626" t="str">
        <f t="shared" si="305"/>
        <v>LLO - Ligth</v>
      </c>
      <c r="N157" s="644">
        <f>+Z164+AA164</f>
        <v>14800</v>
      </c>
      <c r="O157" s="645" t="s">
        <v>509</v>
      </c>
      <c r="P157" s="222">
        <f t="shared" ref="P157:P162" si="306">+N157*(365/1000)*$D$14/1000</f>
        <v>21.91194918242925</v>
      </c>
      <c r="Q157" s="12" t="s">
        <v>59</v>
      </c>
      <c r="R157" s="295">
        <f t="shared" si="302"/>
        <v>0.18787698363071906</v>
      </c>
      <c r="S157" s="205">
        <f t="shared" ref="S157:S158" si="307">+P157/R157</f>
        <v>116.62923663655472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08">+AF157/W157</f>
        <v>0.1159077129814239</v>
      </c>
      <c r="AP157" s="228">
        <f t="shared" si="308"/>
        <v>0.13677951758401249</v>
      </c>
      <c r="AQ157" s="228">
        <f t="shared" si="308"/>
        <v>0</v>
      </c>
      <c r="AR157" s="228">
        <f t="shared" si="308"/>
        <v>8.2187866631770315E-2</v>
      </c>
      <c r="AS157" s="228">
        <f t="shared" si="308"/>
        <v>0.88546042212861831</v>
      </c>
      <c r="AT157" s="228">
        <f t="shared" si="308"/>
        <v>0</v>
      </c>
      <c r="AU157" s="228">
        <f t="shared" si="308"/>
        <v>0</v>
      </c>
      <c r="AX157" s="12">
        <v>2020</v>
      </c>
      <c r="AY157" s="231">
        <f t="shared" ref="AY157:BE157" si="309">+W157-AF157</f>
        <v>2676.9587365888206</v>
      </c>
      <c r="AZ157" s="231">
        <f t="shared" si="309"/>
        <v>2862.9972848497969</v>
      </c>
      <c r="BA157" s="231">
        <f t="shared" si="309"/>
        <v>347.53424063269131</v>
      </c>
      <c r="BB157" s="231">
        <f t="shared" si="309"/>
        <v>6553.4300639990279</v>
      </c>
      <c r="BC157" s="231">
        <f t="shared" si="309"/>
        <v>849.91505735840656</v>
      </c>
      <c r="BD157" s="231">
        <f t="shared" si="309"/>
        <v>176.72627372066282</v>
      </c>
      <c r="BE157" s="231">
        <f t="shared" si="309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3">
      <c r="J158" s="103" t="str">
        <f t="shared" ref="J158:M158" si="310">J123</f>
        <v>Llanos Orientales</v>
      </c>
      <c r="K158" s="103" t="str">
        <f t="shared" si="310"/>
        <v>Heavy Oil</v>
      </c>
      <c r="L158" s="614" t="str">
        <f t="shared" si="310"/>
        <v>CAM3</v>
      </c>
      <c r="M158" s="34" t="str">
        <f t="shared" si="310"/>
        <v>LLO - Heavy</v>
      </c>
      <c r="N158" s="644">
        <f>+Y164</f>
        <v>800</v>
      </c>
      <c r="O158" s="645" t="s">
        <v>509</v>
      </c>
      <c r="P158" s="222">
        <f t="shared" si="306"/>
        <v>1.1844296855367162</v>
      </c>
      <c r="Q158" s="12" t="s">
        <v>59</v>
      </c>
      <c r="R158" s="295">
        <f t="shared" si="302"/>
        <v>0.4507029118970462</v>
      </c>
      <c r="S158" s="205">
        <f t="shared" si="307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1">+AF158/W158</f>
        <v>0.1407527708968016</v>
      </c>
      <c r="AP158" s="228">
        <f t="shared" si="311"/>
        <v>0.13242258931901152</v>
      </c>
      <c r="AQ158" s="228">
        <f t="shared" si="311"/>
        <v>0</v>
      </c>
      <c r="AR158" s="228">
        <f t="shared" si="311"/>
        <v>0.11199254112697508</v>
      </c>
      <c r="AS158" s="228">
        <f t="shared" si="311"/>
        <v>1</v>
      </c>
      <c r="AT158" s="228">
        <f t="shared" si="311"/>
        <v>0</v>
      </c>
      <c r="AU158" s="228">
        <f t="shared" si="311"/>
        <v>0</v>
      </c>
      <c r="AX158" s="12">
        <v>2021</v>
      </c>
      <c r="AY158" s="231">
        <f t="shared" ref="AY158:BE158" si="312">+W158-AF158</f>
        <v>2819.0135734125929</v>
      </c>
      <c r="AZ158" s="231">
        <f t="shared" si="312"/>
        <v>2620.6328693276228</v>
      </c>
      <c r="BA158" s="231">
        <f t="shared" si="312"/>
        <v>267.12599398671159</v>
      </c>
      <c r="BB158" s="231">
        <f t="shared" si="312"/>
        <v>6260.0876104745112</v>
      </c>
      <c r="BC158" s="231">
        <f t="shared" si="312"/>
        <v>0</v>
      </c>
      <c r="BD158" s="231">
        <f t="shared" si="312"/>
        <v>169.26612475518095</v>
      </c>
      <c r="BE158" s="231">
        <f t="shared" si="312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3">
      <c r="J159" s="103" t="str">
        <f t="shared" ref="J159:M159" si="313">J124</f>
        <v>Putumayo</v>
      </c>
      <c r="K159" s="103" t="str">
        <f t="shared" si="313"/>
        <v>Light Oil</v>
      </c>
      <c r="L159" s="614" t="str">
        <f t="shared" si="313"/>
        <v>CAM4</v>
      </c>
      <c r="M159" s="34" t="str">
        <f t="shared" si="313"/>
        <v>PU - Ligth</v>
      </c>
      <c r="N159" s="644">
        <f>+T102</f>
        <v>0</v>
      </c>
      <c r="O159" s="645" t="s">
        <v>509</v>
      </c>
      <c r="P159" s="346">
        <f t="shared" si="306"/>
        <v>0</v>
      </c>
      <c r="Q159" s="12" t="s">
        <v>59</v>
      </c>
      <c r="R159" s="295">
        <f t="shared" si="302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4">+AF159/W159</f>
        <v>0.12152481352242414</v>
      </c>
      <c r="AP159" s="228">
        <f t="shared" si="314"/>
        <v>0.31368170130091166</v>
      </c>
      <c r="AQ159" s="228">
        <f t="shared" si="314"/>
        <v>1</v>
      </c>
      <c r="AR159" s="228">
        <f t="shared" si="314"/>
        <v>7.2943751298862075E-2</v>
      </c>
      <c r="AS159" s="228">
        <f t="shared" si="314"/>
        <v>0.28868562382529195</v>
      </c>
      <c r="AT159" s="228">
        <f t="shared" si="314"/>
        <v>0</v>
      </c>
      <c r="AU159" s="228"/>
      <c r="AX159" s="12">
        <v>2022</v>
      </c>
      <c r="AY159" s="231">
        <f t="shared" ref="AY159:BE159" si="315">+W159-AF159</f>
        <v>2623.1530688385824</v>
      </c>
      <c r="AZ159" s="231">
        <f t="shared" si="315"/>
        <v>3118.5927400944838</v>
      </c>
      <c r="BA159" s="231">
        <f t="shared" si="315"/>
        <v>0</v>
      </c>
      <c r="BB159" s="231">
        <f t="shared" si="315"/>
        <v>7406.3260273972601</v>
      </c>
      <c r="BC159" s="231">
        <f t="shared" si="315"/>
        <v>5405.9892589277824</v>
      </c>
      <c r="BD159" s="231">
        <f t="shared" si="315"/>
        <v>162.77808219178081</v>
      </c>
      <c r="BE159" s="231">
        <f t="shared" si="315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3">
      <c r="J160" s="103" t="str">
        <f t="shared" ref="J160:M160" si="316">J125</f>
        <v>VMM</v>
      </c>
      <c r="K160" s="103" t="str">
        <f t="shared" si="316"/>
        <v>Medium Oil</v>
      </c>
      <c r="L160" s="614" t="str">
        <f t="shared" si="316"/>
        <v>CAM5</v>
      </c>
      <c r="M160" s="34" t="str">
        <f t="shared" si="316"/>
        <v>VMM - Medium</v>
      </c>
      <c r="N160" s="644">
        <v>0</v>
      </c>
      <c r="O160" s="645" t="s">
        <v>509</v>
      </c>
      <c r="P160" s="346">
        <f t="shared" si="306"/>
        <v>0</v>
      </c>
      <c r="Q160" s="12" t="s">
        <v>59</v>
      </c>
      <c r="R160" s="295">
        <f t="shared" si="302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7">+AF160/W160</f>
        <v>0.12698412698412698</v>
      </c>
      <c r="AP160" s="228">
        <f t="shared" si="317"/>
        <v>0.3537521850207993</v>
      </c>
      <c r="AQ160" s="228">
        <f t="shared" si="317"/>
        <v>1</v>
      </c>
      <c r="AR160" s="228">
        <f t="shared" si="317"/>
        <v>0</v>
      </c>
      <c r="AS160" s="228">
        <f t="shared" si="317"/>
        <v>0.42318994608237315</v>
      </c>
      <c r="AT160" s="228">
        <f t="shared" si="317"/>
        <v>0</v>
      </c>
      <c r="AU160" s="228"/>
      <c r="AX160" s="12">
        <v>2023</v>
      </c>
      <c r="AY160" s="231">
        <f t="shared" ref="AY160:BE160" si="318">+W160-AF160</f>
        <v>2750</v>
      </c>
      <c r="AZ160" s="231">
        <f t="shared" si="318"/>
        <v>2740.2564945621634</v>
      </c>
      <c r="BA160" s="231">
        <f t="shared" si="318"/>
        <v>0</v>
      </c>
      <c r="BB160" s="231">
        <f t="shared" si="318"/>
        <v>8100</v>
      </c>
      <c r="BC160" s="231">
        <f t="shared" si="318"/>
        <v>4197.9034694971524</v>
      </c>
      <c r="BD160" s="231">
        <f t="shared" si="318"/>
        <v>151.73424657534247</v>
      </c>
      <c r="BE160" s="231">
        <f t="shared" si="318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3">
      <c r="J161" s="103" t="str">
        <f t="shared" ref="J161:M161" si="319">J126</f>
        <v>VSM</v>
      </c>
      <c r="K161" s="103" t="str">
        <f t="shared" si="319"/>
        <v>Medium Oil</v>
      </c>
      <c r="L161" s="614" t="str">
        <f t="shared" si="319"/>
        <v>CAM6</v>
      </c>
      <c r="M161" s="626" t="str">
        <f t="shared" si="319"/>
        <v>VSM - Medium</v>
      </c>
      <c r="N161" s="644">
        <f>+AB164</f>
        <v>176.72627372066282</v>
      </c>
      <c r="O161" s="645" t="s">
        <v>509</v>
      </c>
      <c r="P161" s="222">
        <f t="shared" si="306"/>
        <v>0.26164980601130039</v>
      </c>
      <c r="Q161" s="12" t="s">
        <v>59</v>
      </c>
      <c r="R161" s="295">
        <f t="shared" si="302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0">+AF161/W161</f>
        <v>0.126984126984127</v>
      </c>
      <c r="AP161" s="228">
        <f t="shared" si="320"/>
        <v>0.3454379894036303</v>
      </c>
      <c r="AQ161" s="228">
        <f t="shared" si="320"/>
        <v>1</v>
      </c>
      <c r="AR161" s="228">
        <f t="shared" si="320"/>
        <v>0</v>
      </c>
      <c r="AS161" s="228">
        <f t="shared" si="320"/>
        <v>0.53901258557495457</v>
      </c>
      <c r="AT161" s="228">
        <f t="shared" si="320"/>
        <v>0</v>
      </c>
      <c r="AU161" s="228"/>
      <c r="AX161" s="12">
        <v>2024</v>
      </c>
      <c r="AY161" s="231">
        <f t="shared" ref="AY161:BE161" si="321">+W161-AF161</f>
        <v>2757.5342465753424</v>
      </c>
      <c r="AZ161" s="231">
        <f t="shared" si="321"/>
        <v>2850.1005302275316</v>
      </c>
      <c r="BA161" s="231">
        <f t="shared" si="321"/>
        <v>0</v>
      </c>
      <c r="BB161" s="231">
        <f t="shared" si="321"/>
        <v>7666.2742499653305</v>
      </c>
      <c r="BC161" s="231">
        <f t="shared" si="321"/>
        <v>2671.9676736151432</v>
      </c>
      <c r="BD161" s="231">
        <f t="shared" si="321"/>
        <v>137.61095890410959</v>
      </c>
      <c r="BE161" s="231">
        <f t="shared" si="321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3">
      <c r="J162" s="112" t="str">
        <f t="shared" ref="J162:M162" si="322">J127</f>
        <v>VIM</v>
      </c>
      <c r="K162" s="112" t="str">
        <f t="shared" si="322"/>
        <v>Doesn't Apply</v>
      </c>
      <c r="L162" s="646" t="str">
        <f t="shared" si="322"/>
        <v>CAM7</v>
      </c>
      <c r="M162" s="647" t="str">
        <f t="shared" si="322"/>
        <v>VIM - GAS</v>
      </c>
      <c r="N162" s="644">
        <v>0</v>
      </c>
      <c r="O162" s="645" t="s">
        <v>509</v>
      </c>
      <c r="P162" s="346">
        <f t="shared" si="306"/>
        <v>0</v>
      </c>
      <c r="Q162" s="12" t="s">
        <v>59</v>
      </c>
      <c r="R162" s="295">
        <f t="shared" si="302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3">+AF162/W162</f>
        <v>0.12881626914429631</v>
      </c>
      <c r="AP162" s="228">
        <f t="shared" si="323"/>
        <v>0.34536516079758606</v>
      </c>
      <c r="AQ162" s="228"/>
      <c r="AR162" s="228">
        <f t="shared" ref="AR162:AT162" si="324">+AI162/Z162</f>
        <v>0</v>
      </c>
      <c r="AS162" s="228">
        <f t="shared" si="324"/>
        <v>0.6602314418703793</v>
      </c>
      <c r="AT162" s="228">
        <f t="shared" si="324"/>
        <v>0</v>
      </c>
      <c r="AU162" s="228"/>
      <c r="AX162" s="12">
        <v>2025</v>
      </c>
      <c r="AY162" s="231">
        <f t="shared" ref="AY162:BE162" si="325">+W162-AF162</f>
        <v>2705.1978345369666</v>
      </c>
      <c r="AZ162" s="231">
        <f t="shared" si="325"/>
        <v>2843.2290522179519</v>
      </c>
      <c r="BA162" s="231">
        <f t="shared" si="325"/>
        <v>0</v>
      </c>
      <c r="BB162" s="231">
        <f t="shared" si="325"/>
        <v>6475.9477325608286</v>
      </c>
      <c r="BC162" s="231">
        <f t="shared" si="325"/>
        <v>1625.4799448326125</v>
      </c>
      <c r="BD162" s="231">
        <f t="shared" si="325"/>
        <v>122.13972602739726</v>
      </c>
      <c r="BE162" s="231">
        <f t="shared" si="325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3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6">+AF163/W163</f>
        <v>0.12698412698412698</v>
      </c>
      <c r="AP163" s="228">
        <f t="shared" si="326"/>
        <v>0.33873043815515769</v>
      </c>
      <c r="AQ163" s="228"/>
      <c r="AR163" s="228">
        <f t="shared" ref="AR163:AT163" si="327">+AI163/Z163</f>
        <v>0</v>
      </c>
      <c r="AS163" s="228">
        <f t="shared" si="327"/>
        <v>0.73346577560228654</v>
      </c>
      <c r="AT163" s="228">
        <f t="shared" si="327"/>
        <v>0</v>
      </c>
      <c r="AU163" s="228"/>
      <c r="AX163" s="12">
        <v>2026</v>
      </c>
      <c r="AY163" s="231">
        <f t="shared" ref="AY163:BE163" si="328">+W163-AF163</f>
        <v>2750</v>
      </c>
      <c r="AZ163" s="231">
        <f t="shared" si="328"/>
        <v>2928.3000021182488</v>
      </c>
      <c r="BA163" s="231">
        <f t="shared" si="328"/>
        <v>0</v>
      </c>
      <c r="BB163" s="231">
        <f t="shared" si="328"/>
        <v>5586.0490445797504</v>
      </c>
      <c r="BC163" s="231">
        <f t="shared" si="328"/>
        <v>1147.8040682829555</v>
      </c>
      <c r="BD163" s="231">
        <f t="shared" si="328"/>
        <v>109.89315068493151</v>
      </c>
      <c r="BE163" s="231">
        <f t="shared" si="328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3">
      <c r="J164" s="1"/>
      <c r="K164" s="1"/>
      <c r="L164" s="16"/>
      <c r="M164" s="1"/>
      <c r="V164" s="330" t="s">
        <v>1428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3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3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3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3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5">
      <c r="J169" s="1036" t="s">
        <v>1429</v>
      </c>
      <c r="K169" s="1037"/>
      <c r="L169" s="1037"/>
      <c r="M169" s="1037"/>
      <c r="N169" s="1037"/>
      <c r="O169" s="1037"/>
      <c r="P169" s="1037"/>
      <c r="Q169" s="1037"/>
      <c r="R169" s="1037"/>
      <c r="S169" s="1037"/>
      <c r="T169" s="1037"/>
      <c r="U169" s="1037"/>
      <c r="V169" s="1037"/>
      <c r="W169" s="1037"/>
      <c r="X169" s="1037"/>
      <c r="Y169" s="1037"/>
      <c r="Z169" s="1037"/>
      <c r="AA169" s="1037"/>
      <c r="AB169" s="1037"/>
      <c r="AC169" s="1037"/>
      <c r="AD169" s="1037"/>
      <c r="AE169" s="1037"/>
      <c r="AF169" s="1037"/>
      <c r="AG169" s="1038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3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3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3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3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3">
      <c r="J174" s="1018" t="s">
        <v>1430</v>
      </c>
      <c r="K174" s="983"/>
      <c r="L174" s="983"/>
      <c r="M174" s="983"/>
      <c r="N174" s="983"/>
      <c r="O174" s="983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3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3">
      <c r="J176" s="12" t="s">
        <v>1431</v>
      </c>
      <c r="K176" s="12">
        <v>4.9000000000000004</v>
      </c>
      <c r="L176" s="12" t="s">
        <v>1432</v>
      </c>
      <c r="M176" s="12">
        <f>+K176/1000</f>
        <v>4.9000000000000007E-3</v>
      </c>
      <c r="N176" s="12" t="s">
        <v>1433</v>
      </c>
      <c r="P176" s="12" t="s">
        <v>1434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3">
      <c r="J177" s="12" t="s">
        <v>536</v>
      </c>
      <c r="K177" s="12">
        <v>0.32500000000000001</v>
      </c>
      <c r="L177" s="12" t="s">
        <v>1435</v>
      </c>
      <c r="P177" s="12" t="s">
        <v>1436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3">
      <c r="K178" s="12">
        <f>+K177*1000000</f>
        <v>325000</v>
      </c>
      <c r="L178" s="12" t="s">
        <v>1437</v>
      </c>
      <c r="P178" s="12" t="s">
        <v>1438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3">
      <c r="K179" s="12">
        <f>+K178/1000000</f>
        <v>0.32500000000000001</v>
      </c>
      <c r="L179" s="12" t="s">
        <v>1439</v>
      </c>
      <c r="P179" s="12" t="s">
        <v>919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3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3">
      <c r="N181" s="14" t="s">
        <v>7</v>
      </c>
      <c r="O181" s="14" t="s">
        <v>1440</v>
      </c>
      <c r="U181" s="14" t="s">
        <v>1441</v>
      </c>
      <c r="V181" s="12" t="s">
        <v>1442</v>
      </c>
      <c r="Y181" s="215" t="s">
        <v>1443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3">
      <c r="J182" s="608" t="str">
        <f t="shared" ref="J182:M182" si="329">J155</f>
        <v>Basin</v>
      </c>
      <c r="K182" s="608" t="str">
        <f t="shared" si="329"/>
        <v>Type Fluid</v>
      </c>
      <c r="L182" s="608" t="str">
        <f t="shared" si="329"/>
        <v>CAM</v>
      </c>
      <c r="M182" s="608" t="str">
        <f t="shared" si="329"/>
        <v>Type of Oil producing</v>
      </c>
      <c r="N182" s="494" t="s">
        <v>1444</v>
      </c>
      <c r="U182" s="446" t="s">
        <v>1445</v>
      </c>
      <c r="V182" s="12" t="s">
        <v>63</v>
      </c>
      <c r="W182" s="12" t="s">
        <v>1446</v>
      </c>
      <c r="X182" s="12" t="s">
        <v>845</v>
      </c>
      <c r="Y182" s="215" t="s">
        <v>1447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3">
      <c r="G183" s="12">
        <v>1.2465999999999999</v>
      </c>
      <c r="H183" s="12" t="s">
        <v>1448</v>
      </c>
      <c r="J183" s="103" t="str">
        <f t="shared" ref="J183:M183" si="330">J156</f>
        <v>Guajira</v>
      </c>
      <c r="K183" s="103" t="str">
        <f t="shared" si="330"/>
        <v>Doesn't Apply</v>
      </c>
      <c r="L183" s="614" t="str">
        <f t="shared" si="330"/>
        <v>CAM1</v>
      </c>
      <c r="M183" s="615" t="str">
        <f t="shared" si="330"/>
        <v>GU - Gas</v>
      </c>
      <c r="N183" s="812">
        <v>2.0999999999999999E-3</v>
      </c>
      <c r="O183" s="12" t="s">
        <v>7</v>
      </c>
      <c r="P183" s="807"/>
      <c r="R183" s="804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3">
      <c r="G184" s="12">
        <f>+G183*6.1/1000</f>
        <v>7.604259999999999E-3</v>
      </c>
      <c r="J184" s="103" t="str">
        <f t="shared" ref="J184:M184" si="331">J157</f>
        <v>Llanos Orientales</v>
      </c>
      <c r="K184" s="103" t="str">
        <f t="shared" si="331"/>
        <v>Light Oil</v>
      </c>
      <c r="L184" s="614" t="str">
        <f t="shared" si="331"/>
        <v>CAM2</v>
      </c>
      <c r="M184" s="626" t="str">
        <f t="shared" si="331"/>
        <v>LLO - Ligth</v>
      </c>
      <c r="N184" s="812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2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3">
      <c r="G185" s="12">
        <f>+G184/1000</f>
        <v>7.6042599999999991E-6</v>
      </c>
      <c r="J185" s="103" t="str">
        <f t="shared" ref="J185:M185" si="333">J158</f>
        <v>Llanos Orientales</v>
      </c>
      <c r="K185" s="103" t="str">
        <f t="shared" si="333"/>
        <v>Heavy Oil</v>
      </c>
      <c r="L185" s="614" t="str">
        <f t="shared" si="333"/>
        <v>CAM3</v>
      </c>
      <c r="M185" s="34" t="str">
        <f t="shared" si="333"/>
        <v>LLO - Heavy</v>
      </c>
      <c r="N185" s="812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2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3">
      <c r="G186" s="649">
        <f>+G185/0.0036</f>
        <v>2.1122944444444442E-3</v>
      </c>
      <c r="H186" s="12" t="s">
        <v>533</v>
      </c>
      <c r="J186" s="103" t="str">
        <f t="shared" ref="J186:M186" si="334">J159</f>
        <v>Putumayo</v>
      </c>
      <c r="K186" s="103" t="str">
        <f t="shared" si="334"/>
        <v>Light Oil</v>
      </c>
      <c r="L186" s="614" t="str">
        <f t="shared" si="334"/>
        <v>CAM4</v>
      </c>
      <c r="M186" s="34" t="str">
        <f t="shared" si="334"/>
        <v>PU - Ligth</v>
      </c>
      <c r="N186" s="812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2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3">
      <c r="J187" s="103" t="str">
        <f t="shared" ref="J187:M187" si="335">J160</f>
        <v>VMM</v>
      </c>
      <c r="K187" s="103" t="str">
        <f t="shared" si="335"/>
        <v>Medium Oil</v>
      </c>
      <c r="L187" s="614" t="str">
        <f t="shared" si="335"/>
        <v>CAM5</v>
      </c>
      <c r="M187" s="34" t="str">
        <f t="shared" si="335"/>
        <v>VMM - Medium</v>
      </c>
      <c r="N187" s="812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2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3">
      <c r="J188" s="103" t="str">
        <f t="shared" ref="J188:M188" si="336">J161</f>
        <v>VSM</v>
      </c>
      <c r="K188" s="103" t="str">
        <f t="shared" si="336"/>
        <v>Medium Oil</v>
      </c>
      <c r="L188" s="614" t="str">
        <f t="shared" si="336"/>
        <v>CAM6</v>
      </c>
      <c r="M188" s="626" t="str">
        <f t="shared" si="336"/>
        <v>VSM - Medium</v>
      </c>
      <c r="N188" s="812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2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3">
      <c r="J189" s="103" t="str">
        <f t="shared" ref="J189:M189" si="337">J162</f>
        <v>VIM</v>
      </c>
      <c r="K189" s="103" t="str">
        <f t="shared" si="337"/>
        <v>Doesn't Apply</v>
      </c>
      <c r="L189" s="614" t="str">
        <f t="shared" si="337"/>
        <v>CAM7</v>
      </c>
      <c r="M189" s="626" t="str">
        <f t="shared" si="337"/>
        <v>VIM - GAS</v>
      </c>
      <c r="N189" s="812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3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3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3">
      <c r="J192" s="608" t="str">
        <f t="shared" ref="J192:M192" si="338">J182</f>
        <v>Basin</v>
      </c>
      <c r="K192" s="608" t="str">
        <f t="shared" si="338"/>
        <v>Type Fluid</v>
      </c>
      <c r="L192" s="608" t="str">
        <f t="shared" si="338"/>
        <v>CAM</v>
      </c>
      <c r="M192" s="608" t="str">
        <f t="shared" si="338"/>
        <v>Type of Oil producing</v>
      </c>
      <c r="N192" s="650" t="s">
        <v>1449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3">
      <c r="J193" s="103" t="str">
        <f t="shared" ref="J193:M193" si="339">J183</f>
        <v>Guajira</v>
      </c>
      <c r="K193" s="103" t="str">
        <f t="shared" si="339"/>
        <v>Doesn't Apply</v>
      </c>
      <c r="L193" s="614" t="str">
        <f t="shared" si="339"/>
        <v>CAM1</v>
      </c>
      <c r="M193" s="615" t="str">
        <f t="shared" si="339"/>
        <v>GU - Gas</v>
      </c>
      <c r="N193" s="12" t="s">
        <v>1450</v>
      </c>
      <c r="Q193" s="330" t="s">
        <v>1451</v>
      </c>
      <c r="R193" s="12">
        <v>3.33</v>
      </c>
      <c r="S193" s="12" t="s">
        <v>1452</v>
      </c>
      <c r="T193" s="12">
        <f>+R193/T197</f>
        <v>0.4052236060193658</v>
      </c>
      <c r="U193" s="12" t="s">
        <v>773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3">
      <c r="J194" s="103" t="str">
        <f t="shared" ref="J194:M194" si="340">J184</f>
        <v>Llanos Orientales</v>
      </c>
      <c r="K194" s="103" t="str">
        <f t="shared" si="340"/>
        <v>Light Oil</v>
      </c>
      <c r="L194" s="614" t="str">
        <f t="shared" si="340"/>
        <v>CAM2</v>
      </c>
      <c r="M194" s="626" t="str">
        <f t="shared" si="340"/>
        <v>LLO - Ligth</v>
      </c>
      <c r="N194" s="286">
        <f>+T193</f>
        <v>0.4052236060193658</v>
      </c>
      <c r="Q194" s="330" t="s">
        <v>1453</v>
      </c>
      <c r="R194" s="12">
        <v>4.5</v>
      </c>
      <c r="S194" s="12" t="s">
        <v>1452</v>
      </c>
      <c r="T194" s="12">
        <f>+R194/T197</f>
        <v>0.54759946759373757</v>
      </c>
      <c r="U194" s="12" t="s">
        <v>773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3">
      <c r="J195" s="103" t="str">
        <f t="shared" ref="J195:M195" si="341">J185</f>
        <v>Llanos Orientales</v>
      </c>
      <c r="K195" s="103" t="str">
        <f t="shared" si="341"/>
        <v>Heavy Oil</v>
      </c>
      <c r="L195" s="614" t="str">
        <f t="shared" si="341"/>
        <v>CAM3</v>
      </c>
      <c r="M195" s="34" t="str">
        <f t="shared" si="341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3">
      <c r="J196" s="103" t="str">
        <f t="shared" ref="J196:M196" si="342">J186</f>
        <v>Putumayo</v>
      </c>
      <c r="K196" s="103" t="str">
        <f t="shared" si="342"/>
        <v>Light Oil</v>
      </c>
      <c r="L196" s="614" t="str">
        <f t="shared" si="342"/>
        <v>CAM4</v>
      </c>
      <c r="M196" s="34" t="str">
        <f t="shared" si="342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3">
      <c r="J197" s="103" t="str">
        <f t="shared" ref="J197:M197" si="343">J187</f>
        <v>VMM</v>
      </c>
      <c r="K197" s="103" t="str">
        <f t="shared" si="343"/>
        <v>Medium Oil</v>
      </c>
      <c r="L197" s="614" t="str">
        <f t="shared" si="343"/>
        <v>CAM5</v>
      </c>
      <c r="M197" s="34" t="str">
        <f t="shared" si="343"/>
        <v>VMM - Medium</v>
      </c>
      <c r="N197" s="286">
        <f>+T193</f>
        <v>0.4052236060193658</v>
      </c>
      <c r="S197" s="12" t="s">
        <v>1454</v>
      </c>
      <c r="T197" s="12">
        <v>8.2176851262728707</v>
      </c>
      <c r="U197" s="12" t="s">
        <v>1452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3">
      <c r="J198" s="103" t="str">
        <f t="shared" ref="J198:M198" si="344">J188</f>
        <v>VSM</v>
      </c>
      <c r="K198" s="103" t="str">
        <f t="shared" si="344"/>
        <v>Medium Oil</v>
      </c>
      <c r="L198" s="614" t="str">
        <f t="shared" si="344"/>
        <v>CAM6</v>
      </c>
      <c r="M198" s="626" t="str">
        <f t="shared" si="344"/>
        <v>VSM - Medium</v>
      </c>
      <c r="N198" s="286">
        <f>+T193</f>
        <v>0.4052236060193658</v>
      </c>
      <c r="U198" s="12" t="s">
        <v>773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3">
      <c r="J199" s="103" t="str">
        <f t="shared" ref="J199:M199" si="345">J189</f>
        <v>VIM</v>
      </c>
      <c r="K199" s="103" t="str">
        <f t="shared" si="345"/>
        <v>Doesn't Apply</v>
      </c>
      <c r="L199" s="614" t="str">
        <f t="shared" si="345"/>
        <v>CAM7</v>
      </c>
      <c r="M199" s="626" t="str">
        <f t="shared" si="345"/>
        <v>VIM - GAS</v>
      </c>
      <c r="N199" s="12" t="s">
        <v>1450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3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3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3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5">
      <c r="J203" s="1036" t="s">
        <v>1455</v>
      </c>
      <c r="K203" s="1037"/>
      <c r="L203" s="1037"/>
      <c r="M203" s="1037"/>
      <c r="N203" s="1037"/>
      <c r="O203" s="1037"/>
      <c r="P203" s="1037"/>
      <c r="Q203" s="1037"/>
      <c r="R203" s="1037"/>
      <c r="S203" s="1037"/>
      <c r="T203" s="1037"/>
      <c r="U203" s="1037"/>
      <c r="V203" s="1037"/>
      <c r="W203" s="1037"/>
      <c r="X203" s="1037"/>
      <c r="Y203" s="1037"/>
      <c r="Z203" s="1037"/>
      <c r="AA203" s="1037"/>
      <c r="AB203" s="1037"/>
      <c r="AC203" s="1037"/>
      <c r="AD203" s="1037"/>
      <c r="AE203" s="1037"/>
      <c r="AF203" s="1037"/>
      <c r="AG203" s="1038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3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3">
      <c r="S205" s="836"/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3">
      <c r="O206" s="1028" t="s">
        <v>1456</v>
      </c>
      <c r="P206" s="983"/>
      <c r="Q206" s="983"/>
      <c r="R206" s="983"/>
      <c r="T206" s="982" t="s">
        <v>1457</v>
      </c>
      <c r="U206" s="983"/>
      <c r="V206" s="983"/>
      <c r="W206" s="983"/>
      <c r="Z206" s="1040" t="s">
        <v>1458</v>
      </c>
      <c r="AA206" s="980"/>
      <c r="AB206" s="980"/>
      <c r="AC206" s="981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3">
      <c r="J207" s="608" t="str">
        <f t="shared" ref="J207:M207" si="346">J192</f>
        <v>Basin</v>
      </c>
      <c r="K207" s="608" t="str">
        <f t="shared" si="346"/>
        <v>Type Fluid</v>
      </c>
      <c r="L207" s="608" t="str">
        <f t="shared" si="346"/>
        <v>CAM</v>
      </c>
      <c r="M207" s="608" t="str">
        <f t="shared" si="346"/>
        <v>Type of Oil producing</v>
      </c>
      <c r="N207" s="446"/>
      <c r="O207" s="446" t="s">
        <v>22</v>
      </c>
      <c r="P207" s="446" t="s">
        <v>845</v>
      </c>
      <c r="Q207" s="446" t="s">
        <v>1459</v>
      </c>
      <c r="R207" s="446" t="s">
        <v>1019</v>
      </c>
      <c r="T207" s="446" t="s">
        <v>22</v>
      </c>
      <c r="U207" s="446" t="s">
        <v>845</v>
      </c>
      <c r="V207" s="446" t="s">
        <v>1459</v>
      </c>
      <c r="W207" s="446" t="s">
        <v>1019</v>
      </c>
      <c r="Z207" s="499" t="s">
        <v>22</v>
      </c>
      <c r="AA207" s="499" t="s">
        <v>845</v>
      </c>
      <c r="AB207" s="499" t="s">
        <v>1459</v>
      </c>
      <c r="AC207" s="499" t="s">
        <v>1019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3">
      <c r="J208" s="103" t="str">
        <f t="shared" ref="J208:M208" si="347">J193</f>
        <v>Guajira</v>
      </c>
      <c r="K208" s="103" t="str">
        <f t="shared" si="347"/>
        <v>Doesn't Apply</v>
      </c>
      <c r="L208" s="614" t="str">
        <f t="shared" si="347"/>
        <v>CAM1</v>
      </c>
      <c r="M208" s="615" t="str">
        <f t="shared" si="347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" si="348">+(O208*24*365/1000)*0.0036</f>
        <v>0</v>
      </c>
      <c r="AA208" s="535"/>
      <c r="AB208" s="471">
        <f t="shared" ref="AB208:AC208" si="349">+(Q208*24*365/1000)*0.0036</f>
        <v>0</v>
      </c>
      <c r="AC208" s="471">
        <f t="shared" si="349"/>
        <v>0</v>
      </c>
      <c r="AE208" s="205">
        <f>+SUM(Z208:AC214)</f>
        <v>13.06868980179426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3">
      <c r="J209" s="103" t="str">
        <f t="shared" ref="J209:M209" si="350">J194</f>
        <v>Llanos Orientales</v>
      </c>
      <c r="K209" s="103" t="str">
        <f t="shared" si="350"/>
        <v>Light Oil</v>
      </c>
      <c r="L209" s="614" t="str">
        <f t="shared" si="350"/>
        <v>CAM2</v>
      </c>
      <c r="M209" s="626" t="str">
        <f t="shared" si="350"/>
        <v>LLO - Ligth</v>
      </c>
      <c r="O209" s="287">
        <v>19.999999999999996</v>
      </c>
      <c r="P209" s="287">
        <v>150.07647247502405</v>
      </c>
      <c r="Q209" s="912">
        <v>0</v>
      </c>
      <c r="R209" s="913">
        <f>22.8/2</f>
        <v>11.4</v>
      </c>
      <c r="S209" s="836"/>
      <c r="T209" s="228">
        <v>0.35</v>
      </c>
      <c r="U209" s="228">
        <v>0.35</v>
      </c>
      <c r="V209" s="228">
        <v>0.35</v>
      </c>
      <c r="W209" s="228">
        <v>0.35</v>
      </c>
      <c r="Z209" s="471">
        <f>+(O209*24*365/1000)*0.0036</f>
        <v>0.63071999999999984</v>
      </c>
      <c r="AA209" s="471">
        <f t="shared" ref="AA209:AC209" si="351">+(P209*24*365/1000)*0.0036</f>
        <v>4.7328116359723582</v>
      </c>
      <c r="AB209" s="471">
        <f>+(Q210*24*365/1000)*0.0036</f>
        <v>1.5220623656853185</v>
      </c>
      <c r="AC209" s="471">
        <f t="shared" si="351"/>
        <v>0.35951040000000006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3">
      <c r="J210" s="103" t="str">
        <f t="shared" ref="J210:M210" si="352">J195</f>
        <v>Llanos Orientales</v>
      </c>
      <c r="K210" s="103" t="str">
        <f t="shared" si="352"/>
        <v>Heavy Oil</v>
      </c>
      <c r="L210" s="614" t="str">
        <f t="shared" si="352"/>
        <v>CAM3</v>
      </c>
      <c r="M210" s="34" t="str">
        <f t="shared" si="352"/>
        <v>LLO - Heavy</v>
      </c>
      <c r="O210" s="911">
        <v>0</v>
      </c>
      <c r="P210" s="651"/>
      <c r="Q210" s="287">
        <v>48.264281002198075</v>
      </c>
      <c r="R210" s="913">
        <f>22.8/2</f>
        <v>11.4</v>
      </c>
      <c r="T210" s="228">
        <v>0.35</v>
      </c>
      <c r="U210" s="228">
        <v>0.35</v>
      </c>
      <c r="V210" s="228">
        <v>0.35</v>
      </c>
      <c r="W210" s="228">
        <v>0.35</v>
      </c>
      <c r="Z210" s="471">
        <f>+(O210*24*365/1000)*0.0036</f>
        <v>0</v>
      </c>
      <c r="AA210" s="535"/>
      <c r="AB210" s="471">
        <f>+(Q211*24*365/1000)*0.0036</f>
        <v>0.66944714800759952</v>
      </c>
      <c r="AC210" s="471">
        <f t="shared" ref="AC210" si="353">+(R210*24*365/1000)*0.0036</f>
        <v>0.35951040000000006</v>
      </c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3">
      <c r="J211" s="103" t="str">
        <f t="shared" ref="J211:M211" si="354">J196</f>
        <v>Putumayo</v>
      </c>
      <c r="K211" s="103" t="str">
        <f t="shared" si="354"/>
        <v>Light Oil</v>
      </c>
      <c r="L211" s="614" t="str">
        <f t="shared" si="354"/>
        <v>CAM4</v>
      </c>
      <c r="M211" s="34" t="str">
        <f t="shared" si="354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5">+(O211*24*365/1000)*0.0036</f>
        <v>0</v>
      </c>
      <c r="AA211" s="471">
        <f t="shared" si="355"/>
        <v>0</v>
      </c>
      <c r="AB211" s="471">
        <f t="shared" si="355"/>
        <v>0.66944714800759952</v>
      </c>
      <c r="AC211" s="471">
        <f t="shared" si="355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3">
      <c r="J212" s="103" t="str">
        <f t="shared" ref="J212:M212" si="356">J197</f>
        <v>VMM</v>
      </c>
      <c r="K212" s="103" t="str">
        <f t="shared" si="356"/>
        <v>Medium Oil</v>
      </c>
      <c r="L212" s="614" t="str">
        <f t="shared" si="356"/>
        <v>CAM5</v>
      </c>
      <c r="M212" s="34" t="str">
        <f t="shared" si="356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7">+(O212*24*365/1000)*0.0036</f>
        <v>0</v>
      </c>
      <c r="AA212" s="471">
        <f t="shared" si="357"/>
        <v>0.61324097015441748</v>
      </c>
      <c r="AB212" s="471">
        <f t="shared" si="357"/>
        <v>1.3049984589915189</v>
      </c>
      <c r="AC212" s="471">
        <f t="shared" si="357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3">
      <c r="J213" s="103" t="str">
        <f t="shared" ref="J213:M213" si="358">J198</f>
        <v>VSM</v>
      </c>
      <c r="K213" s="103" t="str">
        <f t="shared" si="358"/>
        <v>Medium Oil</v>
      </c>
      <c r="L213" s="614" t="str">
        <f t="shared" si="358"/>
        <v>CAM6</v>
      </c>
      <c r="M213" s="626" t="str">
        <f t="shared" si="358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59">+(O213*24*365/1000)*0.0036</f>
        <v>0</v>
      </c>
      <c r="AA213" s="471">
        <f t="shared" si="359"/>
        <v>7.2015258812680727E-2</v>
      </c>
      <c r="AB213" s="471">
        <f t="shared" si="359"/>
        <v>0.62054333297305764</v>
      </c>
      <c r="AC213" s="471">
        <f t="shared" si="359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3">
      <c r="J214" s="103" t="str">
        <f t="shared" ref="J214:M214" si="360">J199</f>
        <v>VIM</v>
      </c>
      <c r="K214" s="103" t="str">
        <f t="shared" si="360"/>
        <v>Doesn't Apply</v>
      </c>
      <c r="L214" s="614" t="str">
        <f t="shared" si="360"/>
        <v>CAM7</v>
      </c>
      <c r="M214" s="626" t="str">
        <f t="shared" si="360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1">+(O214*24*365/1000)*0.0036</f>
        <v>0</v>
      </c>
      <c r="AA214" s="471">
        <f t="shared" si="361"/>
        <v>8.0173996489854554E-3</v>
      </c>
      <c r="AB214" s="471">
        <f t="shared" si="361"/>
        <v>0</v>
      </c>
      <c r="AC214" s="471">
        <f t="shared" si="361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3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3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3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3">
      <c r="O218" s="979" t="s">
        <v>1460</v>
      </c>
      <c r="P218" s="980"/>
      <c r="Q218" s="981"/>
      <c r="T218" s="982" t="s">
        <v>1457</v>
      </c>
      <c r="U218" s="983"/>
      <c r="V218" s="983"/>
      <c r="W218" s="983"/>
      <c r="Z218" s="1032" t="s">
        <v>1461</v>
      </c>
      <c r="AA218" s="980"/>
      <c r="AB218" s="981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3">
      <c r="J219" s="608" t="str">
        <f t="shared" ref="J219:M219" si="362">J207</f>
        <v>Basin</v>
      </c>
      <c r="K219" s="608" t="str">
        <f t="shared" si="362"/>
        <v>Type Fluid</v>
      </c>
      <c r="L219" s="608" t="str">
        <f t="shared" si="362"/>
        <v>CAM</v>
      </c>
      <c r="M219" s="608" t="str">
        <f t="shared" si="362"/>
        <v>Type of Oil producing</v>
      </c>
      <c r="O219" s="429" t="s">
        <v>487</v>
      </c>
      <c r="P219" s="429" t="s">
        <v>1459</v>
      </c>
      <c r="Q219" s="429" t="s">
        <v>63</v>
      </c>
      <c r="T219" s="446" t="s">
        <v>22</v>
      </c>
      <c r="U219" s="446" t="s">
        <v>845</v>
      </c>
      <c r="V219" s="446" t="s">
        <v>1459</v>
      </c>
      <c r="W219" s="446" t="s">
        <v>1019</v>
      </c>
      <c r="Z219" s="652" t="s">
        <v>487</v>
      </c>
      <c r="AA219" s="652" t="s">
        <v>1459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3">
      <c r="J220" s="103" t="str">
        <f t="shared" ref="J220:M220" si="363">J208</f>
        <v>Guajira</v>
      </c>
      <c r="K220" s="103" t="str">
        <f t="shared" si="363"/>
        <v>Doesn't Apply</v>
      </c>
      <c r="L220" s="614" t="str">
        <f t="shared" si="363"/>
        <v>CAM1</v>
      </c>
      <c r="M220" s="615" t="str">
        <f t="shared" si="363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4">+(P220*24*0.365)*0.0036</f>
        <v>0</v>
      </c>
      <c r="AB220" s="654">
        <f t="shared" si="364"/>
        <v>0</v>
      </c>
      <c r="AC220" s="543"/>
      <c r="AE220" s="222">
        <f>+SUM(Z220:AB227)</f>
        <v>2.0858923588608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3">
      <c r="J221" s="103" t="str">
        <f t="shared" ref="J221:M221" si="365">J209</f>
        <v>Llanos Orientales</v>
      </c>
      <c r="K221" s="103" t="str">
        <f t="shared" si="365"/>
        <v>Light Oil</v>
      </c>
      <c r="L221" s="614" t="str">
        <f t="shared" si="365"/>
        <v>CAM2</v>
      </c>
      <c r="M221" s="626" t="str">
        <f t="shared" si="365"/>
        <v>LLO - Ligth</v>
      </c>
      <c r="O221" s="390">
        <v>2.7140832000000001</v>
      </c>
      <c r="P221" s="914">
        <v>0</v>
      </c>
      <c r="Q221" s="915">
        <f>20.355624/2</f>
        <v>10.177811999999999</v>
      </c>
      <c r="R221" s="809"/>
      <c r="T221" s="228">
        <v>0.35</v>
      </c>
      <c r="U221" s="228">
        <v>0.35</v>
      </c>
      <c r="V221" s="228">
        <v>0.35</v>
      </c>
      <c r="W221" s="228">
        <v>0.35</v>
      </c>
      <c r="Z221" s="654">
        <f>+(O221*24*0.365)*0.0036</f>
        <v>8.5591327795199984E-2</v>
      </c>
      <c r="AA221" s="654">
        <f>+(P222*24*0.365)*0.0036</f>
        <v>0.34236531118079994</v>
      </c>
      <c r="AB221" s="654">
        <f t="shared" ref="AB221:AB222" si="366">+(Q221*24*0.365)*0.0036</f>
        <v>0.32096747923199992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3">
      <c r="J222" s="103" t="str">
        <f t="shared" ref="J222:M222" si="367">J210</f>
        <v>Llanos Orientales</v>
      </c>
      <c r="K222" s="103" t="str">
        <f t="shared" si="367"/>
        <v>Heavy Oil</v>
      </c>
      <c r="L222" s="614" t="str">
        <f t="shared" si="367"/>
        <v>CAM3</v>
      </c>
      <c r="M222" s="34" t="str">
        <f t="shared" si="367"/>
        <v>LLO - Heavy</v>
      </c>
      <c r="O222" s="914">
        <v>0</v>
      </c>
      <c r="P222" s="390">
        <v>10.856332800000001</v>
      </c>
      <c r="Q222" s="915">
        <f>20.355624/2</f>
        <v>10.177811999999999</v>
      </c>
      <c r="T222" s="228">
        <v>0.35</v>
      </c>
      <c r="U222" s="228">
        <v>0.35</v>
      </c>
      <c r="V222" s="228">
        <v>0.35</v>
      </c>
      <c r="W222" s="228">
        <v>0.35</v>
      </c>
      <c r="Z222" s="654">
        <f>+(O222*24*0.365)*0.0036</f>
        <v>0</v>
      </c>
      <c r="AA222" s="654">
        <f t="shared" ref="AA222" si="368">+(P222*24*0.365)*0.0036</f>
        <v>0.34236531118079994</v>
      </c>
      <c r="AB222" s="654">
        <f t="shared" si="366"/>
        <v>0.32096747923199992</v>
      </c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3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0">+(O223*24*0.365)*0.0036</f>
        <v>1.1095172121600003E-2</v>
      </c>
      <c r="AA223" s="654">
        <f t="shared" si="370"/>
        <v>4.4380688486400012E-2</v>
      </c>
      <c r="AB223" s="654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3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2">+(O224*24*0.365)*0.0036</f>
        <v>2.8530442598399999E-2</v>
      </c>
      <c r="AA224" s="654">
        <f t="shared" si="372"/>
        <v>0.1141217703936</v>
      </c>
      <c r="AB224" s="654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3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4">+(O225*24*0.365)*0.0036</f>
        <v>1.1095172121600003E-2</v>
      </c>
      <c r="AA225" s="654">
        <f t="shared" si="374"/>
        <v>4.4380688486400012E-2</v>
      </c>
      <c r="AB225" s="654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3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6">+(O226*24*0.365)*0.0036</f>
        <v>3.1700491776000001E-3</v>
      </c>
      <c r="AA226" s="654">
        <f t="shared" si="376"/>
        <v>1.26801967104E-2</v>
      </c>
      <c r="AB226" s="654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3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3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3">
      <c r="O229" s="222"/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  <mergeCell ref="AW65:BJ65"/>
    <mergeCell ref="BK65:BX65"/>
    <mergeCell ref="R96:V96"/>
    <mergeCell ref="W96:Z96"/>
    <mergeCell ref="AI97:AV97"/>
    <mergeCell ref="AW97:BJ97"/>
    <mergeCell ref="BK97:BX97"/>
    <mergeCell ref="AB3:AF3"/>
    <mergeCell ref="AA33:AM33"/>
    <mergeCell ref="R64:V64"/>
    <mergeCell ref="W64:Z64"/>
    <mergeCell ref="AI65:AV65"/>
  </mergeCells>
  <conditionalFormatting sqref="I5:I27">
    <cfRule type="containsBlanks" dxfId="53" priority="1">
      <formula>LEN(TRIM(I5))=0</formula>
    </cfRule>
  </conditionalFormatting>
  <conditionalFormatting sqref="K5:L16">
    <cfRule type="containsText" dxfId="52" priority="2" operator="containsText" text="Oil and Gas">
      <formula>NOT(ISERROR(SEARCH(("Oil and Gas"),(K5))))</formula>
    </cfRule>
  </conditionalFormatting>
  <conditionalFormatting sqref="K5:L16">
    <cfRule type="containsText" dxfId="51" priority="3" operator="containsText" text="Gas">
      <formula>NOT(ISERROR(SEARCH(("Gas"),(K5))))</formula>
    </cfRule>
  </conditionalFormatting>
  <conditionalFormatting sqref="K5:L16">
    <cfRule type="containsText" dxfId="50" priority="4" operator="containsText" text="Oil">
      <formula>NOT(ISERROR(SEARCH(("Oil"),(K5))))</formula>
    </cfRule>
  </conditionalFormatting>
  <conditionalFormatting sqref="K17:L27">
    <cfRule type="containsText" dxfId="49" priority="5" operator="containsText" text="Oil and Gas">
      <formula>NOT(ISERROR(SEARCH(("Oil and Gas"),(K17))))</formula>
    </cfRule>
  </conditionalFormatting>
  <conditionalFormatting sqref="K17:L27">
    <cfRule type="containsText" dxfId="48" priority="6" operator="containsText" text="Gas">
      <formula>NOT(ISERROR(SEARCH(("Gas"),(K17))))</formula>
    </cfRule>
  </conditionalFormatting>
  <conditionalFormatting sqref="K17:L27">
    <cfRule type="containsText" dxfId="47" priority="7" operator="containsText" text="Oil">
      <formula>NOT(ISERROR(SEARCH(("Oil"),(K17))))</formula>
    </cfRule>
  </conditionalFormatting>
  <conditionalFormatting sqref="Q5:Y27 W67:AA92">
    <cfRule type="cellIs" dxfId="46" priority="8" operator="equal">
      <formula>0</formula>
    </cfRule>
  </conditionalFormatting>
  <conditionalFormatting sqref="I35:I54">
    <cfRule type="containsBlanks" dxfId="45" priority="9">
      <formula>LEN(TRIM(I35))=0</formula>
    </cfRule>
  </conditionalFormatting>
  <conditionalFormatting sqref="K35:L46">
    <cfRule type="containsText" dxfId="44" priority="10" operator="containsText" text="Oil and Gas">
      <formula>NOT(ISERROR(SEARCH(("Oil and Gas"),(K35))))</formula>
    </cfRule>
  </conditionalFormatting>
  <conditionalFormatting sqref="K35:L46">
    <cfRule type="containsText" dxfId="43" priority="11" operator="containsText" text="Gas">
      <formula>NOT(ISERROR(SEARCH(("Gas"),(K35))))</formula>
    </cfRule>
  </conditionalFormatting>
  <conditionalFormatting sqref="K35:L46">
    <cfRule type="containsText" dxfId="42" priority="12" operator="containsText" text="Oil">
      <formula>NOT(ISERROR(SEARCH(("Oil"),(K35))))</formula>
    </cfRule>
  </conditionalFormatting>
  <conditionalFormatting sqref="K47:L54 K58:L60">
    <cfRule type="containsText" dxfId="41" priority="13" operator="containsText" text="Oil and Gas">
      <formula>NOT(ISERROR(SEARCH(("Oil and Gas"),(K47))))</formula>
    </cfRule>
  </conditionalFormatting>
  <conditionalFormatting sqref="K47:L54 K58:L60">
    <cfRule type="containsText" dxfId="40" priority="14" operator="containsText" text="Gas">
      <formula>NOT(ISERROR(SEARCH(("Gas"),(K47))))</formula>
    </cfRule>
  </conditionalFormatting>
  <conditionalFormatting sqref="K47:L54 K58:L60">
    <cfRule type="containsText" dxfId="39" priority="15" operator="containsText" text="Oil">
      <formula>NOT(ISERROR(SEARCH(("Oil"),(K47))))</formula>
    </cfRule>
  </conditionalFormatting>
  <conditionalFormatting sqref="Q35:Y60">
    <cfRule type="cellIs" dxfId="38" priority="16" operator="equal">
      <formula>0</formula>
    </cfRule>
  </conditionalFormatting>
  <conditionalFormatting sqref="I67:I86">
    <cfRule type="containsBlanks" dxfId="37" priority="17">
      <formula>LEN(TRIM(I67))=0</formula>
    </cfRule>
  </conditionalFormatting>
  <conditionalFormatting sqref="K67:L78">
    <cfRule type="containsText" dxfId="36" priority="18" operator="containsText" text="Oil and Gas">
      <formula>NOT(ISERROR(SEARCH(("Oil and Gas"),(K67))))</formula>
    </cfRule>
  </conditionalFormatting>
  <conditionalFormatting sqref="K67:L78">
    <cfRule type="containsText" dxfId="35" priority="19" operator="containsText" text="Gas">
      <formula>NOT(ISERROR(SEARCH(("Gas"),(K67))))</formula>
    </cfRule>
  </conditionalFormatting>
  <conditionalFormatting sqref="K67:L78">
    <cfRule type="containsText" dxfId="34" priority="20" operator="containsText" text="Oil">
      <formula>NOT(ISERROR(SEARCH(("Oil"),(K67))))</formula>
    </cfRule>
  </conditionalFormatting>
  <conditionalFormatting sqref="K79:L86 K90:L92">
    <cfRule type="containsText" dxfId="33" priority="21" operator="containsText" text="Oil and Gas">
      <formula>NOT(ISERROR(SEARCH(("Oil and Gas"),(K79))))</formula>
    </cfRule>
  </conditionalFormatting>
  <conditionalFormatting sqref="K79:L86 K90:L92">
    <cfRule type="containsText" dxfId="32" priority="22" operator="containsText" text="Gas">
      <formula>NOT(ISERROR(SEARCH(("Gas"),(K79))))</formula>
    </cfRule>
  </conditionalFormatting>
  <conditionalFormatting sqref="K79:L86 K90:L92">
    <cfRule type="containsText" dxfId="31" priority="23" operator="containsText" text="Oil">
      <formula>NOT(ISERROR(SEARCH(("Oil"),(K79))))</formula>
    </cfRule>
  </conditionalFormatting>
  <conditionalFormatting sqref="N67:N92">
    <cfRule type="cellIs" dxfId="30" priority="24" operator="equal">
      <formula>0</formula>
    </cfRule>
  </conditionalFormatting>
  <conditionalFormatting sqref="R67:V92">
    <cfRule type="cellIs" dxfId="29" priority="25" operator="equal">
      <formula>0</formula>
    </cfRule>
  </conditionalFormatting>
  <conditionalFormatting sqref="P67:P92">
    <cfRule type="cellIs" dxfId="28" priority="26" operator="equal">
      <formula>0</formula>
    </cfRule>
  </conditionalFormatting>
  <conditionalFormatting sqref="Q67:Q92">
    <cfRule type="cellIs" dxfId="27" priority="27" operator="equal">
      <formula>0</formula>
    </cfRule>
  </conditionalFormatting>
  <conditionalFormatting sqref="M99">
    <cfRule type="containsBlanks" dxfId="26" priority="28">
      <formula>LEN(TRIM(M99))=0</formula>
    </cfRule>
  </conditionalFormatting>
  <conditionalFormatting sqref="N99:V112">
    <cfRule type="cellIs" dxfId="25" priority="29" operator="equal">
      <formula>0</formula>
    </cfRule>
  </conditionalFormatting>
  <conditionalFormatting sqref="W99:Z112">
    <cfRule type="cellIs" dxfId="24" priority="30" operator="equal">
      <formula>0</formula>
    </cfRule>
  </conditionalFormatting>
  <conditionalFormatting sqref="AA99:AA112">
    <cfRule type="cellIs" dxfId="23" priority="31" operator="equal">
      <formula>0</formula>
    </cfRule>
  </conditionalFormatting>
  <conditionalFormatting sqref="AB99:AC112">
    <cfRule type="cellIs" dxfId="22" priority="32" operator="equal">
      <formula>0</formula>
    </cfRule>
  </conditionalFormatting>
  <conditionalFormatting sqref="AH99:BJ112">
    <cfRule type="cellIs" dxfId="21" priority="33" operator="equal">
      <formula>0</formula>
    </cfRule>
  </conditionalFormatting>
  <conditionalFormatting sqref="BK99:BX112">
    <cfRule type="cellIs" dxfId="20" priority="34" operator="equal">
      <formula>0</formula>
    </cfRule>
  </conditionalFormatting>
  <conditionalFormatting sqref="M121">
    <cfRule type="containsBlanks" dxfId="19" priority="35">
      <formula>LEN(TRIM(M121))=0</formula>
    </cfRule>
  </conditionalFormatting>
  <conditionalFormatting sqref="M156">
    <cfRule type="containsBlanks" dxfId="18" priority="36">
      <formula>LEN(TRIM(M156))=0</formula>
    </cfRule>
  </conditionalFormatting>
  <conditionalFormatting sqref="M183">
    <cfRule type="containsBlanks" dxfId="17" priority="37">
      <formula>LEN(TRIM(M183))=0</formula>
    </cfRule>
  </conditionalFormatting>
  <conditionalFormatting sqref="I55:I57">
    <cfRule type="containsBlanks" dxfId="16" priority="38">
      <formula>LEN(TRIM(I55))=0</formula>
    </cfRule>
  </conditionalFormatting>
  <conditionalFormatting sqref="K55:L57">
    <cfRule type="containsText" dxfId="15" priority="39" operator="containsText" text="Oil and Gas">
      <formula>NOT(ISERROR(SEARCH(("Oil and Gas"),(K55))))</formula>
    </cfRule>
  </conditionalFormatting>
  <conditionalFormatting sqref="K55:L57">
    <cfRule type="containsText" dxfId="14" priority="40" operator="containsText" text="Gas">
      <formula>NOT(ISERROR(SEARCH(("Gas"),(K55))))</formula>
    </cfRule>
  </conditionalFormatting>
  <conditionalFormatting sqref="K55:L57">
    <cfRule type="containsText" dxfId="13" priority="41" operator="containsText" text="Oil">
      <formula>NOT(ISERROR(SEARCH(("Oil"),(K55))))</formula>
    </cfRule>
  </conditionalFormatting>
  <conditionalFormatting sqref="I87:I89">
    <cfRule type="containsBlanks" dxfId="12" priority="42">
      <formula>LEN(TRIM(I87))=0</formula>
    </cfRule>
  </conditionalFormatting>
  <conditionalFormatting sqref="K87:L89">
    <cfRule type="containsText" dxfId="11" priority="43" operator="containsText" text="Oil and Gas">
      <formula>NOT(ISERROR(SEARCH(("Oil and Gas"),(K87))))</formula>
    </cfRule>
  </conditionalFormatting>
  <conditionalFormatting sqref="K87:L89">
    <cfRule type="containsText" dxfId="10" priority="44" operator="containsText" text="Gas">
      <formula>NOT(ISERROR(SEARCH(("Gas"),(K87))))</formula>
    </cfRule>
  </conditionalFormatting>
  <conditionalFormatting sqref="K87:L89">
    <cfRule type="containsText" dxfId="9" priority="45" operator="containsText" text="Oil">
      <formula>NOT(ISERROR(SEARCH(("Oil"),(K87))))</formula>
    </cfRule>
  </conditionalFormatting>
  <conditionalFormatting sqref="X121">
    <cfRule type="containsBlanks" dxfId="8" priority="46">
      <formula>LEN(TRIM(X121))=0</formula>
    </cfRule>
  </conditionalFormatting>
  <conditionalFormatting sqref="Z121:Z127">
    <cfRule type="cellIs" dxfId="7" priority="47" operator="equal">
      <formula>0</formula>
    </cfRule>
  </conditionalFormatting>
  <conditionalFormatting sqref="AA121:AC127">
    <cfRule type="containsText" dxfId="6" priority="48" operator="containsText" text="No">
      <formula>NOT(ISERROR(SEARCH(("No"),(AA121))))</formula>
    </cfRule>
  </conditionalFormatting>
  <conditionalFormatting sqref="AA121:AC127">
    <cfRule type="containsText" dxfId="5" priority="49" operator="containsText" text="Sí">
      <formula>NOT(ISERROR(SEARCH(("Sí"),(AA121))))</formula>
    </cfRule>
  </conditionalFormatting>
  <conditionalFormatting sqref="M141">
    <cfRule type="containsBlanks" dxfId="4" priority="50">
      <formula>LEN(TRIM(M141))=0</formula>
    </cfRule>
  </conditionalFormatting>
  <conditionalFormatting sqref="M193">
    <cfRule type="containsBlanks" dxfId="3" priority="51">
      <formula>LEN(TRIM(M193))=0</formula>
    </cfRule>
  </conditionalFormatting>
  <conditionalFormatting sqref="M208">
    <cfRule type="containsBlanks" dxfId="2" priority="52">
      <formula>LEN(TRIM(M208))=0</formula>
    </cfRule>
  </conditionalFormatting>
  <conditionalFormatting sqref="M220">
    <cfRule type="containsBlanks" dxfId="1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Z1000"/>
  <sheetViews>
    <sheetView showGridLines="0" topLeftCell="CD1" zoomScale="85" zoomScaleNormal="85" workbookViewId="0">
      <selection activeCell="CQ9" sqref="CQ9"/>
    </sheetView>
  </sheetViews>
  <sheetFormatPr baseColWidth="10" defaultColWidth="14.44140625" defaultRowHeight="15" customHeight="1" x14ac:dyDescent="0.3"/>
  <cols>
    <col min="1" max="1" width="10.6640625" customWidth="1"/>
    <col min="2" max="2" width="4.33203125" customWidth="1"/>
    <col min="3" max="3" width="17.44140625" customWidth="1"/>
    <col min="4" max="6" width="10.6640625" customWidth="1"/>
    <col min="7" max="7" width="14.6640625" customWidth="1"/>
    <col min="8" max="8" width="10.6640625" customWidth="1"/>
    <col min="9" max="9" width="5.6640625" customWidth="1"/>
    <col min="10" max="10" width="22.44140625" customWidth="1"/>
    <col min="11" max="11" width="5.33203125" customWidth="1"/>
    <col min="12" max="12" width="14.88671875" customWidth="1"/>
    <col min="13" max="13" width="13.6640625" customWidth="1"/>
    <col min="14" max="14" width="11.33203125" customWidth="1"/>
    <col min="15" max="15" width="10.88671875" customWidth="1"/>
    <col min="16" max="16" width="4.109375" customWidth="1"/>
    <col min="17" max="17" width="15.33203125" customWidth="1"/>
    <col min="18" max="18" width="19" customWidth="1"/>
    <col min="19" max="19" width="10.6640625" customWidth="1"/>
    <col min="20" max="20" width="5.88671875" customWidth="1"/>
    <col min="21" max="21" width="18.88671875" customWidth="1"/>
    <col min="22" max="22" width="20.33203125" customWidth="1"/>
    <col min="23" max="23" width="10.6640625" customWidth="1"/>
    <col min="24" max="24" width="6.33203125" customWidth="1"/>
    <col min="25" max="27" width="11.44140625" customWidth="1"/>
    <col min="28" max="28" width="6" customWidth="1"/>
    <col min="29" max="29" width="21.109375" customWidth="1"/>
    <col min="30" max="30" width="5.88671875" customWidth="1"/>
    <col min="31" max="31" width="12.5546875" customWidth="1"/>
    <col min="32" max="32" width="14.44140625" customWidth="1"/>
    <col min="33" max="33" width="7.88671875" customWidth="1"/>
    <col min="34" max="34" width="5.6640625" customWidth="1"/>
    <col min="35" max="35" width="10.6640625" customWidth="1"/>
    <col min="36" max="36" width="12.33203125" customWidth="1"/>
    <col min="37" max="37" width="11.5546875" customWidth="1"/>
    <col min="38" max="39" width="7.44140625" customWidth="1"/>
    <col min="40" max="40" width="24" customWidth="1"/>
    <col min="41" max="41" width="13.6640625" customWidth="1"/>
    <col min="42" max="42" width="12.88671875" customWidth="1"/>
    <col min="43" max="43" width="25" customWidth="1"/>
    <col min="44" max="44" width="20.33203125" customWidth="1"/>
    <col min="45" max="45" width="7.44140625" customWidth="1"/>
    <col min="46" max="46" width="14.109375" customWidth="1"/>
    <col min="47" max="47" width="23.109375" customWidth="1"/>
    <col min="48" max="48" width="19.109375" customWidth="1"/>
    <col min="49" max="49" width="15.5546875" customWidth="1"/>
    <col min="50" max="50" width="9" customWidth="1"/>
    <col min="51" max="51" width="4.109375" customWidth="1"/>
    <col min="52" max="52" width="23.109375" customWidth="1"/>
    <col min="53" max="53" width="14.109375" customWidth="1"/>
    <col min="54" max="54" width="10.5546875" customWidth="1"/>
    <col min="55" max="55" width="16" customWidth="1"/>
    <col min="56" max="56" width="28.6640625" customWidth="1"/>
    <col min="57" max="57" width="17.109375" customWidth="1"/>
    <col min="58" max="58" width="21.33203125" customWidth="1"/>
    <col min="59" max="59" width="10.5546875" customWidth="1"/>
    <col min="60" max="60" width="6" customWidth="1"/>
    <col min="61" max="61" width="26.6640625" customWidth="1"/>
    <col min="62" max="63" width="10.5546875" customWidth="1"/>
    <col min="64" max="64" width="8.5546875" customWidth="1"/>
    <col min="65" max="65" width="11.44140625" customWidth="1"/>
    <col min="66" max="66" width="6.109375" customWidth="1"/>
    <col min="67" max="67" width="14.109375" customWidth="1"/>
    <col min="68" max="68" width="8.44140625" customWidth="1"/>
    <col min="69" max="70" width="10.6640625" customWidth="1"/>
    <col min="71" max="71" width="13.5546875" customWidth="1"/>
    <col min="72" max="72" width="15.88671875" customWidth="1"/>
    <col min="73" max="73" width="11.88671875" customWidth="1"/>
    <col min="74" max="74" width="9" customWidth="1"/>
    <col min="75" max="75" width="16.33203125" customWidth="1"/>
    <col min="76" max="76" width="18.5546875" customWidth="1"/>
    <col min="77" max="77" width="15" customWidth="1"/>
    <col min="78" max="78" width="5.33203125" customWidth="1"/>
    <col min="79" max="79" width="22" customWidth="1"/>
    <col min="80" max="80" width="11.33203125" customWidth="1"/>
    <col min="81" max="81" width="25.33203125" customWidth="1"/>
    <col min="82" max="82" width="23.88671875" customWidth="1"/>
    <col min="83" max="83" width="21.33203125" customWidth="1"/>
    <col min="84" max="84" width="5.5546875" customWidth="1"/>
    <col min="85" max="85" width="20.33203125" customWidth="1"/>
    <col min="86" max="87" width="11.33203125" customWidth="1"/>
    <col min="88" max="88" width="20.6640625" customWidth="1"/>
    <col min="89" max="89" width="23.109375" customWidth="1"/>
    <col min="90" max="90" width="19.88671875" customWidth="1"/>
    <col min="91" max="91" width="11.5546875" customWidth="1"/>
    <col min="92" max="92" width="5" customWidth="1"/>
    <col min="93" max="93" width="25.5546875" customWidth="1"/>
    <col min="94" max="94" width="11.44140625" customWidth="1"/>
    <col min="95" max="95" width="10.6640625" customWidth="1"/>
    <col min="96" max="96" width="6.5546875" customWidth="1"/>
    <col min="97" max="97" width="22.33203125" customWidth="1"/>
    <col min="98" max="98" width="7.44140625" customWidth="1"/>
    <col min="99" max="99" width="21.6640625" customWidth="1"/>
    <col min="100" max="100" width="21.33203125" customWidth="1"/>
    <col min="101" max="101" width="7.44140625" customWidth="1"/>
    <col min="102" max="102" width="5.6640625" customWidth="1"/>
    <col min="103" max="103" width="22.6640625" customWidth="1"/>
    <col min="104" max="104" width="16.44140625" customWidth="1"/>
    <col min="105" max="105" width="10.6640625" customWidth="1"/>
    <col min="106" max="106" width="8.88671875" customWidth="1"/>
    <col min="107" max="107" width="27.6640625" customWidth="1"/>
    <col min="108" max="108" width="20.33203125" customWidth="1"/>
    <col min="109" max="110" width="11.44140625" customWidth="1"/>
    <col min="111" max="111" width="25.88671875" customWidth="1"/>
    <col min="112" max="113" width="11.44140625" customWidth="1"/>
    <col min="114" max="114" width="7.33203125" customWidth="1"/>
    <col min="115" max="115" width="23.44140625" customWidth="1"/>
    <col min="116" max="116" width="11.44140625" customWidth="1"/>
    <col min="117" max="117" width="33.33203125" customWidth="1"/>
    <col min="118" max="118" width="17" customWidth="1"/>
    <col min="119" max="119" width="18.88671875" customWidth="1"/>
    <col min="120" max="121" width="10.6640625" customWidth="1"/>
    <col min="122" max="122" width="31.33203125" customWidth="1"/>
    <col min="123" max="123" width="19.44140625" customWidth="1"/>
    <col min="124" max="124" width="21.5546875" customWidth="1"/>
    <col min="125" max="126" width="10.6640625" customWidth="1"/>
    <col min="127" max="127" width="31.6640625" customWidth="1"/>
    <col min="128" max="128" width="21.88671875" customWidth="1"/>
    <col min="129" max="129" width="21.44140625" customWidth="1"/>
    <col min="130" max="130" width="10.6640625" customWidth="1"/>
  </cols>
  <sheetData>
    <row r="1" spans="1:130" ht="14.4" x14ac:dyDescent="0.3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874"/>
      <c r="AR1" s="874"/>
      <c r="AS1" s="874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43"/>
      <c r="BN1" s="116"/>
      <c r="BW1" s="1"/>
      <c r="BX1" s="1"/>
      <c r="BY1" s="1"/>
      <c r="BZ1" s="655"/>
      <c r="CB1" s="656"/>
      <c r="CC1" s="1"/>
      <c r="CD1" s="1"/>
      <c r="CE1" s="1"/>
      <c r="CF1" s="1"/>
      <c r="CG1" s="1"/>
      <c r="CH1" s="1"/>
      <c r="CI1" s="1"/>
      <c r="CJ1" s="1"/>
      <c r="CR1" s="305"/>
      <c r="CT1" s="116"/>
      <c r="DB1" s="1"/>
      <c r="DC1" s="1"/>
      <c r="DD1" s="1"/>
      <c r="DE1" s="1"/>
      <c r="DF1" s="1"/>
      <c r="DG1" s="1"/>
      <c r="DH1" s="1"/>
      <c r="DI1" s="1"/>
      <c r="DJ1" s="655"/>
      <c r="DL1" s="116"/>
    </row>
    <row r="2" spans="1:130" ht="14.4" x14ac:dyDescent="0.3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874"/>
      <c r="AR2" s="874"/>
      <c r="AS2" s="874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43"/>
      <c r="BN2" s="116"/>
      <c r="BW2" s="1"/>
      <c r="BX2" s="1"/>
      <c r="BY2" s="1"/>
      <c r="BZ2" s="655"/>
      <c r="CB2" s="656"/>
      <c r="CC2" s="1"/>
      <c r="CD2" s="1"/>
      <c r="CE2" s="1"/>
      <c r="CF2" s="1"/>
      <c r="CG2" s="1"/>
      <c r="CH2" s="1"/>
      <c r="CI2" s="1"/>
      <c r="CJ2" s="1"/>
      <c r="CR2" s="305"/>
      <c r="CT2" s="116"/>
      <c r="DB2" s="1"/>
      <c r="DC2" s="1"/>
      <c r="DD2" s="1"/>
      <c r="DE2" s="1"/>
      <c r="DF2" s="1"/>
      <c r="DG2" s="1"/>
      <c r="DH2" s="1"/>
      <c r="DI2" s="1"/>
      <c r="DJ2" s="655"/>
      <c r="DL2" s="116"/>
    </row>
    <row r="3" spans="1:130" ht="21" x14ac:dyDescent="0.4">
      <c r="B3" s="116"/>
      <c r="C3" s="1041" t="s">
        <v>1462</v>
      </c>
      <c r="D3" s="983"/>
      <c r="E3" s="983"/>
      <c r="F3" s="983"/>
      <c r="G3" s="983"/>
      <c r="H3" s="983"/>
      <c r="I3" s="657"/>
      <c r="K3" s="116"/>
      <c r="L3" s="1041" t="s">
        <v>1463</v>
      </c>
      <c r="M3" s="983"/>
      <c r="N3" s="983"/>
      <c r="O3" s="983"/>
      <c r="P3" s="983"/>
      <c r="Q3" s="983"/>
      <c r="R3" s="983"/>
      <c r="S3" s="983"/>
      <c r="T3" s="983"/>
      <c r="U3" s="983"/>
      <c r="V3" s="983"/>
      <c r="W3" s="983"/>
      <c r="X3" s="658"/>
      <c r="Y3" s="658"/>
      <c r="Z3" s="658"/>
      <c r="AA3" s="658"/>
      <c r="AB3" s="657"/>
      <c r="AC3" s="380"/>
      <c r="AD3" s="116"/>
      <c r="AE3" s="1041" t="s">
        <v>1464</v>
      </c>
      <c r="AF3" s="983"/>
      <c r="AG3" s="983"/>
      <c r="AH3" s="983"/>
      <c r="AI3" s="983"/>
      <c r="AJ3" s="983"/>
      <c r="AK3" s="983"/>
      <c r="AL3" s="655"/>
      <c r="AM3" s="1"/>
      <c r="AN3" s="1042" t="s">
        <v>1465</v>
      </c>
      <c r="AO3" s="980"/>
      <c r="AP3" s="980"/>
      <c r="AQ3" s="1043"/>
      <c r="AR3" s="1043"/>
      <c r="AS3" s="1043"/>
      <c r="AT3" s="980"/>
      <c r="AU3" s="980"/>
      <c r="AV3" s="980"/>
      <c r="AW3" s="980"/>
      <c r="AX3" s="980"/>
      <c r="AY3" s="980"/>
      <c r="AZ3" s="980"/>
      <c r="BA3" s="980"/>
      <c r="BB3" s="980"/>
      <c r="BC3" s="980"/>
      <c r="BD3" s="980"/>
      <c r="BE3" s="980"/>
      <c r="BF3" s="980"/>
      <c r="BG3" s="980"/>
      <c r="BH3" s="980"/>
      <c r="BI3" s="980"/>
      <c r="BJ3" s="980"/>
      <c r="BK3" s="980"/>
      <c r="BL3" s="981"/>
      <c r="BM3" s="43"/>
      <c r="BN3" s="116"/>
      <c r="BO3" s="1041" t="s">
        <v>1466</v>
      </c>
      <c r="BP3" s="983"/>
      <c r="BQ3" s="983"/>
      <c r="BR3" s="983"/>
      <c r="BS3" s="983"/>
      <c r="BT3" s="983"/>
      <c r="BU3" s="983"/>
      <c r="BV3" s="983"/>
      <c r="BW3" s="658"/>
      <c r="BX3" s="658"/>
      <c r="BY3" s="658"/>
      <c r="BZ3" s="655"/>
      <c r="CB3" s="659"/>
      <c r="CC3" s="1041" t="s">
        <v>1467</v>
      </c>
      <c r="CD3" s="983"/>
      <c r="CE3" s="983"/>
      <c r="CF3" s="983"/>
      <c r="CG3" s="983"/>
      <c r="CH3" s="983"/>
      <c r="CI3" s="983"/>
      <c r="CJ3" s="983"/>
      <c r="CK3" s="983"/>
      <c r="CL3" s="983"/>
      <c r="CM3" s="983"/>
      <c r="CN3" s="983"/>
      <c r="CO3" s="983"/>
      <c r="CP3" s="983"/>
      <c r="CQ3" s="288"/>
      <c r="CR3" s="305"/>
      <c r="CT3" s="116"/>
      <c r="CU3" s="1041" t="s">
        <v>1468</v>
      </c>
      <c r="CV3" s="983"/>
      <c r="CW3" s="983"/>
      <c r="CX3" s="983"/>
      <c r="CY3" s="983"/>
      <c r="CZ3" s="983"/>
      <c r="DA3" s="983"/>
      <c r="DB3" s="658"/>
      <c r="DC3" s="658"/>
      <c r="DD3" s="658"/>
      <c r="DE3" s="658"/>
      <c r="DF3" s="658"/>
      <c r="DG3" s="658"/>
      <c r="DH3" s="658"/>
      <c r="DI3" s="658"/>
      <c r="DJ3" s="655"/>
      <c r="DL3" s="116"/>
      <c r="DM3" s="288" t="s">
        <v>1469</v>
      </c>
    </row>
    <row r="4" spans="1:130" ht="14.4" x14ac:dyDescent="0.3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874"/>
      <c r="AR4" s="874"/>
      <c r="AS4" s="874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43"/>
      <c r="BN4" s="116"/>
      <c r="BW4" s="1"/>
      <c r="BX4" s="1"/>
      <c r="BY4" s="1"/>
      <c r="BZ4" s="655"/>
      <c r="CB4" s="656"/>
      <c r="CC4" s="1"/>
      <c r="CD4" s="1"/>
      <c r="CE4" s="1"/>
      <c r="CF4" s="1"/>
      <c r="CG4" s="1"/>
      <c r="CH4" s="1"/>
      <c r="CI4" s="1"/>
      <c r="CJ4" s="1"/>
      <c r="CR4" s="305"/>
      <c r="CT4" s="116"/>
      <c r="DB4" s="1"/>
      <c r="DC4" s="1"/>
      <c r="DD4" s="1"/>
      <c r="DE4" s="1"/>
      <c r="DF4" s="1"/>
      <c r="DG4" s="1"/>
      <c r="DH4" s="1"/>
      <c r="DI4" s="1"/>
      <c r="DJ4" s="655"/>
      <c r="DL4" s="116"/>
    </row>
    <row r="5" spans="1:130" ht="15.6" x14ac:dyDescent="0.3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1045" t="s">
        <v>1470</v>
      </c>
      <c r="M5" s="983"/>
      <c r="N5" s="983"/>
      <c r="O5" s="983"/>
      <c r="P5" s="660"/>
      <c r="Q5" s="1045" t="s">
        <v>1471</v>
      </c>
      <c r="R5" s="983"/>
      <c r="S5" s="983"/>
      <c r="T5" s="660"/>
      <c r="U5" s="1045" t="s">
        <v>1472</v>
      </c>
      <c r="V5" s="983"/>
      <c r="W5" s="660"/>
      <c r="X5" s="664"/>
      <c r="Y5" s="1044" t="s">
        <v>1473</v>
      </c>
      <c r="Z5" s="980"/>
      <c r="AA5" s="981"/>
      <c r="AB5" s="662"/>
      <c r="AC5" s="380"/>
      <c r="AD5" s="661"/>
      <c r="AE5" s="1045" t="s">
        <v>1474</v>
      </c>
      <c r="AF5" s="983"/>
      <c r="AG5" s="983"/>
      <c r="AH5" s="660"/>
      <c r="AI5" s="1045" t="s">
        <v>1475</v>
      </c>
      <c r="AJ5" s="983"/>
      <c r="AK5" s="983"/>
      <c r="AL5" s="662"/>
      <c r="AM5" s="665"/>
      <c r="AN5" s="1045" t="s">
        <v>1476</v>
      </c>
      <c r="AO5" s="983"/>
      <c r="AP5" s="983"/>
      <c r="AT5" s="665"/>
      <c r="AU5" s="1044" t="s">
        <v>1477</v>
      </c>
      <c r="AV5" s="980"/>
      <c r="AW5" s="980"/>
      <c r="AX5" s="980"/>
      <c r="AY5" s="980"/>
      <c r="AZ5" s="980"/>
      <c r="BA5" s="980"/>
      <c r="BB5" s="981"/>
      <c r="BC5" s="665"/>
      <c r="BD5" s="666" t="s">
        <v>1478</v>
      </c>
      <c r="BE5" s="665"/>
      <c r="BF5" s="665"/>
      <c r="BG5" s="665"/>
      <c r="BH5" s="665"/>
      <c r="BI5" s="665"/>
      <c r="BJ5" s="665"/>
      <c r="BK5" s="665"/>
      <c r="BL5" s="665"/>
      <c r="BM5" s="667"/>
      <c r="BN5" s="661"/>
      <c r="BO5" s="1045" t="s">
        <v>1479</v>
      </c>
      <c r="BP5" s="983"/>
      <c r="BQ5" s="983"/>
      <c r="BR5" s="660"/>
      <c r="BS5" s="668" t="s">
        <v>1480</v>
      </c>
      <c r="BT5" s="660"/>
      <c r="BU5" s="663"/>
      <c r="BV5" s="663"/>
      <c r="BW5" s="666" t="s">
        <v>1481</v>
      </c>
      <c r="BX5" s="664"/>
      <c r="BY5" s="664"/>
      <c r="BZ5" s="662"/>
      <c r="CA5" s="660"/>
      <c r="CB5" s="669"/>
      <c r="CC5" s="1046" t="s">
        <v>1482</v>
      </c>
      <c r="CD5" s="1047"/>
      <c r="CE5" s="1047"/>
      <c r="CF5" s="1047"/>
      <c r="CG5" s="1047"/>
      <c r="CH5" s="1047"/>
      <c r="CI5" s="1043"/>
      <c r="CJ5" s="665"/>
      <c r="CK5" s="1045" t="s">
        <v>1483</v>
      </c>
      <c r="CL5" s="983"/>
      <c r="CM5" s="983"/>
      <c r="CN5" s="983"/>
      <c r="CO5" s="983"/>
      <c r="CP5" s="983"/>
      <c r="CQ5" s="983"/>
      <c r="CR5" s="670"/>
      <c r="CS5" s="660"/>
      <c r="CT5" s="661"/>
      <c r="CU5" s="1046" t="s">
        <v>1484</v>
      </c>
      <c r="CV5" s="1047"/>
      <c r="CW5" s="1047"/>
      <c r="CX5" s="1047"/>
      <c r="CY5" s="1047"/>
      <c r="CZ5" s="1047"/>
      <c r="DA5" s="1047"/>
      <c r="DB5" s="1043"/>
      <c r="DC5" s="668" t="s">
        <v>1485</v>
      </c>
      <c r="DD5" s="664"/>
      <c r="DE5" s="664"/>
      <c r="DF5" s="1044" t="s">
        <v>1486</v>
      </c>
      <c r="DG5" s="980"/>
      <c r="DH5" s="980"/>
      <c r="DI5" s="981"/>
      <c r="DJ5" s="662"/>
      <c r="DK5" s="660"/>
      <c r="DL5" s="661"/>
      <c r="DM5" s="660" t="s">
        <v>1487</v>
      </c>
      <c r="DN5" s="660"/>
      <c r="DO5" s="660"/>
      <c r="DP5" s="660"/>
      <c r="DQ5" s="660"/>
      <c r="DR5" s="660" t="s">
        <v>1488</v>
      </c>
      <c r="DS5" s="660"/>
      <c r="DT5" s="660"/>
      <c r="DU5" s="660"/>
      <c r="DV5" s="660"/>
      <c r="DW5" s="660" t="s">
        <v>1488</v>
      </c>
      <c r="DX5" s="660"/>
      <c r="DY5" s="660"/>
      <c r="DZ5" s="660"/>
    </row>
    <row r="6" spans="1:130" ht="14.4" x14ac:dyDescent="0.3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43"/>
      <c r="BN6" s="116"/>
      <c r="BW6" s="1"/>
      <c r="BX6" s="1"/>
      <c r="BY6" s="1"/>
      <c r="BZ6" s="655"/>
      <c r="CB6" s="656"/>
      <c r="CC6" s="1"/>
      <c r="CD6" s="1"/>
      <c r="CE6" s="1"/>
      <c r="CF6" s="1"/>
      <c r="CG6" s="1"/>
      <c r="CH6" s="1"/>
      <c r="CI6" s="1"/>
      <c r="CJ6" s="1"/>
      <c r="CR6" s="305"/>
      <c r="CT6" s="116"/>
      <c r="DB6" s="1"/>
      <c r="DC6" s="1"/>
      <c r="DD6" s="1"/>
      <c r="DE6" s="1"/>
      <c r="DF6" s="1"/>
      <c r="DG6" s="1"/>
      <c r="DH6" s="1"/>
      <c r="DI6" s="1"/>
      <c r="DJ6" s="655"/>
      <c r="DL6" s="116"/>
    </row>
    <row r="7" spans="1:130" ht="14.4" x14ac:dyDescent="0.3">
      <c r="B7" s="116"/>
      <c r="C7" s="381" t="s">
        <v>804</v>
      </c>
      <c r="I7" s="655"/>
      <c r="K7" s="116"/>
      <c r="L7" s="381" t="s">
        <v>804</v>
      </c>
      <c r="Q7" s="381" t="s">
        <v>804</v>
      </c>
      <c r="U7" s="381" t="s">
        <v>804</v>
      </c>
      <c r="X7" s="1"/>
      <c r="Y7" s="381" t="s">
        <v>804</v>
      </c>
      <c r="Z7" s="1"/>
      <c r="AA7" s="1"/>
      <c r="AB7" s="655"/>
      <c r="AC7" s="1"/>
      <c r="AD7" s="116"/>
      <c r="AE7" s="381" t="s">
        <v>804</v>
      </c>
      <c r="AI7" s="381" t="s">
        <v>804</v>
      </c>
      <c r="AL7" s="655"/>
      <c r="AM7" s="1"/>
      <c r="AN7" s="381" t="s">
        <v>804</v>
      </c>
      <c r="AQ7" s="381" t="s">
        <v>804</v>
      </c>
      <c r="AT7" s="1"/>
      <c r="AU7" s="381" t="s">
        <v>804</v>
      </c>
      <c r="AV7" s="1"/>
      <c r="AW7" s="1"/>
      <c r="AX7" s="1"/>
      <c r="AY7" s="1"/>
      <c r="AZ7" s="381" t="s">
        <v>804</v>
      </c>
      <c r="BA7" s="1"/>
      <c r="BB7" s="1"/>
      <c r="BC7" s="1"/>
      <c r="BD7" s="381" t="s">
        <v>804</v>
      </c>
      <c r="BE7" s="1"/>
      <c r="BF7" s="1"/>
      <c r="BG7" s="1"/>
      <c r="BH7" s="1"/>
      <c r="BI7" s="381" t="s">
        <v>804</v>
      </c>
      <c r="BJ7" s="1"/>
      <c r="BK7" s="1"/>
      <c r="BL7" s="1"/>
      <c r="BM7" s="43"/>
      <c r="BN7" s="116"/>
      <c r="BO7" s="381" t="s">
        <v>804</v>
      </c>
      <c r="BS7" s="381" t="s">
        <v>804</v>
      </c>
      <c r="BW7" s="381" t="s">
        <v>804</v>
      </c>
      <c r="BX7" s="381"/>
      <c r="BY7" s="1"/>
      <c r="BZ7" s="655"/>
      <c r="CB7" s="656"/>
      <c r="CC7" s="381" t="s">
        <v>804</v>
      </c>
      <c r="CF7" s="1"/>
      <c r="CG7" s="381" t="s">
        <v>804</v>
      </c>
      <c r="CJ7" s="1"/>
      <c r="CK7" s="381" t="s">
        <v>804</v>
      </c>
      <c r="CO7" s="381" t="s">
        <v>804</v>
      </c>
      <c r="CR7" s="305"/>
      <c r="CT7" s="116"/>
      <c r="CU7" s="381" t="s">
        <v>804</v>
      </c>
      <c r="CY7" s="381" t="s">
        <v>804</v>
      </c>
      <c r="CZ7" s="381"/>
      <c r="DB7" s="1"/>
      <c r="DC7" s="381" t="s">
        <v>804</v>
      </c>
      <c r="DG7" s="381" t="s">
        <v>804</v>
      </c>
      <c r="DH7" s="381"/>
      <c r="DJ7" s="655"/>
      <c r="DL7" s="116"/>
      <c r="DM7" s="381" t="s">
        <v>804</v>
      </c>
      <c r="DR7" s="381" t="s">
        <v>804</v>
      </c>
      <c r="DW7" s="381" t="s">
        <v>804</v>
      </c>
    </row>
    <row r="8" spans="1:130" ht="14.4" x14ac:dyDescent="0.3">
      <c r="B8" s="116"/>
      <c r="C8" s="354" t="s">
        <v>272</v>
      </c>
      <c r="D8" s="671" t="s">
        <v>806</v>
      </c>
      <c r="E8" s="671" t="s">
        <v>46</v>
      </c>
      <c r="F8" s="671" t="s">
        <v>1489</v>
      </c>
      <c r="G8" s="671" t="s">
        <v>1490</v>
      </c>
      <c r="H8" s="671" t="s">
        <v>854</v>
      </c>
      <c r="I8" s="672"/>
      <c r="K8" s="116"/>
      <c r="L8" s="354" t="s">
        <v>272</v>
      </c>
      <c r="M8" s="355" t="s">
        <v>852</v>
      </c>
      <c r="N8" s="355" t="s">
        <v>1037</v>
      </c>
      <c r="O8" s="355" t="s">
        <v>897</v>
      </c>
      <c r="Q8" s="673" t="s">
        <v>272</v>
      </c>
      <c r="R8" s="671" t="s">
        <v>805</v>
      </c>
      <c r="S8" s="671" t="s">
        <v>867</v>
      </c>
      <c r="U8" s="354" t="s">
        <v>272</v>
      </c>
      <c r="V8" s="674" t="s">
        <v>806</v>
      </c>
      <c r="W8" s="674" t="s">
        <v>854</v>
      </c>
      <c r="X8" s="426"/>
      <c r="Y8" s="354" t="s">
        <v>272</v>
      </c>
      <c r="Z8" s="674" t="s">
        <v>1490</v>
      </c>
      <c r="AA8" s="426"/>
      <c r="AB8" s="675"/>
      <c r="AC8" s="1"/>
      <c r="AD8" s="116"/>
      <c r="AE8" s="334" t="s">
        <v>272</v>
      </c>
      <c r="AF8" s="209" t="s">
        <v>805</v>
      </c>
      <c r="AG8" s="209" t="s">
        <v>854</v>
      </c>
      <c r="AI8" s="334" t="s">
        <v>272</v>
      </c>
      <c r="AJ8" s="209" t="s">
        <v>806</v>
      </c>
      <c r="AK8" s="371" t="s">
        <v>1491</v>
      </c>
      <c r="AL8" s="676"/>
      <c r="AM8" s="677"/>
      <c r="AN8" s="371" t="s">
        <v>272</v>
      </c>
      <c r="AO8" s="371" t="s">
        <v>805</v>
      </c>
      <c r="AQ8" s="371" t="s">
        <v>272</v>
      </c>
      <c r="AR8" s="678" t="s">
        <v>806</v>
      </c>
      <c r="AS8" s="679" t="s">
        <v>854</v>
      </c>
      <c r="AT8" s="677"/>
      <c r="AU8" s="371" t="s">
        <v>272</v>
      </c>
      <c r="AV8" s="371" t="s">
        <v>805</v>
      </c>
      <c r="AW8" s="678" t="s">
        <v>806</v>
      </c>
      <c r="AX8" s="679" t="s">
        <v>854</v>
      </c>
      <c r="AY8" s="1"/>
      <c r="AZ8" s="371" t="s">
        <v>272</v>
      </c>
      <c r="BA8" s="955" t="s">
        <v>1038</v>
      </c>
      <c r="BB8" s="955" t="s">
        <v>46</v>
      </c>
      <c r="BC8" s="681"/>
      <c r="BD8" s="682" t="s">
        <v>272</v>
      </c>
      <c r="BE8" s="682" t="s">
        <v>805</v>
      </c>
      <c r="BF8" s="683" t="s">
        <v>806</v>
      </c>
      <c r="BG8" s="684" t="s">
        <v>854</v>
      </c>
      <c r="BH8" s="681"/>
      <c r="BI8" s="682" t="s">
        <v>272</v>
      </c>
      <c r="BJ8" s="685" t="s">
        <v>1038</v>
      </c>
      <c r="BK8" s="685" t="s">
        <v>46</v>
      </c>
      <c r="BL8" s="677"/>
      <c r="BM8" s="43"/>
      <c r="BN8" s="116"/>
      <c r="BO8" s="334" t="s">
        <v>272</v>
      </c>
      <c r="BP8" s="371" t="s">
        <v>46</v>
      </c>
      <c r="BQ8" s="680" t="s">
        <v>1038</v>
      </c>
      <c r="BS8" s="334" t="s">
        <v>272</v>
      </c>
      <c r="BT8" s="678" t="s">
        <v>805</v>
      </c>
      <c r="BU8" s="678" t="s">
        <v>854</v>
      </c>
      <c r="BW8" s="334" t="s">
        <v>272</v>
      </c>
      <c r="BX8" s="678" t="s">
        <v>806</v>
      </c>
      <c r="BY8" s="678" t="s">
        <v>1491</v>
      </c>
      <c r="BZ8" s="686"/>
      <c r="CB8" s="687"/>
      <c r="CC8" s="688" t="s">
        <v>272</v>
      </c>
      <c r="CD8" s="689" t="s">
        <v>805</v>
      </c>
      <c r="CE8" s="688" t="s">
        <v>973</v>
      </c>
      <c r="CF8" s="677"/>
      <c r="CG8" s="690" t="s">
        <v>272</v>
      </c>
      <c r="CH8" s="689" t="s">
        <v>806</v>
      </c>
      <c r="CI8" s="691" t="s">
        <v>854</v>
      </c>
      <c r="CJ8" s="677"/>
      <c r="CK8" s="371" t="s">
        <v>272</v>
      </c>
      <c r="CL8" s="678" t="s">
        <v>805</v>
      </c>
      <c r="CM8" s="371" t="s">
        <v>973</v>
      </c>
      <c r="CO8" s="334" t="s">
        <v>272</v>
      </c>
      <c r="CP8" s="678" t="s">
        <v>806</v>
      </c>
      <c r="CQ8" s="372" t="s">
        <v>854</v>
      </c>
      <c r="CR8" s="305"/>
      <c r="CT8" s="116"/>
      <c r="CU8" s="692" t="s">
        <v>272</v>
      </c>
      <c r="CV8" s="683" t="s">
        <v>805</v>
      </c>
      <c r="CW8" s="677"/>
      <c r="CY8" s="692" t="s">
        <v>272</v>
      </c>
      <c r="CZ8" s="683" t="s">
        <v>806</v>
      </c>
      <c r="DA8" s="684" t="s">
        <v>854</v>
      </c>
      <c r="DB8" s="693"/>
      <c r="DC8" s="334" t="s">
        <v>272</v>
      </c>
      <c r="DD8" s="678" t="s">
        <v>805</v>
      </c>
      <c r="DE8" s="677"/>
      <c r="DG8" s="334" t="s">
        <v>272</v>
      </c>
      <c r="DH8" s="678" t="s">
        <v>806</v>
      </c>
      <c r="DI8" s="679" t="s">
        <v>854</v>
      </c>
      <c r="DJ8" s="694"/>
      <c r="DL8" s="116"/>
      <c r="DM8" s="334" t="s">
        <v>272</v>
      </c>
      <c r="DN8" s="678" t="s">
        <v>805</v>
      </c>
      <c r="DO8" s="678" t="s">
        <v>806</v>
      </c>
      <c r="DP8" s="371" t="s">
        <v>854</v>
      </c>
      <c r="DR8" s="334" t="s">
        <v>272</v>
      </c>
      <c r="DS8" s="678" t="s">
        <v>805</v>
      </c>
      <c r="DT8" s="678" t="s">
        <v>806</v>
      </c>
      <c r="DU8" s="371" t="s">
        <v>854</v>
      </c>
      <c r="DW8" s="334" t="s">
        <v>272</v>
      </c>
      <c r="DX8" s="678" t="s">
        <v>805</v>
      </c>
      <c r="DY8" s="678" t="s">
        <v>806</v>
      </c>
      <c r="DZ8" s="371" t="s">
        <v>854</v>
      </c>
    </row>
    <row r="9" spans="1:130" ht="14.4" x14ac:dyDescent="0.3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897</v>
      </c>
      <c r="F9" s="402">
        <f t="array" ref="F9:F15">+'5. Data'!AB99:AB105</f>
        <v>266.73883552000007</v>
      </c>
      <c r="G9" s="695">
        <v>1</v>
      </c>
      <c r="H9" s="295">
        <v>1</v>
      </c>
      <c r="I9" s="696"/>
      <c r="K9" s="116"/>
      <c r="L9" s="214" t="str">
        <f>+PROCESS!N24</f>
        <v>PROF-CAM1</v>
      </c>
      <c r="M9" s="214" t="s">
        <v>1038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+COMM!D53:D59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+PROCESS!N44:N50</f>
        <v>SEP-CAM1</v>
      </c>
      <c r="AF9" s="12" t="str">
        <f t="array" ref="AF9:AF15">+COMM!D53:D59</f>
        <v>FLU-CAM1</v>
      </c>
      <c r="AG9" s="228">
        <v>1</v>
      </c>
      <c r="AI9" s="12" t="str">
        <f t="shared" ref="AI9:AI10" si="0">+AE9</f>
        <v>SEP-CAM1</v>
      </c>
      <c r="AJ9" s="12" t="s">
        <v>1492</v>
      </c>
      <c r="AK9" s="11">
        <f>+('5. Data'!O99-'5. Data'!S99)/('5. Data'!AH99-'5. Data'!S99)</f>
        <v>1</v>
      </c>
      <c r="AL9" s="701"/>
      <c r="AM9" s="19"/>
      <c r="AN9" s="12" t="str" cm="1">
        <f t="array" ref="AN9:AN15">PROCESS!N92:N98</f>
        <v>FTE-FUEL-DSL-CAM1</v>
      </c>
      <c r="AO9" s="931" t="s">
        <v>14</v>
      </c>
      <c r="AP9" s="228"/>
      <c r="AQ9" s="228" t="str">
        <f>AN9</f>
        <v>FTE-FUEL-DSL-CAM1</v>
      </c>
      <c r="AR9" s="12" t="str" cm="1">
        <f t="array" ref="AR9:AR15">COMM!D87:D93</f>
        <v>FUEL-DSL-CAM1</v>
      </c>
      <c r="AS9" s="228">
        <v>1</v>
      </c>
      <c r="AT9" s="19"/>
      <c r="AU9" s="930" t="str">
        <f t="array" ref="AU9:AU11">+PROCESS!N107:N109</f>
        <v>AUTO-GAS-CAM1</v>
      </c>
      <c r="AV9" s="716" t="str">
        <f>AR24</f>
        <v>FUEL-GAS-CAM1</v>
      </c>
      <c r="AW9" s="930" t="str">
        <f>+COMM!D63</f>
        <v>ELC-CAM1</v>
      </c>
      <c r="AX9" s="322">
        <f t="array" ref="AX9:AX11">+TRANSPOSE('5. Data'!U208:W208)</f>
        <v>0.35</v>
      </c>
      <c r="AY9" s="370"/>
      <c r="AZ9" s="19" t="str" cm="1">
        <f t="array" ref="AZ9:AZ30">AU9:AU30</f>
        <v>AUTO-GAS-CAM1</v>
      </c>
      <c r="BA9" s="220"/>
      <c r="BB9" s="19" t="s">
        <v>897</v>
      </c>
      <c r="BC9" s="19"/>
      <c r="BD9" s="19" t="str">
        <f>+PROCESS!N134</f>
        <v>AUTO-COL-GAS-CAM1</v>
      </c>
      <c r="BE9" s="19" t="str">
        <f>AV9</f>
        <v>FUEL-GAS-CAM1</v>
      </c>
      <c r="BF9" s="19" t="str">
        <f>+COMM!D98</f>
        <v>ELC-COL-CAM1</v>
      </c>
      <c r="BG9" s="19">
        <f t="array" ref="BG9:BG11">+TRANSPOSE('5. Data'!U220:W220)</f>
        <v>0.35</v>
      </c>
      <c r="BH9" s="19"/>
      <c r="BI9" s="19" t="str">
        <f>BD9</f>
        <v>AUTO-COL-GAS-CAM1</v>
      </c>
      <c r="BJ9" s="703"/>
      <c r="BK9" s="19" t="s">
        <v>897</v>
      </c>
      <c r="BL9" s="19"/>
      <c r="BM9" s="43"/>
      <c r="BN9" s="116"/>
      <c r="BO9" s="14" t="str" cm="1">
        <f t="array" ref="BO9:BO15">+PROCESS!N54:N60</f>
        <v>PLT-CAM1</v>
      </c>
      <c r="BP9" s="14" t="s">
        <v>897</v>
      </c>
      <c r="BQ9" s="402">
        <f t="array" ref="BQ9:BQ15">+'5. Data'!S156:S162</f>
        <v>0</v>
      </c>
      <c r="BS9" s="12" t="str" cm="1">
        <f t="array" ref="BS9:BS15">+BO9:BO15</f>
        <v>PLT-CAM1</v>
      </c>
      <c r="BT9" s="11" t="s">
        <v>1492</v>
      </c>
      <c r="BU9" s="228">
        <v>1</v>
      </c>
      <c r="BW9" s="228" t="str">
        <f>+BO9</f>
        <v>PLT-CAM1</v>
      </c>
      <c r="BX9" s="228" t="str">
        <f>+COMM!D43</f>
        <v>GAS-plt-CAM1</v>
      </c>
      <c r="BY9" s="295">
        <f>100%-BY10</f>
        <v>1</v>
      </c>
      <c r="BZ9" s="704"/>
      <c r="CB9" s="705"/>
      <c r="CC9" s="12" t="str">
        <f>+PROCESS!N80</f>
        <v>COLELC-LOIL-CAM2</v>
      </c>
      <c r="CD9" s="12" t="s">
        <v>127</v>
      </c>
      <c r="CE9" s="706">
        <f>+CI9</f>
        <v>0.99789444272584837</v>
      </c>
      <c r="CF9" s="309"/>
      <c r="CG9" s="309" t="str">
        <f>+CC9</f>
        <v>COLELC-LOIL-CAM2</v>
      </c>
      <c r="CH9" s="309" t="str">
        <f t="shared" ref="CH9:CH13" si="1">+CP9</f>
        <v>LOIL</v>
      </c>
      <c r="CI9" s="698">
        <f>1/(1+'5. Data'!Y184)</f>
        <v>0.99789444272584837</v>
      </c>
      <c r="CJ9" s="309"/>
      <c r="CK9" s="12" t="str">
        <f>+PROCESS!N75</f>
        <v>COLFUEL-LOIL-CAM2</v>
      </c>
      <c r="CL9" s="12" t="s">
        <v>127</v>
      </c>
      <c r="CM9" s="706">
        <f>+CQ9</f>
        <v>0.99790440075840736</v>
      </c>
      <c r="CO9" s="12" t="str">
        <f>+CK9</f>
        <v>COLFUEL-LOIL-CAM2</v>
      </c>
      <c r="CP9" s="12" t="s">
        <v>13</v>
      </c>
      <c r="CQ9" s="266">
        <f>1/(1+'5. Data'!U184)</f>
        <v>0.99790440075840736</v>
      </c>
      <c r="CR9" s="305"/>
      <c r="CT9" s="116"/>
      <c r="CU9" s="12" t="str">
        <f>+CY9</f>
        <v>COLELC-GAS-CAM1</v>
      </c>
      <c r="CV9" s="12" t="s">
        <v>1492</v>
      </c>
      <c r="CW9" s="228"/>
      <c r="CY9" s="214" t="str">
        <f>+(PROCESS!N68)</f>
        <v>COLELC-GAS-CAM1</v>
      </c>
      <c r="CZ9" s="12" t="s">
        <v>7</v>
      </c>
      <c r="DA9" s="313">
        <v>0.98873167284455521</v>
      </c>
      <c r="DB9" s="707"/>
      <c r="DC9" s="12" t="str">
        <f>+DG9</f>
        <v>COLFUEL-GAS-CAM1</v>
      </c>
      <c r="DD9" s="12" t="s">
        <v>1492</v>
      </c>
      <c r="DE9" s="228"/>
      <c r="DG9" s="214" t="str">
        <f t="array" ref="DG9:DG15">+PROCESS!N61:N67</f>
        <v>COLFUEL-GAS-CAM1</v>
      </c>
      <c r="DH9" s="12" t="s">
        <v>7</v>
      </c>
      <c r="DI9" s="313">
        <f t="shared" ref="DI9:DI15" si="2">100%-DE26</f>
        <v>0.99790440075840736</v>
      </c>
      <c r="DJ9" s="708"/>
      <c r="DL9" s="116"/>
      <c r="DM9" s="12" t="str">
        <f>PROCESS!N166</f>
        <v>COMPRA-ELC-CAM1</v>
      </c>
      <c r="DN9" s="12" t="str">
        <f>+'1. EXP_IMP'!$K$67</f>
        <v>ELC-SIN</v>
      </c>
      <c r="DO9" s="11" t="str">
        <f>+AW9</f>
        <v>ELC-CAM1</v>
      </c>
      <c r="DP9" s="292">
        <v>1</v>
      </c>
      <c r="DR9" s="12" t="str">
        <f>PROCESS!N174</f>
        <v>COMPRA-ELC-COLO-CAM1</v>
      </c>
      <c r="DS9" s="14" t="str">
        <f>'1. EXP_IMP'!$K$69</f>
        <v>ELC-SIN-TRA</v>
      </c>
      <c r="DT9" s="11" t="str">
        <f>COMM!D106</f>
        <v>ELC-O-COL-CAM1</v>
      </c>
      <c r="DU9" s="292">
        <v>1</v>
      </c>
      <c r="DW9" s="12" t="str">
        <f>DW22</f>
        <v>COMPRA-ELC-COLG-CAM1</v>
      </c>
      <c r="DX9" s="14" t="str">
        <f>DS9</f>
        <v>ELC-SIN-TRA</v>
      </c>
      <c r="DY9" s="11" t="str">
        <f>COMM!D114</f>
        <v>ELC-G-COL-CAM1</v>
      </c>
      <c r="DZ9" s="292">
        <v>1</v>
      </c>
    </row>
    <row r="10" spans="1:130" ht="14.4" x14ac:dyDescent="0.3">
      <c r="B10" s="116"/>
      <c r="C10" s="14" t="str">
        <v>MIN-CAM2</v>
      </c>
      <c r="D10" s="14" t="str">
        <v>R-CAM2</v>
      </c>
      <c r="E10" s="214" t="s">
        <v>897</v>
      </c>
      <c r="F10" s="402">
        <v>2159.2322362664527</v>
      </c>
      <c r="G10" s="695">
        <v>1</v>
      </c>
      <c r="H10" s="295">
        <v>1</v>
      </c>
      <c r="I10" s="696"/>
      <c r="K10" s="116"/>
      <c r="L10" s="214"/>
      <c r="M10" s="214" t="s">
        <v>1038</v>
      </c>
      <c r="N10" s="214">
        <v>2020</v>
      </c>
      <c r="O10" s="287">
        <v>55.42289382660443</v>
      </c>
      <c r="Q10" s="18"/>
      <c r="R10" s="18" t="str">
        <f>+COMM!D63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0.98095962613978183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0"/>
        <v>SEP-CAM2</v>
      </c>
      <c r="AJ10" s="12" t="s">
        <v>89</v>
      </c>
      <c r="AK10" s="11">
        <f>+('5. Data'!O100-'5. Data'!S100)/('5. Data'!AH100-'5. Data'!S100)</f>
        <v>0.71191268706212718</v>
      </c>
      <c r="AL10" s="701"/>
      <c r="AM10" s="19"/>
      <c r="AN10" s="12" t="str">
        <v>FTE-FUEL-DSL-CAM2</v>
      </c>
      <c r="AO10" s="931" t="s">
        <v>14</v>
      </c>
      <c r="AP10" s="228"/>
      <c r="AQ10" s="228" t="str">
        <f t="shared" ref="AQ10:AQ23" si="3">AN10</f>
        <v>FTE-FUEL-DSL-CAM2</v>
      </c>
      <c r="AR10" s="12" t="str">
        <v>FUEL-DSL-CAM2</v>
      </c>
      <c r="AS10" s="228">
        <v>1</v>
      </c>
      <c r="AT10" s="19"/>
      <c r="AU10" s="930" t="str">
        <v>AUTO-OIL-CAM1</v>
      </c>
      <c r="AV10" t="str">
        <f>AR16</f>
        <v>FUEL-OIL-CAM1</v>
      </c>
      <c r="AW10" s="930" t="str">
        <f t="shared" ref="AW10:AW11" si="4">+AW9</f>
        <v>ELC-CAM1</v>
      </c>
      <c r="AX10" s="322">
        <v>0.35</v>
      </c>
      <c r="AY10" s="370"/>
      <c r="AZ10" s="19" t="str">
        <v>AUTO-OIL-CAM1</v>
      </c>
      <c r="BA10" s="370">
        <v>0</v>
      </c>
      <c r="BB10" s="19" t="s">
        <v>897</v>
      </c>
      <c r="BC10" s="19"/>
      <c r="BD10" s="19" t="str">
        <f>+PROCESS!N135</f>
        <v>AUTO-COL-OIL-CAM1</v>
      </c>
      <c r="BE10" s="19" t="str">
        <f t="shared" ref="BE10:BE14" si="5">AV10</f>
        <v>FUEL-OIL-CAM1</v>
      </c>
      <c r="BF10" s="19" t="str">
        <f>+BF9</f>
        <v>ELC-COL-CAM1</v>
      </c>
      <c r="BG10" s="19">
        <v>0.35</v>
      </c>
      <c r="BH10" s="19"/>
      <c r="BI10" s="19" t="str">
        <f t="shared" ref="BI10:BI29" si="6">BD10</f>
        <v>AUTO-COL-OIL-CAM1</v>
      </c>
      <c r="BJ10" s="401">
        <f>+'5. Data'!AA220</f>
        <v>0</v>
      </c>
      <c r="BK10" s="19" t="s">
        <v>897</v>
      </c>
      <c r="BL10" s="19"/>
      <c r="BM10" s="43"/>
      <c r="BN10" s="116"/>
      <c r="BO10" s="14" t="str">
        <v>PLT-CAM2</v>
      </c>
      <c r="BP10" s="14" t="s">
        <v>897</v>
      </c>
      <c r="BQ10" s="402">
        <v>116.62923663655472</v>
      </c>
      <c r="BS10" t="str">
        <v>PLT-CAM2</v>
      </c>
      <c r="BT10" s="11" t="s">
        <v>89</v>
      </c>
      <c r="BU10" s="228">
        <v>1</v>
      </c>
      <c r="BW10" s="228"/>
      <c r="BX10" s="228" t="s">
        <v>22</v>
      </c>
      <c r="BY10" s="295">
        <f>+'5. Data'!R156</f>
        <v>0</v>
      </c>
      <c r="BZ10" s="704"/>
      <c r="CB10" s="705"/>
      <c r="CD10" s="957" t="str">
        <f>DT10</f>
        <v>ELC-O-COL-CAM2</v>
      </c>
      <c r="CE10" s="706">
        <f>100%-CE9</f>
        <v>2.105557274151626E-3</v>
      </c>
      <c r="CF10" s="309"/>
      <c r="CG10" s="309" t="str">
        <f>+CC11</f>
        <v>COLELC-HOIL-CAM3</v>
      </c>
      <c r="CH10" s="309" t="str">
        <f t="shared" si="1"/>
        <v>HOIL</v>
      </c>
      <c r="CI10" s="698">
        <f>1/(1+'5. Data'!Y185)</f>
        <v>0.99789444272584837</v>
      </c>
      <c r="CJ10" s="309"/>
      <c r="CL10" s="957" t="str">
        <f>BF12</f>
        <v>ELC-COL-CAM2</v>
      </c>
      <c r="CM10" s="706">
        <f>100%-CM9</f>
        <v>2.0955992415926383E-3</v>
      </c>
      <c r="CO10" s="12" t="str">
        <f>+CK11</f>
        <v>COLFUEL-HOIL-CAM3</v>
      </c>
      <c r="CP10" s="12" t="s">
        <v>21</v>
      </c>
      <c r="CQ10" s="266">
        <f>1/(1+'5. Data'!U185)</f>
        <v>0.99790440075840736</v>
      </c>
      <c r="CR10" s="305"/>
      <c r="CT10" s="116"/>
      <c r="CV10" s="11" t="s">
        <v>1493</v>
      </c>
      <c r="CW10" s="228"/>
      <c r="CY10" s="214" t="str">
        <f>+(PROCESS!N69)</f>
        <v>COLELC-GAS-CAM2</v>
      </c>
      <c r="CZ10" s="12" t="s">
        <v>7</v>
      </c>
      <c r="DA10" s="313">
        <v>0.9887316728445551</v>
      </c>
      <c r="DB10" s="707"/>
      <c r="DD10" s="11" t="str">
        <f>+BX9</f>
        <v>GAS-plt-CAM1</v>
      </c>
      <c r="DE10" s="228"/>
      <c r="DG10" s="214" t="str">
        <v>COLFUEL-GAS-CAM2</v>
      </c>
      <c r="DH10" s="12" t="s">
        <v>7</v>
      </c>
      <c r="DI10" s="313">
        <f>100%-DE27</f>
        <v>0.99790440075840736</v>
      </c>
      <c r="DJ10" s="708"/>
      <c r="DL10" s="116"/>
      <c r="DM10" s="12" t="str">
        <f>PROCESS!N168</f>
        <v>COMPRA-ELC-CAM2</v>
      </c>
      <c r="DN10" s="12" t="str">
        <f>+'1. EXP_IMP'!$K$67</f>
        <v>ELC-SIN</v>
      </c>
      <c r="DO10" s="12" t="str">
        <f>COMM!D64</f>
        <v>ELC-CAM2</v>
      </c>
      <c r="DP10" s="292">
        <v>1</v>
      </c>
      <c r="DR10" s="12" t="str">
        <f>PROCESS!N176</f>
        <v>COMPRA-ELC-COLO-CAM2</v>
      </c>
      <c r="DS10" s="14" t="str">
        <f>'1. EXP_IMP'!$K$69</f>
        <v>ELC-SIN-TRA</v>
      </c>
      <c r="DT10" s="11" t="str">
        <f>COMM!D108</f>
        <v>ELC-O-COL-CAM2</v>
      </c>
      <c r="DU10" s="292">
        <v>1</v>
      </c>
      <c r="DW10" s="12" t="str">
        <f t="shared" ref="DW10:DW15" si="7">DW23</f>
        <v>COMPRA-ELC-COLG-CAM2</v>
      </c>
      <c r="DX10" s="14" t="str">
        <f t="shared" ref="DX10:DX15" si="8">DS10</f>
        <v>ELC-SIN-TRA</v>
      </c>
      <c r="DY10" s="11" t="str">
        <f>COMM!D116</f>
        <v>ELC-G-COL-CAM2</v>
      </c>
      <c r="DZ10" s="292">
        <v>1</v>
      </c>
    </row>
    <row r="11" spans="1:130" ht="14.4" x14ac:dyDescent="0.3">
      <c r="B11" s="116"/>
      <c r="C11" s="14" t="str">
        <v>MIN-CAM3</v>
      </c>
      <c r="D11" s="14" t="str">
        <v>R-CAM3</v>
      </c>
      <c r="E11" s="214" t="s">
        <v>897</v>
      </c>
      <c r="F11" s="402">
        <v>6496.7121983715815</v>
      </c>
      <c r="G11" s="695">
        <v>1</v>
      </c>
      <c r="H11" s="295">
        <v>1</v>
      </c>
      <c r="I11" s="696"/>
      <c r="K11" s="116"/>
      <c r="L11" s="214"/>
      <c r="M11" s="214" t="s">
        <v>1038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0.28808731293787282</v>
      </c>
      <c r="AL11" s="701"/>
      <c r="AM11" s="19"/>
      <c r="AN11" s="12" t="str">
        <v>FTE-FUEL-DSL-CAM3</v>
      </c>
      <c r="AO11" s="931" t="s">
        <v>14</v>
      </c>
      <c r="AP11" s="228"/>
      <c r="AQ11" s="228" t="str">
        <f t="shared" si="3"/>
        <v>FTE-FUEL-DSL-CAM3</v>
      </c>
      <c r="AR11" s="12" t="str">
        <v>FUEL-DSL-CAM3</v>
      </c>
      <c r="AS11" s="228">
        <v>1</v>
      </c>
      <c r="AT11" s="19"/>
      <c r="AU11" s="930" t="str">
        <v>AUTO-DSL-CAM1</v>
      </c>
      <c r="AV11" t="str">
        <f>AR9</f>
        <v>FUEL-DSL-CAM1</v>
      </c>
      <c r="AW11" s="930" t="str">
        <f t="shared" si="4"/>
        <v>ELC-CAM1</v>
      </c>
      <c r="AX11" s="322">
        <v>0.35</v>
      </c>
      <c r="AY11" s="370"/>
      <c r="AZ11" s="19" t="str">
        <v>AUTO-DSL-CAM1</v>
      </c>
      <c r="BA11" s="953">
        <v>0</v>
      </c>
      <c r="BB11" s="19" t="s">
        <v>897</v>
      </c>
      <c r="BC11" s="19"/>
      <c r="BD11" s="19" t="str">
        <f>+PROCESS!N136</f>
        <v>AUTO-COL-DSL-CAM1</v>
      </c>
      <c r="BE11" s="19" t="str">
        <f t="shared" si="5"/>
        <v>FUEL-DSL-CAM1</v>
      </c>
      <c r="BF11" s="19" t="str">
        <f>+BF9</f>
        <v>ELC-COL-CAM1</v>
      </c>
      <c r="BG11" s="19">
        <v>0.35</v>
      </c>
      <c r="BH11" s="19"/>
      <c r="BI11" s="19" t="str">
        <f t="shared" si="6"/>
        <v>AUTO-COL-DSL-CAM1</v>
      </c>
      <c r="BJ11" s="401">
        <f>+'5. Data'!AB220</f>
        <v>0</v>
      </c>
      <c r="BK11" s="19" t="s">
        <v>897</v>
      </c>
      <c r="BL11" s="19"/>
      <c r="BM11" s="43"/>
      <c r="BN11" s="116"/>
      <c r="BO11" s="14" t="str">
        <v>PLT-CAM3</v>
      </c>
      <c r="BP11" s="14" t="s">
        <v>897</v>
      </c>
      <c r="BQ11" s="402">
        <v>2.6279610232633126</v>
      </c>
      <c r="BS11" t="str">
        <v>PLT-CAM3</v>
      </c>
      <c r="BT11" s="11" t="s">
        <v>96</v>
      </c>
      <c r="BU11" s="228">
        <v>1</v>
      </c>
      <c r="BW11" s="709" t="str">
        <f>+BO10</f>
        <v>PLT-CAM2</v>
      </c>
      <c r="BX11" s="228" t="str">
        <f>+COMM!D44</f>
        <v>GAS-plt-CAM2</v>
      </c>
      <c r="BY11" s="295">
        <f>100%-BY12</f>
        <v>0.81212301636928097</v>
      </c>
      <c r="BZ11" s="704"/>
      <c r="CB11" s="705"/>
      <c r="CC11" s="12" t="str">
        <f>+PROCESS!N81</f>
        <v>COLELC-HOIL-CAM3</v>
      </c>
      <c r="CD11" s="12" t="s">
        <v>141</v>
      </c>
      <c r="CE11" s="706">
        <f>+CI10</f>
        <v>0.99789444272584837</v>
      </c>
      <c r="CF11" s="309"/>
      <c r="CG11" s="309" t="str">
        <f>+CC13</f>
        <v>COLELC-LOIL-CAM4</v>
      </c>
      <c r="CH11" s="309" t="str">
        <f t="shared" si="1"/>
        <v>LOIL</v>
      </c>
      <c r="CI11" s="698">
        <f>1/(1+'5. Data'!Y186)</f>
        <v>0.99789444272584837</v>
      </c>
      <c r="CJ11" s="309"/>
      <c r="CK11" s="12" t="str">
        <f>+PROCESS!N76</f>
        <v>COLFUEL-HOIL-CAM3</v>
      </c>
      <c r="CL11" s="12" t="s">
        <v>141</v>
      </c>
      <c r="CM11" s="706">
        <f>+CQ10</f>
        <v>0.99790440075840736</v>
      </c>
      <c r="CO11" s="12" t="str">
        <f>+CK13</f>
        <v>COLFUEL-LOIL-CAM4</v>
      </c>
      <c r="CP11" s="12" t="s">
        <v>13</v>
      </c>
      <c r="CQ11" s="266">
        <f>1/(1+'5. Data'!U186)</f>
        <v>0.99790440075840736</v>
      </c>
      <c r="CR11" s="305"/>
      <c r="CT11" s="116"/>
      <c r="CU11" s="12" t="str">
        <f>+CY10</f>
        <v>COLELC-GAS-CAM2</v>
      </c>
      <c r="CV11" s="12" t="s">
        <v>89</v>
      </c>
      <c r="CW11" s="228"/>
      <c r="CY11" s="214" t="str">
        <f>+(PROCESS!N70)</f>
        <v>COLELC-GAS-CAM3</v>
      </c>
      <c r="CZ11" s="12" t="s">
        <v>7</v>
      </c>
      <c r="DA11" s="313">
        <v>0.98873167284455521</v>
      </c>
      <c r="DB11" s="707"/>
      <c r="DC11" s="12" t="str">
        <f>+DG10</f>
        <v>COLFUEL-GAS-CAM2</v>
      </c>
      <c r="DD11" s="12" t="s">
        <v>89</v>
      </c>
      <c r="DE11" s="228"/>
      <c r="DG11" s="214" t="str">
        <v>COLFUEL-GAS-CAM3</v>
      </c>
      <c r="DH11" s="12" t="s">
        <v>7</v>
      </c>
      <c r="DI11" s="313">
        <f t="shared" si="2"/>
        <v>0.99790440075840736</v>
      </c>
      <c r="DJ11" s="708"/>
      <c r="DL11" s="116"/>
      <c r="DM11" s="12" t="str">
        <f>PROCESS!N169</f>
        <v>COMPRA-ELC-CAM3</v>
      </c>
      <c r="DN11" s="12" t="str">
        <f>+'1. EXP_IMP'!$K$67</f>
        <v>ELC-SIN</v>
      </c>
      <c r="DO11" s="12" t="str">
        <f>COMM!D65</f>
        <v>ELC-CAM3</v>
      </c>
      <c r="DP11" s="292">
        <v>1</v>
      </c>
      <c r="DR11" s="12" t="str">
        <f>PROCESS!N177</f>
        <v>COMPRA-ELC-COLO-CAM3</v>
      </c>
      <c r="DS11" s="14" t="str">
        <f>'1. EXP_IMP'!$K$69</f>
        <v>ELC-SIN-TRA</v>
      </c>
      <c r="DT11" s="11" t="str">
        <f>COMM!D109</f>
        <v>ELC-O-COL-CAM3</v>
      </c>
      <c r="DU11" s="292">
        <v>1</v>
      </c>
      <c r="DW11" s="12" t="str">
        <f t="shared" si="7"/>
        <v>COMPRA-ELC-COLG-CAM3</v>
      </c>
      <c r="DX11" s="14" t="str">
        <f t="shared" si="8"/>
        <v>ELC-SIN-TRA</v>
      </c>
      <c r="DY11" s="11" t="str">
        <f>COMM!D117</f>
        <v>ELC-G-COL-CAM3</v>
      </c>
      <c r="DZ11" s="292">
        <v>1</v>
      </c>
    </row>
    <row r="12" spans="1:130" ht="14.4" x14ac:dyDescent="0.3">
      <c r="B12" s="116"/>
      <c r="C12" s="14" t="str">
        <v>MIN-CAM4</v>
      </c>
      <c r="D12" s="14" t="str">
        <v>R-CAM4</v>
      </c>
      <c r="E12" s="214" t="s">
        <v>897</v>
      </c>
      <c r="F12" s="402">
        <v>44.660401360000002</v>
      </c>
      <c r="G12" s="695">
        <v>1</v>
      </c>
      <c r="H12" s="295">
        <v>1</v>
      </c>
      <c r="I12" s="696"/>
      <c r="K12" s="116"/>
      <c r="L12" s="214"/>
      <c r="M12" s="214" t="s">
        <v>1038</v>
      </c>
      <c r="N12" s="214">
        <v>2025</v>
      </c>
      <c r="O12" s="287">
        <v>38.921861734744084</v>
      </c>
      <c r="Q12" s="18"/>
      <c r="R12" s="18" t="str">
        <f>+DO10</f>
        <v>ELC-CAM2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FTE-FUEL-DSL-CAM4</v>
      </c>
      <c r="AO12" s="931" t="s">
        <v>14</v>
      </c>
      <c r="AP12" s="228"/>
      <c r="AQ12" s="228" t="str">
        <f t="shared" si="3"/>
        <v>FTE-FUEL-DSL-CAM4</v>
      </c>
      <c r="AR12" s="12" t="str">
        <v>FUEL-DSL-CAM4</v>
      </c>
      <c r="AS12" s="228">
        <v>1</v>
      </c>
      <c r="AT12" s="698"/>
      <c r="AU12" t="str">
        <f>PROCESS!N114</f>
        <v>AUTO-GAS-CAM2</v>
      </c>
      <c r="AV12" s="716" t="str">
        <f>AR25</f>
        <v>FUEL-GAS-CAM2</v>
      </c>
      <c r="AW12" t="str">
        <f>COMM!$D$64</f>
        <v>ELC-CAM2</v>
      </c>
      <c r="AX12" s="952" cm="1">
        <f t="array" ref="AX12:AX15">TRANSPOSE('5. Data'!T209:W209)</f>
        <v>0.35</v>
      </c>
      <c r="AY12" s="370"/>
      <c r="AZ12" s="698" t="str">
        <v>AUTO-GAS-CAM2</v>
      </c>
      <c r="BA12" s="370" cm="1">
        <f t="array" ref="BA12:BA14">TRANSPOSE('5. Data'!AA209:AC209)</f>
        <v>4.7328116359723582</v>
      </c>
      <c r="BB12" s="19" t="s">
        <v>897</v>
      </c>
      <c r="BC12" s="19"/>
      <c r="BD12" s="19" t="str">
        <f>+PROCESS!N140</f>
        <v>AUTO-COL-GAS-CAM2</v>
      </c>
      <c r="BE12" s="19" t="str">
        <f t="shared" si="5"/>
        <v>FUEL-GAS-CAM2</v>
      </c>
      <c r="BF12" s="19" t="str">
        <f>+COMM!D100</f>
        <v>ELC-COL-CAM2</v>
      </c>
      <c r="BG12" s="841" cm="1">
        <f t="array" ref="BG12:BG14">+TRANSPOSE('5. Data'!U221:W221)</f>
        <v>0.35</v>
      </c>
      <c r="BH12" s="19"/>
      <c r="BI12" s="19" t="str">
        <f t="shared" si="6"/>
        <v>AUTO-COL-GAS-CAM2</v>
      </c>
      <c r="BJ12" s="956" cm="1">
        <f t="array" ref="BJ12:BJ14">TRANSPOSE('5. Data'!Z221:AB221)</f>
        <v>8.5591327795199984E-2</v>
      </c>
      <c r="BK12" s="19" t="s">
        <v>897</v>
      </c>
      <c r="BL12" s="698"/>
      <c r="BM12" s="43"/>
      <c r="BN12" s="116"/>
      <c r="BO12" s="14" t="str">
        <v>PLT-CAM4</v>
      </c>
      <c r="BP12" s="14" t="s">
        <v>897</v>
      </c>
      <c r="BQ12" s="402">
        <v>0</v>
      </c>
      <c r="BS12" t="str">
        <v>PLT-CAM4</v>
      </c>
      <c r="BT12" s="11" t="s">
        <v>101</v>
      </c>
      <c r="BU12" s="228">
        <v>1</v>
      </c>
      <c r="BW12" s="228"/>
      <c r="BX12" s="228" t="s">
        <v>22</v>
      </c>
      <c r="BY12" s="295">
        <f>+'5. Data'!R157</f>
        <v>0.18787698363071906</v>
      </c>
      <c r="BZ12" s="704"/>
      <c r="CB12" s="705"/>
      <c r="CD12" s="957" t="str">
        <f>DT11</f>
        <v>ELC-O-COL-CAM3</v>
      </c>
      <c r="CE12" s="706">
        <f>100%-CE11</f>
        <v>2.105557274151626E-3</v>
      </c>
      <c r="CF12" s="309"/>
      <c r="CG12" s="309" t="str">
        <f>+CC15</f>
        <v>COLELC-MOIL-CAM5</v>
      </c>
      <c r="CH12" s="309" t="str">
        <f t="shared" si="1"/>
        <v>MOIL</v>
      </c>
      <c r="CI12" s="698">
        <f>1/(1+'5. Data'!Y187)</f>
        <v>0.99789444272584837</v>
      </c>
      <c r="CJ12" s="309"/>
      <c r="CL12" s="957" t="str">
        <f>BF15</f>
        <v>ELC-COL-CAM3</v>
      </c>
      <c r="CM12" s="706">
        <f>100%-CM11</f>
        <v>2.0955992415926383E-3</v>
      </c>
      <c r="CO12" s="12" t="str">
        <f>+CK15</f>
        <v>COLFUEL-MOIL-CAM5</v>
      </c>
      <c r="CP12" s="12" t="s">
        <v>17</v>
      </c>
      <c r="CQ12" s="266">
        <f>1/(1+'5. Data'!U187)</f>
        <v>0.99790440075840736</v>
      </c>
      <c r="CR12" s="305"/>
      <c r="CT12" s="116"/>
      <c r="CV12" s="11" t="s">
        <v>142</v>
      </c>
      <c r="CW12" s="228"/>
      <c r="CY12" s="214" t="str">
        <f>+(PROCESS!N71)</f>
        <v>COLELC-GAS-CAM4</v>
      </c>
      <c r="CZ12" s="12" t="s">
        <v>7</v>
      </c>
      <c r="DA12" s="313">
        <v>0.98873167284455521</v>
      </c>
      <c r="DB12" s="707"/>
      <c r="DD12" s="11" t="str">
        <f>+BX11</f>
        <v>GAS-plt-CAM2</v>
      </c>
      <c r="DE12" s="228"/>
      <c r="DG12" s="214" t="str">
        <v>COLFUEL-GAS-CAM4</v>
      </c>
      <c r="DH12" s="12" t="s">
        <v>7</v>
      </c>
      <c r="DI12" s="313">
        <f t="shared" si="2"/>
        <v>0.99790440075840736</v>
      </c>
      <c r="DJ12" s="708"/>
      <c r="DL12" s="116"/>
      <c r="DM12" s="12" t="str">
        <f>PROCESS!N170</f>
        <v>COMPRA-ELC-CAM4</v>
      </c>
      <c r="DN12" s="12" t="str">
        <f>+'1. EXP_IMP'!$K$67</f>
        <v>ELC-SIN</v>
      </c>
      <c r="DO12" s="11" t="str">
        <f>+AW19</f>
        <v>ELC-CAM4</v>
      </c>
      <c r="DP12" s="292">
        <v>1</v>
      </c>
      <c r="DR12" s="12" t="str">
        <f>PROCESS!N178</f>
        <v>COMPRA-ELC-COLO-CAM4</v>
      </c>
      <c r="DS12" s="14" t="str">
        <f>'1. EXP_IMP'!$K$69</f>
        <v>ELC-SIN-TRA</v>
      </c>
      <c r="DT12" s="11" t="str">
        <f>COMM!D110</f>
        <v>ELC-O-COL-CAM4</v>
      </c>
      <c r="DU12" s="292">
        <v>1</v>
      </c>
      <c r="DW12" s="12" t="str">
        <f t="shared" si="7"/>
        <v>COMPRA-ELC-COLG-CAM4</v>
      </c>
      <c r="DX12" s="14" t="str">
        <f t="shared" si="8"/>
        <v>ELC-SIN-TRA</v>
      </c>
      <c r="DY12" s="11" t="str">
        <f>COMM!D118</f>
        <v>ELC-G-COL-CAM4</v>
      </c>
      <c r="DZ12" s="292">
        <v>1</v>
      </c>
    </row>
    <row r="13" spans="1:130" ht="14.4" x14ac:dyDescent="0.3">
      <c r="B13" s="116"/>
      <c r="C13" s="14" t="str">
        <v>MIN-CAM5</v>
      </c>
      <c r="D13" s="14" t="str">
        <v>R-CAM5</v>
      </c>
      <c r="E13" s="214" t="s">
        <v>897</v>
      </c>
      <c r="F13" s="402">
        <v>1058.6607668001971</v>
      </c>
      <c r="G13" s="695">
        <v>1</v>
      </c>
      <c r="H13" s="295">
        <v>1</v>
      </c>
      <c r="I13" s="696"/>
      <c r="K13" s="116"/>
      <c r="L13" s="214"/>
      <c r="M13" s="214" t="s">
        <v>1038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FTE-FUEL-DSL-CAM5</v>
      </c>
      <c r="AO13" s="931" t="s">
        <v>14</v>
      </c>
      <c r="AP13" s="228"/>
      <c r="AQ13" s="228" t="str">
        <f t="shared" si="3"/>
        <v>FTE-FUEL-DSL-CAM5</v>
      </c>
      <c r="AR13" s="12" t="str">
        <v>FUEL-DSL-CAM5</v>
      </c>
      <c r="AS13" s="228">
        <v>1</v>
      </c>
      <c r="AT13" s="19"/>
      <c r="AU13" t="str">
        <f>PROCESS!N115</f>
        <v>AUTO-OIL-CAM2</v>
      </c>
      <c r="AV13" t="str">
        <f>AR17</f>
        <v>FUEL-OIL-CAM2</v>
      </c>
      <c r="AW13" t="str">
        <f>COMM!$D$64</f>
        <v>ELC-CAM2</v>
      </c>
      <c r="AX13" s="952">
        <v>0.35</v>
      </c>
      <c r="AY13" s="370"/>
      <c r="AZ13" s="19" t="str">
        <v>AUTO-OIL-CAM2</v>
      </c>
      <c r="BA13" s="370">
        <v>1.5220623656853185</v>
      </c>
      <c r="BB13" s="19" t="s">
        <v>897</v>
      </c>
      <c r="BC13" s="19"/>
      <c r="BD13" s="19" t="str">
        <f>+PROCESS!N141</f>
        <v>AUTO-COL-OIL-CAM2</v>
      </c>
      <c r="BE13" s="19" t="str">
        <f t="shared" si="5"/>
        <v>FUEL-OIL-CAM2</v>
      </c>
      <c r="BF13" s="899" t="str">
        <f>BF12</f>
        <v>ELC-COL-CAM2</v>
      </c>
      <c r="BG13" s="841">
        <v>0.35</v>
      </c>
      <c r="BH13" s="19"/>
      <c r="BI13" s="19" t="str">
        <f t="shared" si="6"/>
        <v>AUTO-COL-OIL-CAM2</v>
      </c>
      <c r="BJ13" s="956">
        <v>0.34236531118079994</v>
      </c>
      <c r="BK13" s="19" t="s">
        <v>897</v>
      </c>
      <c r="BL13" s="19"/>
      <c r="BM13" s="43"/>
      <c r="BN13" s="116"/>
      <c r="BO13" s="14" t="str">
        <v>PLT-CAM5</v>
      </c>
      <c r="BP13" s="14" t="s">
        <v>897</v>
      </c>
      <c r="BQ13" s="402">
        <v>0</v>
      </c>
      <c r="BS13" t="str">
        <v>PLT-CAM5</v>
      </c>
      <c r="BT13" s="11" t="s">
        <v>106</v>
      </c>
      <c r="BU13" s="228">
        <v>1</v>
      </c>
      <c r="BW13" s="709" t="str">
        <f>+BO11</f>
        <v>PLT-CAM3</v>
      </c>
      <c r="BX13" s="228" t="str">
        <f>+COMM!D45</f>
        <v>GAS-plt-CAM3</v>
      </c>
      <c r="BY13" s="295">
        <f>100%-BY14</f>
        <v>0.54929708810295375</v>
      </c>
      <c r="BZ13" s="704"/>
      <c r="CB13" s="705"/>
      <c r="CC13" s="12" t="str">
        <f>+PROCESS!N82</f>
        <v>COLELC-LOIL-CAM4</v>
      </c>
      <c r="CD13" s="12" t="s">
        <v>132</v>
      </c>
      <c r="CE13" s="706">
        <f>+CI11</f>
        <v>0.99789444272584837</v>
      </c>
      <c r="CF13" s="309"/>
      <c r="CG13" s="309" t="str">
        <f>+CC17</f>
        <v>COLELC-MOIL-CAM6</v>
      </c>
      <c r="CH13" s="309" t="str">
        <f t="shared" si="1"/>
        <v>MOIL</v>
      </c>
      <c r="CI13" s="698">
        <f>1/(1+'5. Data'!Y188)</f>
        <v>0.99789444272584837</v>
      </c>
      <c r="CJ13" s="309"/>
      <c r="CK13" s="12" t="str">
        <f>+PROCESS!N77</f>
        <v>COLFUEL-LOIL-CAM4</v>
      </c>
      <c r="CL13" s="12" t="s">
        <v>132</v>
      </c>
      <c r="CM13" s="706">
        <f>+CQ11</f>
        <v>0.99790440075840736</v>
      </c>
      <c r="CO13" s="12" t="str">
        <f>+CK17</f>
        <v>COLFUEL-MOIL-CAM6</v>
      </c>
      <c r="CP13" s="12" t="s">
        <v>17</v>
      </c>
      <c r="CQ13" s="266">
        <f>1/(1+'5. Data'!U188)</f>
        <v>0.99790440075840736</v>
      </c>
      <c r="CR13" s="305"/>
      <c r="CT13" s="116"/>
      <c r="CU13" s="12" t="str">
        <f>+CY11</f>
        <v>COLELC-GAS-CAM3</v>
      </c>
      <c r="CV13" s="12" t="s">
        <v>96</v>
      </c>
      <c r="CW13" s="228"/>
      <c r="CY13" s="214" t="str">
        <f>+(PROCESS!N72)</f>
        <v>COLELC-GAS-CAM5</v>
      </c>
      <c r="CZ13" s="12" t="s">
        <v>7</v>
      </c>
      <c r="DA13" s="313">
        <v>0.98873167284455521</v>
      </c>
      <c r="DB13" s="707"/>
      <c r="DC13" s="12" t="str">
        <f>+DG11</f>
        <v>COLFUEL-GAS-CAM3</v>
      </c>
      <c r="DD13" s="12" t="s">
        <v>96</v>
      </c>
      <c r="DE13" s="228"/>
      <c r="DG13" s="214" t="str">
        <v>COLFUEL-GAS-CAM5</v>
      </c>
      <c r="DH13" s="12" t="s">
        <v>7</v>
      </c>
      <c r="DI13" s="313">
        <f t="shared" si="2"/>
        <v>0.99790440075840736</v>
      </c>
      <c r="DJ13" s="708"/>
      <c r="DL13" s="116"/>
      <c r="DM13" s="12" t="str">
        <f>PROCESS!N171</f>
        <v>COMPRA-ELC-CAM5</v>
      </c>
      <c r="DN13" s="12" t="str">
        <f>+'1. EXP_IMP'!$K$67</f>
        <v>ELC-SIN</v>
      </c>
      <c r="DO13" s="11" t="str">
        <f>+AW22</f>
        <v>ELC-CAM5</v>
      </c>
      <c r="DP13" s="292">
        <v>1</v>
      </c>
      <c r="DR13" s="12" t="str">
        <f>PROCESS!N179</f>
        <v>COMPRA-ELC-COLO-CAM5</v>
      </c>
      <c r="DS13" s="14" t="str">
        <f>'1. EXP_IMP'!$K$69</f>
        <v>ELC-SIN-TRA</v>
      </c>
      <c r="DT13" s="11" t="str">
        <f>COMM!D111</f>
        <v>ELC-O-COL-CAM5</v>
      </c>
      <c r="DU13" s="292">
        <v>1</v>
      </c>
      <c r="DW13" s="12" t="str">
        <f t="shared" si="7"/>
        <v>COMPRA-ELC-COLG-CAM5</v>
      </c>
      <c r="DX13" s="14" t="str">
        <f t="shared" si="8"/>
        <v>ELC-SIN-TRA</v>
      </c>
      <c r="DY13" s="11" t="str">
        <f>COMM!D119</f>
        <v>ELC-G-COL-CAM5</v>
      </c>
      <c r="DZ13" s="292">
        <v>1</v>
      </c>
    </row>
    <row r="14" spans="1:130" ht="14.4" x14ac:dyDescent="0.3">
      <c r="B14" s="116"/>
      <c r="C14" s="14" t="str">
        <v>MIN-CAM6</v>
      </c>
      <c r="D14" s="14" t="str">
        <v>R-CAM6</v>
      </c>
      <c r="E14" s="214" t="s">
        <v>897</v>
      </c>
      <c r="F14" s="402">
        <v>283.33235609852005</v>
      </c>
      <c r="G14" s="695">
        <v>1</v>
      </c>
      <c r="H14" s="295">
        <v>1</v>
      </c>
      <c r="I14" s="696"/>
      <c r="K14" s="116"/>
      <c r="L14" s="214"/>
      <c r="M14" s="214" t="s">
        <v>1038</v>
      </c>
      <c r="N14" s="214">
        <v>2030</v>
      </c>
      <c r="O14" s="287">
        <v>20.101904077407454</v>
      </c>
      <c r="Q14" s="18"/>
      <c r="R14" s="18" t="str">
        <f>COMM!D65</f>
        <v>ELC-CAM3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4"/>
      <c r="AM14" s="309"/>
      <c r="AN14" s="12" t="str">
        <v>FTE-FUEL-DSL-CAM6</v>
      </c>
      <c r="AO14" s="931" t="s">
        <v>14</v>
      </c>
      <c r="AP14" s="228"/>
      <c r="AQ14" s="228" t="str">
        <f t="shared" si="3"/>
        <v>FTE-FUEL-DSL-CAM6</v>
      </c>
      <c r="AR14" s="12" t="str">
        <v>FUEL-DSL-CAM6</v>
      </c>
      <c r="AS14" s="228">
        <v>1</v>
      </c>
      <c r="AT14" s="309"/>
      <c r="AU14" t="str">
        <f>PROCESS!N116</f>
        <v>AUTO-DSL-CAM2</v>
      </c>
      <c r="AV14" t="str">
        <f>AR10</f>
        <v>FUEL-DSL-CAM2</v>
      </c>
      <c r="AW14" t="str">
        <f>COMM!$D$64</f>
        <v>ELC-CAM2</v>
      </c>
      <c r="AX14" s="952">
        <v>0.35</v>
      </c>
      <c r="AY14" s="370"/>
      <c r="AZ14" s="309" t="str">
        <v>AUTO-DSL-CAM2</v>
      </c>
      <c r="BA14" s="370">
        <v>0.35951040000000006</v>
      </c>
      <c r="BB14" s="19" t="s">
        <v>897</v>
      </c>
      <c r="BC14" s="19"/>
      <c r="BD14" s="19" t="str">
        <f>+PROCESS!N142</f>
        <v>AUTO-COL-DSL-CAM2</v>
      </c>
      <c r="BE14" s="19" t="str">
        <f t="shared" si="5"/>
        <v>FUEL-DSL-CAM2</v>
      </c>
      <c r="BF14" s="19" t="str">
        <f>BF13</f>
        <v>ELC-COL-CAM2</v>
      </c>
      <c r="BG14" s="841">
        <v>0.35</v>
      </c>
      <c r="BH14" s="19"/>
      <c r="BI14" s="19" t="str">
        <f t="shared" si="6"/>
        <v>AUTO-COL-DSL-CAM2</v>
      </c>
      <c r="BJ14" s="956">
        <v>0.32096747923199992</v>
      </c>
      <c r="BK14" s="19" t="s">
        <v>897</v>
      </c>
      <c r="BL14" s="309"/>
      <c r="BM14" s="43"/>
      <c r="BN14" s="116"/>
      <c r="BO14" s="14" t="str">
        <v>PLT-CAM6</v>
      </c>
      <c r="BP14" s="14" t="s">
        <v>897</v>
      </c>
      <c r="BQ14" s="402">
        <v>0.66500931021379162</v>
      </c>
      <c r="BS14" t="str">
        <v>PLT-CAM6</v>
      </c>
      <c r="BT14" s="11" t="s">
        <v>111</v>
      </c>
      <c r="BU14" s="228">
        <v>1</v>
      </c>
      <c r="BW14" s="228"/>
      <c r="BX14" s="228" t="s">
        <v>22</v>
      </c>
      <c r="BY14" s="295">
        <f>+'5. Data'!R158</f>
        <v>0.4507029118970462</v>
      </c>
      <c r="BZ14" s="704"/>
      <c r="CB14" s="705"/>
      <c r="CD14" s="11" t="str">
        <f>DT12</f>
        <v>ELC-O-COL-CAM4</v>
      </c>
      <c r="CE14" s="706">
        <f>100%-CE13</f>
        <v>2.105557274151626E-3</v>
      </c>
      <c r="CF14" s="309"/>
      <c r="CG14" s="309"/>
      <c r="CH14" s="309"/>
      <c r="CI14" s="309"/>
      <c r="CJ14" s="309"/>
      <c r="CL14" s="11" t="str">
        <f>BF18</f>
        <v>ELC-COL-CAM4</v>
      </c>
      <c r="CM14" s="706">
        <f>100%-CM13</f>
        <v>2.0955992415926383E-3</v>
      </c>
      <c r="CO14" s="1"/>
      <c r="CP14" s="1"/>
      <c r="CQ14" s="1"/>
      <c r="CR14" s="305"/>
      <c r="CT14" s="116"/>
      <c r="CV14" s="11" t="s">
        <v>143</v>
      </c>
      <c r="CW14" s="228"/>
      <c r="CY14" s="214" t="str">
        <f>+(PROCESS!N73)</f>
        <v>COLELC-GAS-CAM6</v>
      </c>
      <c r="CZ14" s="12" t="s">
        <v>7</v>
      </c>
      <c r="DA14" s="313">
        <v>0.98873167284455521</v>
      </c>
      <c r="DB14" s="707"/>
      <c r="DD14" s="11" t="str">
        <f>+BX13</f>
        <v>GAS-plt-CAM3</v>
      </c>
      <c r="DE14" s="228"/>
      <c r="DG14" s="214" t="str">
        <v>COLFUEL-GAS-CAM6</v>
      </c>
      <c r="DH14" s="12" t="s">
        <v>7</v>
      </c>
      <c r="DI14" s="313">
        <f t="shared" si="2"/>
        <v>0.99790440075840736</v>
      </c>
      <c r="DJ14" s="708"/>
      <c r="DL14" s="116"/>
      <c r="DM14" s="12" t="str">
        <f>PROCESS!N172</f>
        <v>COMPRA-ELC-CAM6</v>
      </c>
      <c r="DN14" s="12" t="str">
        <f>+'1. EXP_IMP'!$K$67</f>
        <v>ELC-SIN</v>
      </c>
      <c r="DO14" s="11" t="str">
        <f>+AW25</f>
        <v>ELC-CAM6</v>
      </c>
      <c r="DP14" s="292">
        <v>1</v>
      </c>
      <c r="DR14" s="12" t="str">
        <f>PROCESS!N180</f>
        <v>COMPRA-ELC-COLO-CAM6</v>
      </c>
      <c r="DS14" s="14" t="str">
        <f>'1. EXP_IMP'!$K$69</f>
        <v>ELC-SIN-TRA</v>
      </c>
      <c r="DT14" s="11" t="str">
        <f>COMM!D112</f>
        <v>ELC-O-COL-CAM6</v>
      </c>
      <c r="DU14" s="292">
        <v>1</v>
      </c>
      <c r="DW14" s="12" t="str">
        <f t="shared" si="7"/>
        <v>COMPRA-ELC-COLG-CAM6</v>
      </c>
      <c r="DX14" s="14" t="str">
        <f t="shared" si="8"/>
        <v>ELC-SIN-TRA</v>
      </c>
      <c r="DY14" s="11" t="str">
        <f>COMM!D120</f>
        <v>ELC-G-COL-CAM6</v>
      </c>
      <c r="DZ14" s="292">
        <v>1</v>
      </c>
    </row>
    <row r="15" spans="1:130" ht="14.4" x14ac:dyDescent="0.3">
      <c r="B15" s="116"/>
      <c r="C15" s="14" t="str">
        <v>MIN-CAM7</v>
      </c>
      <c r="D15" s="14" t="str">
        <v>R-CAM7</v>
      </c>
      <c r="E15" s="214" t="s">
        <v>897</v>
      </c>
      <c r="F15" s="402">
        <v>157.75252398843665</v>
      </c>
      <c r="G15" s="695">
        <v>1</v>
      </c>
      <c r="H15" s="295">
        <v>1</v>
      </c>
      <c r="I15" s="655"/>
      <c r="K15" s="116"/>
      <c r="L15" s="214"/>
      <c r="M15" s="214" t="s">
        <v>1038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FTE-FUEL-DSL-CAM7</v>
      </c>
      <c r="AO15" s="931" t="s">
        <v>14</v>
      </c>
      <c r="AP15" s="228"/>
      <c r="AQ15" s="228" t="str">
        <f t="shared" si="3"/>
        <v>FTE-FUEL-DSL-CAM7</v>
      </c>
      <c r="AR15" s="12" t="str">
        <v>FUEL-DSL-CAM7</v>
      </c>
      <c r="AS15" s="228">
        <v>1</v>
      </c>
      <c r="AT15" s="19"/>
      <c r="AU15" t="str">
        <f>PROCESS!N117</f>
        <v>AUTO-LPG-CAM2</v>
      </c>
      <c r="AV15" t="str">
        <f>AR23</f>
        <v>FUEL-LPG-CAM2</v>
      </c>
      <c r="AW15" t="str">
        <f>COMM!$D$64</f>
        <v>ELC-CAM2</v>
      </c>
      <c r="AX15" s="952">
        <v>0.35</v>
      </c>
      <c r="AY15" s="370"/>
      <c r="AZ15" s="19" t="str">
        <v>AUTO-LPG-CAM2</v>
      </c>
      <c r="BA15" s="370">
        <f>'5. Data'!Z209</f>
        <v>0.63071999999999984</v>
      </c>
      <c r="BB15" s="19" t="s">
        <v>897</v>
      </c>
      <c r="BC15" s="19"/>
      <c r="BD15" s="19" t="str">
        <f>+PROCESS!N143</f>
        <v>AUTO-COL-GAS-CAM3</v>
      </c>
      <c r="BE15" s="19" t="str">
        <f t="shared" ref="BE15:BE29" si="9">AV16</f>
        <v>FUEL-GAS-CAM3</v>
      </c>
      <c r="BF15" s="19" t="str">
        <f>+COMM!D101</f>
        <v>ELC-COL-CAM3</v>
      </c>
      <c r="BG15" s="841" cm="1">
        <f t="array" ref="BG15:BG17">+TRANSPOSE('5. Data'!U222:W222)</f>
        <v>0.35</v>
      </c>
      <c r="BH15" s="19"/>
      <c r="BI15" s="19" t="str">
        <f t="shared" si="6"/>
        <v>AUTO-COL-GAS-CAM3</v>
      </c>
      <c r="BJ15" s="956" cm="1">
        <f t="array" ref="BJ15:BJ17">TRANSPOSE('5. Data'!Z222:AB222)</f>
        <v>0</v>
      </c>
      <c r="BK15" s="19" t="s">
        <v>897</v>
      </c>
      <c r="BL15" s="19"/>
      <c r="BM15" s="43"/>
      <c r="BN15" s="116"/>
      <c r="BO15" s="14" t="str">
        <v>PLT-CAM7</v>
      </c>
      <c r="BP15" s="14" t="s">
        <v>897</v>
      </c>
      <c r="BQ15" s="274">
        <v>0</v>
      </c>
      <c r="BS15" s="231" t="str">
        <v>PLT-CAM7</v>
      </c>
      <c r="BT15" s="11" t="s">
        <v>116</v>
      </c>
      <c r="BU15" s="228">
        <v>1</v>
      </c>
      <c r="BW15" s="228" t="str">
        <f>+BO12</f>
        <v>PLT-CAM4</v>
      </c>
      <c r="BX15" s="228" t="str">
        <f>+COMM!D46</f>
        <v>GAS-plt-CAM4</v>
      </c>
      <c r="BY15" s="295">
        <f>100%-BY16</f>
        <v>1</v>
      </c>
      <c r="BZ15" s="655"/>
      <c r="CB15" s="710"/>
      <c r="CC15" s="12" t="str">
        <f>+PROCESS!N83</f>
        <v>COLELC-MOIL-CAM5</v>
      </c>
      <c r="CD15" s="12" t="s">
        <v>139</v>
      </c>
      <c r="CE15" s="706">
        <f>+CI12</f>
        <v>0.99789444272584837</v>
      </c>
      <c r="CF15" s="711"/>
      <c r="CG15" s="711"/>
      <c r="CH15" s="711"/>
      <c r="CI15" s="711"/>
      <c r="CJ15" s="711"/>
      <c r="CK15" s="12" t="str">
        <f>+PROCESS!N78</f>
        <v>COLFUEL-MOIL-CAM5</v>
      </c>
      <c r="CL15" s="12" t="s">
        <v>139</v>
      </c>
      <c r="CM15" s="706">
        <f>+CQ12</f>
        <v>0.99790440075840736</v>
      </c>
      <c r="CR15" s="305"/>
      <c r="CT15" s="116"/>
      <c r="CU15" s="12" t="str">
        <f>+CY12</f>
        <v>COLELC-GAS-CAM4</v>
      </c>
      <c r="CV15" s="12" t="s">
        <v>101</v>
      </c>
      <c r="CW15" s="228"/>
      <c r="CY15" s="214" t="str">
        <f>+(PROCESS!N74)</f>
        <v>COLELC-GAS-CAM7</v>
      </c>
      <c r="CZ15" s="12" t="s">
        <v>7</v>
      </c>
      <c r="DA15" s="314">
        <v>0.98873167284455521</v>
      </c>
      <c r="DB15" s="706"/>
      <c r="DC15" s="12" t="str">
        <f>+DG12</f>
        <v>COLFUEL-GAS-CAM4</v>
      </c>
      <c r="DD15" s="12" t="s">
        <v>101</v>
      </c>
      <c r="DE15" s="228"/>
      <c r="DG15" s="214" t="str">
        <v>COLFUEL-GAS-CAM7</v>
      </c>
      <c r="DH15" s="12" t="s">
        <v>7</v>
      </c>
      <c r="DI15" s="314">
        <f t="shared" si="2"/>
        <v>0.99790440075840736</v>
      </c>
      <c r="DJ15" s="655"/>
      <c r="DL15" s="116"/>
      <c r="DM15" s="12" t="str">
        <f>PROCESS!N173</f>
        <v>COMPRA-ELC-CAM7</v>
      </c>
      <c r="DN15" s="12" t="str">
        <f>+'1. EXP_IMP'!$K$67</f>
        <v>ELC-SIN</v>
      </c>
      <c r="DO15" s="11" t="str">
        <f>+AW28</f>
        <v>ELC-CAM7</v>
      </c>
      <c r="DP15" s="292">
        <v>1</v>
      </c>
      <c r="DR15" s="12" t="str">
        <f>PROCESS!N181</f>
        <v>COMPRA-ELC-COLO-CAM7</v>
      </c>
      <c r="DS15" s="14" t="str">
        <f>'1. EXP_IMP'!$K$69</f>
        <v>ELC-SIN-TRA</v>
      </c>
      <c r="DT15" s="11" t="str">
        <f>COMM!D113</f>
        <v>ELC-O-COL-CAM7</v>
      </c>
      <c r="DU15" s="292">
        <v>1</v>
      </c>
      <c r="DW15" s="12" t="str">
        <f t="shared" si="7"/>
        <v>COMPRA-ELC-COLG-CAM7</v>
      </c>
      <c r="DX15" s="14" t="str">
        <f t="shared" si="8"/>
        <v>ELC-SIN-TRA</v>
      </c>
      <c r="DY15" s="11" t="str">
        <f>COMM!D121</f>
        <v>ELC-G-COL-CAM7</v>
      </c>
      <c r="DZ15" s="292">
        <v>1</v>
      </c>
    </row>
    <row r="16" spans="1:130" ht="14.4" x14ac:dyDescent="0.3">
      <c r="B16" s="116"/>
      <c r="G16" s="961" t="s">
        <v>1294</v>
      </c>
      <c r="I16" s="655"/>
      <c r="K16" s="116"/>
      <c r="L16" s="214"/>
      <c r="M16" s="214" t="s">
        <v>1038</v>
      </c>
      <c r="N16" s="214">
        <v>2035</v>
      </c>
      <c r="O16" s="287">
        <v>2.86729599242289</v>
      </c>
      <c r="Q16" s="18"/>
      <c r="R16" s="18" t="str">
        <f>+COMM!D66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 cm="1">
        <f t="array" ref="AN16:AN22">PROCESS!N99:N105</f>
        <v>FTE-FUEL-OIL-CAM1</v>
      </c>
      <c r="AO16" s="931" t="s">
        <v>13</v>
      </c>
      <c r="AP16" s="228"/>
      <c r="AQ16" s="228" t="str">
        <f t="shared" si="3"/>
        <v>FTE-FUEL-OIL-CAM1</v>
      </c>
      <c r="AR16" s="12" t="str" cm="1">
        <f t="array" ref="AR16:AR22">COMM!D80:D86</f>
        <v>FUEL-OIL-CAM1</v>
      </c>
      <c r="AS16" s="228">
        <v>1</v>
      </c>
      <c r="AT16" s="19"/>
      <c r="AU16" t="str">
        <f>PROCESS!N118</f>
        <v>AUTO-GAS-CAM3</v>
      </c>
      <c r="AV16" s="716" t="str">
        <f>AR26</f>
        <v>FUEL-GAS-CAM3</v>
      </c>
      <c r="AW16" t="str">
        <f>COMM!$D$65</f>
        <v>ELC-CAM3</v>
      </c>
      <c r="AX16" s="952" cm="1">
        <f t="array" ref="AX16:AX18">TRANSPOSE('5. Data'!U210:W210)</f>
        <v>0.35</v>
      </c>
      <c r="AY16" s="370"/>
      <c r="AZ16" s="19" t="str">
        <v>AUTO-GAS-CAM3</v>
      </c>
      <c r="BA16" s="954"/>
      <c r="BB16" s="19" t="s">
        <v>897</v>
      </c>
      <c r="BC16" s="19"/>
      <c r="BD16" s="19" t="str">
        <f>+PROCESS!N144</f>
        <v>AUTO-COL-OIL-CAM3</v>
      </c>
      <c r="BE16" s="19" t="str">
        <f t="shared" si="9"/>
        <v>FUEL-OIL-CAM3</v>
      </c>
      <c r="BF16" s="899" t="str">
        <f>BF15</f>
        <v>ELC-COL-CAM3</v>
      </c>
      <c r="BG16" s="841">
        <v>0.35</v>
      </c>
      <c r="BH16" s="19"/>
      <c r="BI16" s="19" t="str">
        <f t="shared" si="6"/>
        <v>AUTO-COL-OIL-CAM3</v>
      </c>
      <c r="BJ16" s="956">
        <v>0.34236531118079994</v>
      </c>
      <c r="BK16" s="19" t="s">
        <v>897</v>
      </c>
      <c r="BL16" s="19"/>
      <c r="BM16" s="43"/>
      <c r="BN16" s="116"/>
      <c r="BT16" s="11"/>
      <c r="BW16" s="228"/>
      <c r="BX16" s="228" t="s">
        <v>22</v>
      </c>
      <c r="BY16" s="400">
        <f>+'5. Data'!R159</f>
        <v>0</v>
      </c>
      <c r="BZ16" s="655"/>
      <c r="CB16" s="705"/>
      <c r="CD16" s="11" t="str">
        <f>DT13</f>
        <v>ELC-O-COL-CAM5</v>
      </c>
      <c r="CE16" s="706">
        <f>100%-CE15</f>
        <v>2.105557274151626E-3</v>
      </c>
      <c r="CF16" s="309"/>
      <c r="CG16" s="309"/>
      <c r="CH16" s="309"/>
      <c r="CI16" s="309"/>
      <c r="CJ16" s="309"/>
      <c r="CL16" s="11" t="str">
        <f>BF21</f>
        <v>ELC-COL-CAM5</v>
      </c>
      <c r="CM16" s="706">
        <f>100%-CM15</f>
        <v>2.0955992415926383E-3</v>
      </c>
      <c r="CR16" s="305"/>
      <c r="CT16" s="116"/>
      <c r="CV16" s="11" t="s">
        <v>144</v>
      </c>
      <c r="CW16" s="228"/>
      <c r="DB16" s="1"/>
      <c r="DD16" s="11" t="str">
        <f>+BX15</f>
        <v>GAS-plt-CAM4</v>
      </c>
      <c r="DE16" s="228"/>
      <c r="DJ16" s="655"/>
      <c r="DL16" s="116"/>
    </row>
    <row r="17" spans="2:129" ht="14.4" x14ac:dyDescent="0.3">
      <c r="B17" s="116"/>
      <c r="F17" s="231"/>
      <c r="I17" s="655"/>
      <c r="K17" s="116"/>
      <c r="L17" s="214"/>
      <c r="M17" s="214" t="s">
        <v>1038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FTE-FUEL-OIL-CAM2</v>
      </c>
      <c r="AO17" s="12" t="str">
        <f>COMM!D37</f>
        <v>LOIL-CAM2</v>
      </c>
      <c r="AP17" s="228"/>
      <c r="AQ17" s="228" t="str">
        <f t="shared" si="3"/>
        <v>FTE-FUEL-OIL-CAM2</v>
      </c>
      <c r="AR17" t="str">
        <v>FUEL-OIL-CAM2</v>
      </c>
      <c r="AS17" s="228">
        <v>1</v>
      </c>
      <c r="AT17" s="19"/>
      <c r="AU17" t="str">
        <f>PROCESS!N119</f>
        <v>AUTO-OIL-CAM3</v>
      </c>
      <c r="AV17" t="str">
        <f>AR18</f>
        <v>FUEL-OIL-CAM3</v>
      </c>
      <c r="AW17" t="str">
        <f>COMM!$D$65</f>
        <v>ELC-CAM3</v>
      </c>
      <c r="AX17" s="952">
        <v>0.35</v>
      </c>
      <c r="AY17" s="370"/>
      <c r="AZ17" s="19" t="str">
        <v>AUTO-OIL-CAM3</v>
      </c>
      <c r="BA17" s="370" cm="1">
        <f t="array" ref="BA17:BA18">TRANSPOSE('5. Data'!AB210:AC210)</f>
        <v>0.66944714800759952</v>
      </c>
      <c r="BB17" s="19" t="s">
        <v>897</v>
      </c>
      <c r="BC17" s="19"/>
      <c r="BD17" s="19" t="str">
        <f>+PROCESS!N145</f>
        <v>AUTO-COL-DSL-CAM3</v>
      </c>
      <c r="BE17" s="19" t="str">
        <f t="shared" si="9"/>
        <v>FUEL-DSL-CAM3</v>
      </c>
      <c r="BF17" s="899" t="str">
        <f>BF16</f>
        <v>ELC-COL-CAM3</v>
      </c>
      <c r="BG17" s="841">
        <v>0.35</v>
      </c>
      <c r="BH17" s="19"/>
      <c r="BI17" s="19" t="str">
        <f t="shared" si="6"/>
        <v>AUTO-COL-DSL-CAM3</v>
      </c>
      <c r="BJ17" s="956">
        <v>0.32096747923199992</v>
      </c>
      <c r="BK17" s="19" t="s">
        <v>897</v>
      </c>
      <c r="BL17" s="19"/>
      <c r="BM17" s="43"/>
      <c r="BN17" s="116"/>
      <c r="BW17" s="228" t="str">
        <f>+BO13</f>
        <v>PLT-CAM5</v>
      </c>
      <c r="BX17" s="228" t="str">
        <f>+COMM!D47</f>
        <v>GAS-plt-CAM5</v>
      </c>
      <c r="BY17" s="295">
        <f>100%-BY18</f>
        <v>1</v>
      </c>
      <c r="BZ17" s="655"/>
      <c r="CB17" s="705"/>
      <c r="CC17" s="12" t="str">
        <f>+PROCESS!N84</f>
        <v>COLELC-MOIL-CAM6</v>
      </c>
      <c r="CD17" s="12" t="s">
        <v>140</v>
      </c>
      <c r="CE17" s="706">
        <f>+CI13</f>
        <v>0.99789444272584837</v>
      </c>
      <c r="CF17" s="309"/>
      <c r="CG17" s="309"/>
      <c r="CH17" s="309"/>
      <c r="CI17" s="309"/>
      <c r="CJ17" s="309"/>
      <c r="CK17" s="12" t="str">
        <f>+PROCESS!N79</f>
        <v>COLFUEL-MOIL-CAM6</v>
      </c>
      <c r="CL17" s="12" t="s">
        <v>140</v>
      </c>
      <c r="CM17" s="706">
        <f>+CQ13</f>
        <v>0.99790440075840736</v>
      </c>
      <c r="CR17" s="305"/>
      <c r="CT17" s="116"/>
      <c r="CU17" s="12" t="str">
        <f>+CY13</f>
        <v>COLELC-GAS-CAM5</v>
      </c>
      <c r="CV17" s="12" t="s">
        <v>106</v>
      </c>
      <c r="CW17" s="228"/>
      <c r="DB17" s="1"/>
      <c r="DC17" s="12" t="str">
        <f>+DG13</f>
        <v>COLFUEL-GAS-CAM5</v>
      </c>
      <c r="DD17" s="12" t="s">
        <v>106</v>
      </c>
      <c r="DE17" s="228"/>
      <c r="DJ17" s="655"/>
      <c r="DL17" s="116"/>
      <c r="DY17" s="11"/>
    </row>
    <row r="18" spans="2:129" ht="14.4" x14ac:dyDescent="0.3">
      <c r="B18" s="116"/>
      <c r="I18" s="655"/>
      <c r="K18" s="116"/>
      <c r="L18" s="214"/>
      <c r="M18" s="214" t="s">
        <v>1038</v>
      </c>
      <c r="N18" s="214">
        <v>2040</v>
      </c>
      <c r="O18" s="287">
        <v>1.5418190990073675</v>
      </c>
      <c r="Q18" s="18"/>
      <c r="R18" s="18" t="str">
        <f>+COMM!D67</f>
        <v>ELC-CAM5</v>
      </c>
      <c r="S18" s="697">
        <f>+'5. Data'!N125/(1+'5. Data'!N125)</f>
        <v>1.0471193826923495E-2</v>
      </c>
      <c r="U18" s="14"/>
      <c r="V18" s="14" t="s">
        <v>480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FTE-FUEL-OIL-CAM3</v>
      </c>
      <c r="AO18" s="12" t="str">
        <f>COMM!D42</f>
        <v>HOIL-CAM3</v>
      </c>
      <c r="AP18" s="228"/>
      <c r="AQ18" s="228" t="str">
        <f t="shared" si="3"/>
        <v>FTE-FUEL-OIL-CAM3</v>
      </c>
      <c r="AR18" t="str">
        <v>FUEL-OIL-CAM3</v>
      </c>
      <c r="AS18" s="228">
        <v>1</v>
      </c>
      <c r="AT18" s="19"/>
      <c r="AU18" t="str">
        <f>PROCESS!N120</f>
        <v>AUTO-DSL-CAM3</v>
      </c>
      <c r="AV18" t="str">
        <f>AR11</f>
        <v>FUEL-DSL-CAM3</v>
      </c>
      <c r="AW18" t="str">
        <f>COMM!$D$65</f>
        <v>ELC-CAM3</v>
      </c>
      <c r="AX18" s="952">
        <v>0.35</v>
      </c>
      <c r="AY18" s="370"/>
      <c r="AZ18" s="19" t="str">
        <v>AUTO-DSL-CAM3</v>
      </c>
      <c r="BA18" s="370">
        <v>0.35951040000000006</v>
      </c>
      <c r="BB18" s="19" t="s">
        <v>897</v>
      </c>
      <c r="BC18" s="19"/>
      <c r="BD18" s="19" t="str">
        <f>+PROCESS!N146</f>
        <v>AUTO-COL-GAS-CAM4</v>
      </c>
      <c r="BE18" s="19" t="str">
        <f t="shared" si="9"/>
        <v>FUEL-GAS-CAM4</v>
      </c>
      <c r="BF18" s="19" t="str">
        <f>+COMM!D102</f>
        <v>ELC-COL-CAM4</v>
      </c>
      <c r="BG18" s="19">
        <f t="array" ref="BG18:BG20">+TRANSPOSE('5. Data'!U223:W223)</f>
        <v>0.35</v>
      </c>
      <c r="BH18" s="19"/>
      <c r="BI18" s="19" t="str">
        <f t="shared" si="6"/>
        <v>AUTO-COL-GAS-CAM4</v>
      </c>
      <c r="BJ18" s="401">
        <f t="array" ref="BJ18:BJ20">+TRANSPOSE('5. Data'!Z223:AB223)</f>
        <v>1.1095172121600003E-2</v>
      </c>
      <c r="BK18" s="19" t="s">
        <v>897</v>
      </c>
      <c r="BL18" s="19"/>
      <c r="BM18" s="43"/>
      <c r="BN18" s="116"/>
      <c r="BW18" s="228"/>
      <c r="BX18" s="228" t="s">
        <v>22</v>
      </c>
      <c r="BY18" s="400">
        <f>+'5. Data'!R160</f>
        <v>0</v>
      </c>
      <c r="BZ18" s="655"/>
      <c r="CB18" s="705"/>
      <c r="CD18" s="11" t="str">
        <f>DT14</f>
        <v>ELC-O-COL-CAM6</v>
      </c>
      <c r="CE18" s="706">
        <f>100%-CE17</f>
        <v>2.105557274151626E-3</v>
      </c>
      <c r="CF18" s="309"/>
      <c r="CG18" s="309"/>
      <c r="CH18" s="309"/>
      <c r="CI18" s="309"/>
      <c r="CJ18" s="309"/>
      <c r="CL18" s="11" t="str">
        <f>BF24</f>
        <v>ELC-COL-CAM6</v>
      </c>
      <c r="CM18" s="706">
        <f>100%-CM17</f>
        <v>2.0955992415926383E-3</v>
      </c>
      <c r="CR18" s="305"/>
      <c r="CT18" s="116"/>
      <c r="CV18" s="11" t="s">
        <v>145</v>
      </c>
      <c r="CW18" s="228"/>
      <c r="DB18" s="1"/>
      <c r="DD18" s="11" t="str">
        <f>+BX17</f>
        <v>GAS-plt-CAM5</v>
      </c>
      <c r="DE18" s="228"/>
      <c r="DJ18" s="655"/>
      <c r="DL18" s="116"/>
      <c r="DO18" s="12" t="s">
        <v>480</v>
      </c>
    </row>
    <row r="19" spans="2:129" ht="14.4" x14ac:dyDescent="0.3">
      <c r="B19" s="116"/>
      <c r="G19" s="856"/>
      <c r="I19" s="655"/>
      <c r="K19" s="116"/>
      <c r="L19" s="214"/>
      <c r="M19" s="214" t="s">
        <v>1038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1494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FTE-FUEL-OIL-CAM4</v>
      </c>
      <c r="AO19" s="12" t="str">
        <f>COMM!D38</f>
        <v>LOIL-CAM4</v>
      </c>
      <c r="AP19" s="228"/>
      <c r="AQ19" s="228" t="str">
        <f t="shared" si="3"/>
        <v>FTE-FUEL-OIL-CAM4</v>
      </c>
      <c r="AR19" t="str">
        <v>FUEL-OIL-CAM4</v>
      </c>
      <c r="AS19" s="228">
        <v>1</v>
      </c>
      <c r="AT19" s="19"/>
      <c r="AU19" s="930" t="str">
        <f t="array" ref="AU19:AU30">+PROCESS!N122:N133</f>
        <v>AUTO-GAS-CAM4</v>
      </c>
      <c r="AV19" s="716" t="str">
        <f>AR27</f>
        <v>FUEL-GAS-CAM4</v>
      </c>
      <c r="AW19" s="930" t="str">
        <f>+COMM!D66</f>
        <v>ELC-CAM4</v>
      </c>
      <c r="AX19" s="322">
        <f t="array" ref="AX19:AX21">+TRANSPOSE('5. Data'!U211:W211)</f>
        <v>0.35</v>
      </c>
      <c r="AY19" s="370"/>
      <c r="AZ19" s="19" t="str">
        <v>AUTO-GAS-CAM4</v>
      </c>
      <c r="BA19" s="370" cm="1">
        <f t="array" ref="BA19:BA21">TRANSPOSE('5. Data'!AA211:AC211)</f>
        <v>0</v>
      </c>
      <c r="BB19" s="19" t="s">
        <v>897</v>
      </c>
      <c r="BC19" s="19"/>
      <c r="BD19" s="19" t="str">
        <f>+PROCESS!N147</f>
        <v>AUTO-COL-OIL-CAM4</v>
      </c>
      <c r="BE19" s="19" t="str">
        <f t="shared" si="9"/>
        <v>FUEL-OIL-CAM4</v>
      </c>
      <c r="BF19" s="19" t="str">
        <f t="shared" ref="BF19:BF20" si="10">+BF18</f>
        <v>ELC-COL-CAM4</v>
      </c>
      <c r="BG19" s="19">
        <v>0.35</v>
      </c>
      <c r="BH19" s="19"/>
      <c r="BI19" s="19" t="str">
        <f t="shared" si="6"/>
        <v>AUTO-COL-OIL-CAM4</v>
      </c>
      <c r="BJ19" s="401">
        <v>4.4380688486400012E-2</v>
      </c>
      <c r="BK19" s="19" t="s">
        <v>897</v>
      </c>
      <c r="BL19" s="19"/>
      <c r="BM19" s="43"/>
      <c r="BN19" s="116"/>
      <c r="BW19" s="709" t="str">
        <f>+BO14</f>
        <v>PLT-CAM6</v>
      </c>
      <c r="BX19" s="309" t="str">
        <f>+COMM!D48</f>
        <v>GAS-plt-CAM6</v>
      </c>
      <c r="BY19" s="295">
        <f>100%-BY20</f>
        <v>0.60654715356213063</v>
      </c>
      <c r="BZ19" s="655"/>
      <c r="CB19" s="705"/>
      <c r="CC19" s="309"/>
      <c r="CD19" s="309"/>
      <c r="CE19" s="309"/>
      <c r="CF19" s="309"/>
      <c r="CG19" s="309"/>
      <c r="CH19" s="309"/>
      <c r="CI19" s="309"/>
      <c r="CJ19" s="309"/>
      <c r="CK19" s="1"/>
      <c r="CL19" s="1"/>
      <c r="CM19" s="1"/>
      <c r="CR19" s="305"/>
      <c r="CT19" s="116"/>
      <c r="CU19" s="12" t="str">
        <f>+CY14</f>
        <v>COLELC-GAS-CAM6</v>
      </c>
      <c r="CV19" s="12" t="s">
        <v>111</v>
      </c>
      <c r="CW19" s="228"/>
      <c r="DB19" s="1"/>
      <c r="DC19" s="12" t="str">
        <f>+DG14</f>
        <v>COLFUEL-GAS-CAM6</v>
      </c>
      <c r="DD19" s="12" t="s">
        <v>111</v>
      </c>
      <c r="DE19" s="228"/>
      <c r="DJ19" s="655"/>
      <c r="DL19" s="116"/>
    </row>
    <row r="20" spans="2:129" ht="14.4" x14ac:dyDescent="0.3">
      <c r="B20" s="116"/>
      <c r="G20" s="856"/>
      <c r="I20" s="655"/>
      <c r="K20" s="116"/>
      <c r="L20" s="214"/>
      <c r="M20" s="214" t="s">
        <v>1038</v>
      </c>
      <c r="N20" s="214">
        <v>2045</v>
      </c>
      <c r="O20" s="287">
        <v>0.21634220559186546</v>
      </c>
      <c r="Q20" s="18"/>
      <c r="R20" s="18" t="str">
        <f>+COMM!D68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FTE-FUEL-OIL-CAM5</v>
      </c>
      <c r="AO20" s="12" t="str">
        <f>COMM!D40</f>
        <v>MOIL-CAM5</v>
      </c>
      <c r="AP20" s="228"/>
      <c r="AQ20" s="228" t="str">
        <f t="shared" si="3"/>
        <v>FTE-FUEL-OIL-CAM5</v>
      </c>
      <c r="AR20" t="str">
        <v>FUEL-OIL-CAM5</v>
      </c>
      <c r="AS20" s="228">
        <v>1</v>
      </c>
      <c r="AT20" s="1"/>
      <c r="AU20" s="930" t="str">
        <v>AUTO-OIL-CAM4</v>
      </c>
      <c r="AV20" s="716" t="str">
        <f>AR19</f>
        <v>FUEL-OIL-CAM4</v>
      </c>
      <c r="AW20" s="930" t="str">
        <f>+AW19</f>
        <v>ELC-CAM4</v>
      </c>
      <c r="AX20" s="322">
        <v>0.35</v>
      </c>
      <c r="AY20" s="370"/>
      <c r="AZ20" s="19" t="str">
        <v>AUTO-OIL-CAM4</v>
      </c>
      <c r="BA20" s="370">
        <v>0.66944714800759952</v>
      </c>
      <c r="BB20" s="19" t="s">
        <v>897</v>
      </c>
      <c r="BC20" s="19"/>
      <c r="BD20" s="19" t="str">
        <f>+PROCESS!N148</f>
        <v>AUTO-COL-DSL-CAM4</v>
      </c>
      <c r="BE20" s="19" t="str">
        <f t="shared" si="9"/>
        <v>FUEL-DSL-CAM4</v>
      </c>
      <c r="BF20" s="19" t="str">
        <f t="shared" si="10"/>
        <v>ELC-COL-CAM4</v>
      </c>
      <c r="BG20" s="19">
        <v>0.35</v>
      </c>
      <c r="BH20" s="19"/>
      <c r="BI20" s="19" t="str">
        <f t="shared" si="6"/>
        <v>AUTO-COL-DSL-CAM4</v>
      </c>
      <c r="BJ20" s="401">
        <v>8.3213790912000027E-2</v>
      </c>
      <c r="BK20" s="19" t="s">
        <v>897</v>
      </c>
      <c r="BL20" s="1"/>
      <c r="BM20" s="43"/>
      <c r="BN20" s="116"/>
      <c r="BW20" s="228"/>
      <c r="BX20" s="228" t="s">
        <v>22</v>
      </c>
      <c r="BY20" s="400">
        <f>+'5. Data'!R161</f>
        <v>0.39345284643786937</v>
      </c>
      <c r="BZ20" s="655"/>
      <c r="CB20" s="705"/>
      <c r="CC20" s="309"/>
      <c r="CD20" s="309"/>
      <c r="CE20" s="309"/>
      <c r="CF20" s="309"/>
      <c r="CG20" s="309"/>
      <c r="CH20" s="309"/>
      <c r="CI20" s="309"/>
      <c r="CJ20" s="309"/>
      <c r="CK20" s="1"/>
      <c r="CL20" s="1"/>
      <c r="CM20" s="1"/>
      <c r="CR20" s="305"/>
      <c r="CT20" s="116"/>
      <c r="CV20" s="11" t="s">
        <v>146</v>
      </c>
      <c r="CW20" s="228"/>
      <c r="DB20" s="1"/>
      <c r="DD20" s="11" t="str">
        <f>+BX21</f>
        <v>GAS-plt-CAM7</v>
      </c>
      <c r="DE20" s="228"/>
      <c r="DJ20" s="655"/>
      <c r="DL20" s="116"/>
      <c r="DM20" s="381" t="s">
        <v>804</v>
      </c>
      <c r="DR20" s="381" t="s">
        <v>804</v>
      </c>
      <c r="DW20" s="381" t="s">
        <v>804</v>
      </c>
    </row>
    <row r="21" spans="2:129" ht="15.75" customHeight="1" x14ac:dyDescent="0.3">
      <c r="B21" s="116"/>
      <c r="G21" s="856"/>
      <c r="I21" s="655"/>
      <c r="K21" s="116"/>
      <c r="L21" s="214"/>
      <c r="M21" s="214" t="s">
        <v>1038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+COMM!D39</f>
        <v>LOIL-CAM7</v>
      </c>
      <c r="AK21" s="11">
        <f>100%-AK20</f>
        <v>5.5238705439885072E-3</v>
      </c>
      <c r="AL21" s="655"/>
      <c r="AM21" s="1"/>
      <c r="AN21" s="12" t="str">
        <v>FTE-FUEL-OIL-CAM6</v>
      </c>
      <c r="AO21" s="12" t="str">
        <f>COMM!D41</f>
        <v>MOIL-CAM6</v>
      </c>
      <c r="AP21" s="228"/>
      <c r="AQ21" s="228" t="str">
        <f t="shared" si="3"/>
        <v>FTE-FUEL-OIL-CAM6</v>
      </c>
      <c r="AR21" t="str">
        <v>FUEL-OIL-CAM6</v>
      </c>
      <c r="AS21" s="228">
        <v>1</v>
      </c>
      <c r="AT21" s="1"/>
      <c r="AU21" s="930" t="str">
        <v>AUTO-DSL-CAM4</v>
      </c>
      <c r="AV21" s="344" t="str">
        <f>AR12</f>
        <v>FUEL-DSL-CAM4</v>
      </c>
      <c r="AW21" s="930" t="str">
        <f>+AW20</f>
        <v>ELC-CAM4</v>
      </c>
      <c r="AX21" s="322">
        <v>0.35</v>
      </c>
      <c r="AY21" s="370"/>
      <c r="AZ21" s="19" t="str">
        <v>AUTO-DSL-CAM4</v>
      </c>
      <c r="BA21" s="370">
        <v>0.3163738884724005</v>
      </c>
      <c r="BB21" s="19" t="s">
        <v>897</v>
      </c>
      <c r="BC21" s="19"/>
      <c r="BD21" s="19" t="str">
        <f>+PROCESS!N149</f>
        <v>AUTO-COL-GAS-CAM5</v>
      </c>
      <c r="BE21" s="19" t="str">
        <f t="shared" si="9"/>
        <v>FUEL-GAS-CAM5</v>
      </c>
      <c r="BF21" s="19" t="str">
        <f>+COMM!D103</f>
        <v>ELC-COL-CAM5</v>
      </c>
      <c r="BG21" s="19">
        <f t="array" ref="BG21:BG23">+TRANSPOSE('5. Data'!U224:W224)</f>
        <v>0.35</v>
      </c>
      <c r="BH21" s="19"/>
      <c r="BI21" s="19" t="str">
        <f t="shared" si="6"/>
        <v>AUTO-COL-GAS-CAM5</v>
      </c>
      <c r="BJ21" s="401">
        <f t="array" ref="BJ21:BJ23">+TRANSPOSE('5. Data'!Z224:AB224)</f>
        <v>2.8530442598399999E-2</v>
      </c>
      <c r="BK21" s="19" t="s">
        <v>897</v>
      </c>
      <c r="BL21" s="1"/>
      <c r="BM21" s="43"/>
      <c r="BN21" s="116"/>
      <c r="BW21" s="228" t="str">
        <f>+BO15</f>
        <v>PLT-CAM7</v>
      </c>
      <c r="BX21" s="228" t="str">
        <f>+COMM!D49</f>
        <v>GAS-plt-CAM7</v>
      </c>
      <c r="BY21" s="295">
        <f>100%-BY22</f>
        <v>1</v>
      </c>
      <c r="BZ21" s="655"/>
      <c r="CB21" s="705"/>
      <c r="CC21" s="309"/>
      <c r="CD21" s="309"/>
      <c r="CE21" s="309"/>
      <c r="CF21" s="309"/>
      <c r="CG21" s="309"/>
      <c r="CH21" s="309"/>
      <c r="CI21" s="309"/>
      <c r="CJ21" s="309"/>
      <c r="CR21" s="305"/>
      <c r="CT21" s="116"/>
      <c r="CU21" s="12" t="str">
        <f>+CY15</f>
        <v>COLELC-GAS-CAM7</v>
      </c>
      <c r="CV21" s="12" t="s">
        <v>116</v>
      </c>
      <c r="CW21" s="228"/>
      <c r="DB21" s="1"/>
      <c r="DC21" s="12" t="str">
        <f>+DG15</f>
        <v>COLFUEL-GAS-CAM7</v>
      </c>
      <c r="DD21" s="12" t="s">
        <v>116</v>
      </c>
      <c r="DE21" s="228"/>
      <c r="DJ21" s="655"/>
      <c r="DL21" s="116"/>
      <c r="DM21" s="337" t="s">
        <v>272</v>
      </c>
      <c r="DN21" s="337" t="s">
        <v>806</v>
      </c>
      <c r="DO21" s="337" t="s">
        <v>977</v>
      </c>
      <c r="DR21" s="337" t="s">
        <v>272</v>
      </c>
      <c r="DS21" s="337" t="s">
        <v>806</v>
      </c>
      <c r="DT21" s="337" t="s">
        <v>977</v>
      </c>
      <c r="DW21" s="337" t="s">
        <v>272</v>
      </c>
      <c r="DX21" s="337" t="s">
        <v>806</v>
      </c>
      <c r="DY21" s="337" t="s">
        <v>977</v>
      </c>
    </row>
    <row r="22" spans="2:129" ht="15.75" customHeight="1" x14ac:dyDescent="0.3">
      <c r="B22" s="116"/>
      <c r="G22" s="856"/>
      <c r="I22" s="655"/>
      <c r="K22" s="116"/>
      <c r="L22" s="214"/>
      <c r="M22" s="214" t="s">
        <v>1038</v>
      </c>
      <c r="N22" s="214">
        <v>2050</v>
      </c>
      <c r="O22" s="287">
        <v>0</v>
      </c>
      <c r="R22" s="18" t="str">
        <f>+COMM!D69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FTE-FUEL-OIL-CAM7</v>
      </c>
      <c r="AO22" s="12" t="str">
        <f>COMM!D39</f>
        <v>LOIL-CAM7</v>
      </c>
      <c r="AP22" s="228"/>
      <c r="AQ22" s="228" t="str">
        <f t="shared" si="3"/>
        <v>FTE-FUEL-OIL-CAM7</v>
      </c>
      <c r="AR22" t="str">
        <v>FUEL-OIL-CAM7</v>
      </c>
      <c r="AS22" s="228">
        <v>1</v>
      </c>
      <c r="AT22" s="1"/>
      <c r="AU22" s="930" t="str">
        <v>AUTO-GAS-CAM5</v>
      </c>
      <c r="AV22" s="716" t="str">
        <f>AR28</f>
        <v>FUEL-GAS-CAM5</v>
      </c>
      <c r="AW22" s="930" t="str">
        <f>+COMM!D67</f>
        <v>ELC-CAM5</v>
      </c>
      <c r="AX22" s="322">
        <f t="array" ref="AX22:AX24">+TRANSPOSE('5. Data'!U212:W212)</f>
        <v>0.35</v>
      </c>
      <c r="AY22" s="370"/>
      <c r="AZ22" s="19" t="str">
        <v>AUTO-GAS-CAM5</v>
      </c>
      <c r="BA22" s="370" cm="1">
        <f t="array" ref="BA22:BA24">TRANSPOSE('5. Data'!AA212:AC212)</f>
        <v>0.61324097015441748</v>
      </c>
      <c r="BB22" s="19" t="s">
        <v>897</v>
      </c>
      <c r="BC22" s="19"/>
      <c r="BD22" s="19" t="str">
        <f>+PROCESS!N150</f>
        <v>AUTO-COL-OIL-CAM5</v>
      </c>
      <c r="BE22" s="19" t="str">
        <f t="shared" si="9"/>
        <v>FUEL-OIL-CAM5</v>
      </c>
      <c r="BF22" s="19" t="str">
        <f t="shared" ref="BF22:BF23" si="11">+BF21</f>
        <v>ELC-COL-CAM5</v>
      </c>
      <c r="BG22" s="19">
        <v>0.35</v>
      </c>
      <c r="BH22" s="19"/>
      <c r="BI22" s="19" t="str">
        <f t="shared" si="6"/>
        <v>AUTO-COL-OIL-CAM5</v>
      </c>
      <c r="BJ22" s="401">
        <v>0.1141217703936</v>
      </c>
      <c r="BK22" s="19" t="s">
        <v>897</v>
      </c>
      <c r="BL22" s="1"/>
      <c r="BM22" s="43"/>
      <c r="BN22" s="116"/>
      <c r="BW22" s="309"/>
      <c r="BX22" s="309" t="s">
        <v>22</v>
      </c>
      <c r="BY22" s="400">
        <f>+'5. Data'!R162</f>
        <v>0</v>
      </c>
      <c r="BZ22" s="655"/>
      <c r="CB22" s="705"/>
      <c r="CC22" s="309"/>
      <c r="CD22" s="309"/>
      <c r="CE22" s="309"/>
      <c r="CF22" s="309"/>
      <c r="CG22" s="309"/>
      <c r="CH22" s="309"/>
      <c r="CI22" s="309"/>
      <c r="CJ22" s="309"/>
      <c r="CO22" s="381" t="s">
        <v>804</v>
      </c>
      <c r="CR22" s="305"/>
      <c r="CT22" s="116"/>
      <c r="CU22" s="283"/>
      <c r="CV22" s="11" t="s">
        <v>146</v>
      </c>
      <c r="CW22" s="228"/>
      <c r="DB22" s="1"/>
      <c r="DC22" s="283"/>
      <c r="DD22" s="11" t="str">
        <f>+BX21</f>
        <v>GAS-plt-CAM7</v>
      </c>
      <c r="DE22" s="228"/>
      <c r="DJ22" s="655"/>
      <c r="DL22" s="116"/>
      <c r="DM22" s="12" t="str">
        <f>+(DM9)</f>
        <v>COMPRA-ELC-CAM1</v>
      </c>
      <c r="DN22" s="12" t="s">
        <v>1495</v>
      </c>
      <c r="DO22" s="222">
        <f>+'3. Scope3'!$G$19</f>
        <v>46.111111111111114</v>
      </c>
      <c r="DR22" s="12" t="str">
        <f>DR9</f>
        <v>COMPRA-ELC-COLO-CAM1</v>
      </c>
      <c r="DS22" s="12" t="str">
        <f>DN22</f>
        <v>CO2e-CAM1</v>
      </c>
      <c r="DT22" s="222">
        <f>+'3. Scope3'!$G$19</f>
        <v>46.111111111111114</v>
      </c>
      <c r="DW22" s="12" t="str">
        <f>PROCESS!N158</f>
        <v>COMPRA-ELC-COLG-CAM1</v>
      </c>
      <c r="DX22" s="12" t="str">
        <f>DS22</f>
        <v>CO2e-CAM1</v>
      </c>
      <c r="DY22" s="222">
        <f>+'3. Scope3'!$G$19</f>
        <v>46.111111111111114</v>
      </c>
    </row>
    <row r="23" spans="2:129" ht="15.75" customHeight="1" x14ac:dyDescent="0.3">
      <c r="B23" s="116"/>
      <c r="G23" s="856"/>
      <c r="I23" s="655"/>
      <c r="K23" s="116"/>
      <c r="L23" s="214" t="str">
        <f>+PROCESS!N25</f>
        <v>PROF-CAM2</v>
      </c>
      <c r="M23" s="214" t="s">
        <v>1038</v>
      </c>
      <c r="N23" s="214">
        <v>2019</v>
      </c>
      <c r="O23" s="287">
        <f t="array" ref="O23:O36">+TRANSPOSE('5. Data'!AI100:AV100)</f>
        <v>376.79251645149293</v>
      </c>
      <c r="U23" s="381" t="s">
        <v>804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f>PROCESS!N106</f>
        <v>FTE-FUEL-LPG-CAM2</v>
      </c>
      <c r="AO23" s="931" t="s">
        <v>22</v>
      </c>
      <c r="AP23" s="228"/>
      <c r="AQ23" s="228" t="str">
        <f t="shared" si="3"/>
        <v>FTE-FUEL-LPG-CAM2</v>
      </c>
      <c r="AR23" s="12" t="str">
        <f>COMM!D94</f>
        <v>FUEL-LPG-CAM2</v>
      </c>
      <c r="AS23" s="228">
        <v>1</v>
      </c>
      <c r="AT23" s="1"/>
      <c r="AU23" s="930" t="str">
        <v>AUTO-OIL-CAM5</v>
      </c>
      <c r="AV23" s="344" t="str">
        <f>AR20</f>
        <v>FUEL-OIL-CAM5</v>
      </c>
      <c r="AW23" s="930" t="str">
        <f>+AW22</f>
        <v>ELC-CAM5</v>
      </c>
      <c r="AX23" s="322">
        <v>0.35</v>
      </c>
      <c r="AY23" s="370"/>
      <c r="AZ23" s="19" t="str">
        <v>AUTO-OIL-CAM5</v>
      </c>
      <c r="BA23" s="370">
        <v>1.3049984589915189</v>
      </c>
      <c r="BB23" s="19" t="s">
        <v>897</v>
      </c>
      <c r="BC23" s="19"/>
      <c r="BD23" s="19" t="str">
        <f>+PROCESS!N151</f>
        <v>AUTO-COL-DSL-CAM5</v>
      </c>
      <c r="BE23" s="19" t="str">
        <f t="shared" si="9"/>
        <v>FUEL-DSL-CAM5</v>
      </c>
      <c r="BF23" s="19" t="str">
        <f t="shared" si="11"/>
        <v>ELC-COL-CAM5</v>
      </c>
      <c r="BG23" s="19">
        <v>0.35</v>
      </c>
      <c r="BH23" s="19"/>
      <c r="BI23" s="19" t="str">
        <f t="shared" si="6"/>
        <v>AUTO-COL-DSL-CAM5</v>
      </c>
      <c r="BJ23" s="401">
        <v>0.21397831948799997</v>
      </c>
      <c r="BK23" s="19" t="s">
        <v>897</v>
      </c>
      <c r="BL23" s="1"/>
      <c r="BM23" s="43"/>
      <c r="BN23" s="116"/>
      <c r="BW23" s="1"/>
      <c r="BX23" s="1"/>
      <c r="BY23" s="1"/>
      <c r="BZ23" s="655"/>
      <c r="CB23" s="705"/>
      <c r="CE23" s="222"/>
      <c r="CG23" s="309"/>
      <c r="CH23" s="309"/>
      <c r="CI23" s="309"/>
      <c r="CJ23" s="309"/>
      <c r="CN23" s="99"/>
      <c r="CO23" s="334" t="s">
        <v>272</v>
      </c>
      <c r="CP23" s="712" t="s">
        <v>1490</v>
      </c>
      <c r="CR23" s="305"/>
      <c r="CT23" s="116"/>
      <c r="DB23" s="1"/>
      <c r="DJ23" s="655"/>
      <c r="DL23" s="116"/>
      <c r="DM23" s="12" t="str">
        <f t="shared" ref="DM23:DM28" si="12">+(DM10)</f>
        <v>COMPRA-ELC-CAM2</v>
      </c>
      <c r="DN23" s="12" t="str">
        <f>COMM!AK21</f>
        <v>CO2e-CAM2</v>
      </c>
      <c r="DO23" s="222">
        <f>+'3. Scope3'!$G$19</f>
        <v>46.111111111111114</v>
      </c>
      <c r="DR23" s="12" t="str">
        <f t="shared" ref="DR23:DR28" si="13">DR10</f>
        <v>COMPRA-ELC-COLO-CAM2</v>
      </c>
      <c r="DS23" s="12" t="str">
        <f t="shared" ref="DS23:DS28" si="14">DN23</f>
        <v>CO2e-CAM2</v>
      </c>
      <c r="DT23" s="222">
        <f>+'3. Scope3'!$G$19</f>
        <v>46.111111111111114</v>
      </c>
      <c r="DW23" s="12" t="str">
        <f>PROCESS!N160</f>
        <v>COMPRA-ELC-COLG-CAM2</v>
      </c>
      <c r="DX23" s="12" t="str">
        <f t="shared" ref="DX23:DX28" si="15">DS23</f>
        <v>CO2e-CAM2</v>
      </c>
      <c r="DY23" s="222">
        <f>+'3. Scope3'!$G$19</f>
        <v>46.111111111111114</v>
      </c>
    </row>
    <row r="24" spans="2:129" ht="15.75" customHeight="1" x14ac:dyDescent="0.3">
      <c r="B24" s="116"/>
      <c r="G24" s="856"/>
      <c r="I24" s="655"/>
      <c r="K24" s="116"/>
      <c r="M24" s="214" t="s">
        <v>1038</v>
      </c>
      <c r="N24" s="214">
        <v>2020</v>
      </c>
      <c r="O24" s="287">
        <v>369.59874879475456</v>
      </c>
      <c r="U24" s="337" t="s">
        <v>272</v>
      </c>
      <c r="V24" s="337" t="s">
        <v>806</v>
      </c>
      <c r="W24" s="337" t="s">
        <v>977</v>
      </c>
      <c r="X24" s="677"/>
      <c r="Y24" s="677"/>
      <c r="Z24" s="677"/>
      <c r="AA24" s="677"/>
      <c r="AB24" s="676"/>
      <c r="AC24" s="1"/>
      <c r="AD24" s="116"/>
      <c r="AE24" s="381" t="s">
        <v>804</v>
      </c>
      <c r="AL24" s="655"/>
      <c r="AM24" s="1"/>
      <c r="AN24" s="12" t="str">
        <f>PROCESS!N85</f>
        <v>FTE-FUEL-GAS-CAM1</v>
      </c>
      <c r="AO24" s="12" t="str">
        <f>COMM!D30</f>
        <v>GAS-CAM1</v>
      </c>
      <c r="AP24" s="228"/>
      <c r="AQ24" s="228" t="str">
        <f>PROCESS!N85</f>
        <v>FTE-FUEL-GAS-CAM1</v>
      </c>
      <c r="AR24" s="12" t="str">
        <f>COMM!D73</f>
        <v>FUEL-GAS-CAM1</v>
      </c>
      <c r="AS24" s="228">
        <v>1</v>
      </c>
      <c r="AT24" s="1"/>
      <c r="AU24" s="930" t="str">
        <v>AUTO-DSL-CAM5</v>
      </c>
      <c r="AV24" s="344" t="str">
        <f>AR13</f>
        <v>FUEL-DSL-CAM5</v>
      </c>
      <c r="AW24" s="930" t="str">
        <f>+AW23</f>
        <v>ELC-CAM5</v>
      </c>
      <c r="AX24" s="322">
        <v>0.35</v>
      </c>
      <c r="AY24" s="1"/>
      <c r="AZ24" s="19" t="str">
        <v>AUTO-DSL-CAM5</v>
      </c>
      <c r="BA24" s="370">
        <v>0.61672895037406383</v>
      </c>
      <c r="BB24" s="19" t="s">
        <v>897</v>
      </c>
      <c r="BC24" s="19"/>
      <c r="BD24" s="19" t="str">
        <f>+PROCESS!N152</f>
        <v>AUTO-COL-GAS-CAM6</v>
      </c>
      <c r="BE24" s="19" t="str">
        <f t="shared" si="9"/>
        <v>FUEL-GAS-CAM6</v>
      </c>
      <c r="BF24" s="19" t="str">
        <f>+COMM!D104</f>
        <v>ELC-COL-CAM6</v>
      </c>
      <c r="BG24" s="19">
        <f t="array" ref="BG24:BG26">+TRANSPOSE('5. Data'!U225:W225)</f>
        <v>0.35</v>
      </c>
      <c r="BH24" s="19"/>
      <c r="BI24" s="19" t="str">
        <f t="shared" si="6"/>
        <v>AUTO-COL-GAS-CAM6</v>
      </c>
      <c r="BJ24" s="401">
        <f t="array" ref="BJ24:BJ26">+TRANSPOSE('5. Data'!Z225:AB225)</f>
        <v>1.1095172121600003E-2</v>
      </c>
      <c r="BK24" s="19" t="s">
        <v>897</v>
      </c>
      <c r="BL24" s="1"/>
      <c r="BM24" s="43"/>
      <c r="BN24" s="116"/>
      <c r="BW24" s="1"/>
      <c r="BX24" s="1"/>
      <c r="BY24" s="1"/>
      <c r="BZ24" s="655"/>
      <c r="CB24" s="656"/>
      <c r="CC24" s="1"/>
      <c r="CD24" s="1"/>
      <c r="CE24" s="1"/>
      <c r="CF24" s="1"/>
      <c r="CG24" s="1"/>
      <c r="CH24" s="1"/>
      <c r="CI24" s="1"/>
      <c r="CJ24" s="1"/>
      <c r="CO24" s="12" t="str">
        <f t="array" ref="CO24:CO28">+CO9:CO13</f>
        <v>COLFUEL-LOIL-CAM2</v>
      </c>
      <c r="CP24" s="205">
        <f>+'5. Data'!N194</f>
        <v>0.4052236060193658</v>
      </c>
      <c r="CR24" s="305"/>
      <c r="CT24" s="116"/>
      <c r="CU24" s="381" t="s">
        <v>804</v>
      </c>
      <c r="DB24" s="1"/>
      <c r="DC24" s="381" t="s">
        <v>804</v>
      </c>
      <c r="DJ24" s="655"/>
      <c r="DL24" s="116"/>
      <c r="DM24" s="12" t="str">
        <f t="shared" si="12"/>
        <v>COMPRA-ELC-CAM3</v>
      </c>
      <c r="DN24" s="12" t="str">
        <f>COMM!AK22</f>
        <v>CO2e-CAM3</v>
      </c>
      <c r="DO24" s="222">
        <f>+'3. Scope3'!$G$19</f>
        <v>46.111111111111114</v>
      </c>
      <c r="DR24" s="12" t="str">
        <f t="shared" si="13"/>
        <v>COMPRA-ELC-COLO-CAM3</v>
      </c>
      <c r="DS24" s="12" t="str">
        <f t="shared" si="14"/>
        <v>CO2e-CAM3</v>
      </c>
      <c r="DT24" s="222">
        <f>+'3. Scope3'!$G$19</f>
        <v>46.111111111111114</v>
      </c>
      <c r="DW24" s="12" t="str">
        <f>PROCESS!N161</f>
        <v>COMPRA-ELC-COLG-CAM3</v>
      </c>
      <c r="DX24" s="12" t="str">
        <f t="shared" si="15"/>
        <v>CO2e-CAM3</v>
      </c>
      <c r="DY24" s="222">
        <f>+'3. Scope3'!$G$19</f>
        <v>46.111111111111114</v>
      </c>
    </row>
    <row r="25" spans="2:129" ht="15.75" customHeight="1" x14ac:dyDescent="0.3">
      <c r="B25" s="116"/>
      <c r="G25" s="856"/>
      <c r="I25" s="655"/>
      <c r="K25" s="116"/>
      <c r="M25" s="214" t="s">
        <v>1038</v>
      </c>
      <c r="N25" s="214">
        <v>2023</v>
      </c>
      <c r="O25" s="287">
        <v>295.71175125095385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3"/>
      <c r="AC25" s="390"/>
      <c r="AD25" s="116"/>
      <c r="AE25" s="337" t="s">
        <v>272</v>
      </c>
      <c r="AF25" s="337" t="s">
        <v>806</v>
      </c>
      <c r="AG25" s="337" t="s">
        <v>977</v>
      </c>
      <c r="AL25" s="655"/>
      <c r="AM25" s="1"/>
      <c r="AO25" t="str">
        <f>COMM!D43</f>
        <v>GAS-plt-CAM1</v>
      </c>
      <c r="AP25" s="228"/>
      <c r="AQ25" s="228" t="str">
        <f>PROCESS!N86</f>
        <v>FTE-FUEL-GAS-CAM2</v>
      </c>
      <c r="AR25" s="12" t="str">
        <f>COMM!D74</f>
        <v>FUEL-GAS-CAM2</v>
      </c>
      <c r="AS25" s="228">
        <v>1</v>
      </c>
      <c r="AT25" s="1"/>
      <c r="AU25" s="930" t="str">
        <v>AUTO-GAS-CAM6</v>
      </c>
      <c r="AV25" s="716" t="str">
        <f>AR29</f>
        <v>FUEL-GAS-CAM6</v>
      </c>
      <c r="AW25" s="930" t="str">
        <f>+COMM!D68</f>
        <v>ELC-CAM6</v>
      </c>
      <c r="AX25" s="322">
        <f t="array" ref="AX25:AX27">+TRANSPOSE('5. Data'!U213:W213)</f>
        <v>0.35</v>
      </c>
      <c r="AY25" s="1"/>
      <c r="AZ25" s="19" t="str">
        <v>AUTO-GAS-CAM6</v>
      </c>
      <c r="BA25" s="370" cm="1">
        <f t="array" ref="BA25:BA27">TRANSPOSE('5. Data'!AA213:AC213)</f>
        <v>7.2015258812680727E-2</v>
      </c>
      <c r="BB25" s="19" t="s">
        <v>897</v>
      </c>
      <c r="BC25" s="19"/>
      <c r="BD25" s="19" t="str">
        <f>+PROCESS!N153</f>
        <v>AUTO-COL-OIL-CAM6</v>
      </c>
      <c r="BE25" s="19" t="str">
        <f t="shared" si="9"/>
        <v>FUEL-OIL-CAM6</v>
      </c>
      <c r="BF25" s="19" t="str">
        <f t="shared" ref="BF25:BF26" si="16">+BF24</f>
        <v>ELC-COL-CAM6</v>
      </c>
      <c r="BG25" s="19">
        <v>0.35</v>
      </c>
      <c r="BH25" s="19"/>
      <c r="BI25" s="19" t="str">
        <f t="shared" si="6"/>
        <v>AUTO-COL-OIL-CAM6</v>
      </c>
      <c r="BJ25" s="401">
        <v>4.4380688486400012E-2</v>
      </c>
      <c r="BK25" s="19" t="s">
        <v>897</v>
      </c>
      <c r="BL25" s="1"/>
      <c r="BM25" s="43"/>
      <c r="BN25" s="116"/>
      <c r="BW25" s="1"/>
      <c r="BX25" s="1"/>
      <c r="BY25" s="1"/>
      <c r="BZ25" s="655"/>
      <c r="CB25" s="656"/>
      <c r="CC25" s="1"/>
      <c r="CD25" s="1"/>
      <c r="CE25" s="1"/>
      <c r="CF25" s="1"/>
      <c r="CG25" s="1"/>
      <c r="CH25" s="1"/>
      <c r="CI25" s="1"/>
      <c r="CJ25" s="1"/>
      <c r="CO25" s="12" t="str">
        <v>COLFUEL-HOIL-CAM3</v>
      </c>
      <c r="CP25" s="205">
        <f>+'5. Data'!N195</f>
        <v>0.95282307361310337</v>
      </c>
      <c r="CR25" s="305"/>
      <c r="CT25" s="116"/>
      <c r="CU25" s="692" t="s">
        <v>272</v>
      </c>
      <c r="CV25" s="683" t="s">
        <v>805</v>
      </c>
      <c r="CW25" s="714" t="s">
        <v>973</v>
      </c>
      <c r="DB25" s="1"/>
      <c r="DC25" s="334" t="s">
        <v>272</v>
      </c>
      <c r="DD25" s="678" t="s">
        <v>805</v>
      </c>
      <c r="DE25" s="371" t="s">
        <v>973</v>
      </c>
      <c r="DJ25" s="655"/>
      <c r="DL25" s="116"/>
      <c r="DM25" s="12" t="str">
        <f t="shared" si="12"/>
        <v>COMPRA-ELC-CAM4</v>
      </c>
      <c r="DN25" s="12" t="s">
        <v>68</v>
      </c>
      <c r="DO25" s="222">
        <f>+'3. Scope3'!$G$19</f>
        <v>46.111111111111114</v>
      </c>
      <c r="DR25" s="12" t="str">
        <f t="shared" si="13"/>
        <v>COMPRA-ELC-COLO-CAM4</v>
      </c>
      <c r="DS25" s="12" t="str">
        <f t="shared" si="14"/>
        <v>CO2e-CAM4</v>
      </c>
      <c r="DT25" s="222">
        <f>+'3. Scope3'!$G$19</f>
        <v>46.111111111111114</v>
      </c>
      <c r="DW25" s="12" t="str">
        <f>PROCESS!N162</f>
        <v>COMPRA-ELC-COLG-CAM4</v>
      </c>
      <c r="DX25" s="12" t="str">
        <f t="shared" si="15"/>
        <v>CO2e-CAM4</v>
      </c>
      <c r="DY25" s="222">
        <f>+'3. Scope3'!$G$19</f>
        <v>46.111111111111114</v>
      </c>
    </row>
    <row r="26" spans="2:129" ht="15.75" customHeight="1" x14ac:dyDescent="0.3">
      <c r="B26" s="116"/>
      <c r="I26" s="655"/>
      <c r="K26" s="116"/>
      <c r="M26" s="214" t="s">
        <v>1038</v>
      </c>
      <c r="N26" s="214">
        <v>2025</v>
      </c>
      <c r="O26" s="287">
        <v>221.21840706405601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0.48516234743432179</v>
      </c>
      <c r="X26" s="1"/>
      <c r="Y26" s="700"/>
      <c r="Z26" s="1"/>
      <c r="AA26" s="700"/>
      <c r="AB26" s="713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f>PROCESS!N86</f>
        <v>FTE-FUEL-GAS-CAM2</v>
      </c>
      <c r="AO26" s="12" t="str">
        <f>COMM!D31</f>
        <v>GAS-CAM2</v>
      </c>
      <c r="AP26" s="228"/>
      <c r="AQ26" s="228" t="str">
        <f>PROCESS!N87</f>
        <v>FTE-FUEL-GAS-CAM3</v>
      </c>
      <c r="AR26" s="12" t="str">
        <f>COMM!D75</f>
        <v>FUEL-GAS-CAM3</v>
      </c>
      <c r="AS26" s="228">
        <v>1</v>
      </c>
      <c r="AT26" s="1"/>
      <c r="AU26" s="930" t="str">
        <v>AUTO-OIL-CAM6</v>
      </c>
      <c r="AV26" s="344" t="str">
        <f>AR21</f>
        <v>FUEL-OIL-CAM6</v>
      </c>
      <c r="AW26" s="930" t="str">
        <f>+AW25</f>
        <v>ELC-CAM6</v>
      </c>
      <c r="AX26" s="322">
        <v>0.35</v>
      </c>
      <c r="AY26" s="1"/>
      <c r="AZ26" s="19" t="str">
        <v>AUTO-OIL-CAM6</v>
      </c>
      <c r="BA26" s="370">
        <v>0.62054333297305764</v>
      </c>
      <c r="BB26" s="19" t="s">
        <v>897</v>
      </c>
      <c r="BC26" s="19"/>
      <c r="BD26" s="19" t="str">
        <f>+PROCESS!N154</f>
        <v>AUTO-COL-DSL-CAM6</v>
      </c>
      <c r="BE26" s="19" t="str">
        <f t="shared" si="9"/>
        <v>FUEL-DSL-CAM6</v>
      </c>
      <c r="BF26" s="19" t="str">
        <f t="shared" si="16"/>
        <v>ELC-COL-CAM6</v>
      </c>
      <c r="BG26" s="19">
        <v>0.35</v>
      </c>
      <c r="BH26" s="19"/>
      <c r="BI26" s="19" t="str">
        <f t="shared" si="6"/>
        <v>AUTO-COL-DSL-CAM6</v>
      </c>
      <c r="BJ26" s="401">
        <v>8.3213790912000027E-2</v>
      </c>
      <c r="BK26" s="19" t="s">
        <v>897</v>
      </c>
      <c r="BL26" s="1"/>
      <c r="BM26" s="43"/>
      <c r="BN26" s="116"/>
      <c r="BW26" s="1"/>
      <c r="BX26" s="1"/>
      <c r="BY26" s="1"/>
      <c r="BZ26" s="655"/>
      <c r="CB26" s="687"/>
      <c r="CC26" s="1"/>
      <c r="CD26" s="1"/>
      <c r="CE26" s="1"/>
      <c r="CF26" s="1"/>
      <c r="CG26" s="677"/>
      <c r="CH26" s="677"/>
      <c r="CI26" s="677"/>
      <c r="CJ26" s="677"/>
      <c r="CO26" s="12" t="str">
        <v>COLFUEL-LOIL-CAM4</v>
      </c>
      <c r="CP26" s="205">
        <f>+'5. Data'!N196</f>
        <v>0.4052236060193658</v>
      </c>
      <c r="CR26" s="305"/>
      <c r="CT26" s="116"/>
      <c r="CU26" s="12" t="str">
        <f>+(CY9)</f>
        <v>COLELC-GAS-CAM1</v>
      </c>
      <c r="CV26" s="11" t="str">
        <f t="shared" ref="CV26" si="17">+DY9</f>
        <v>ELC-G-COL-CAM1</v>
      </c>
      <c r="CW26" s="266">
        <f>DE26</f>
        <v>2.0955992415926552E-3</v>
      </c>
      <c r="DB26" s="1"/>
      <c r="DC26" s="12" t="str">
        <f>+(DG9)</f>
        <v>COLFUEL-GAS-CAM1</v>
      </c>
      <c r="DD26" s="11" t="str">
        <f>+BF9</f>
        <v>ELC-COL-CAM1</v>
      </c>
      <c r="DE26" s="266">
        <f>+'5. Data'!N183/('5. Data'!N183+1)</f>
        <v>2.0955992415926552E-3</v>
      </c>
      <c r="DJ26" s="655"/>
      <c r="DL26" s="116"/>
      <c r="DM26" s="12" t="str">
        <f t="shared" si="12"/>
        <v>COMPRA-ELC-CAM5</v>
      </c>
      <c r="DN26" s="12" t="s">
        <v>71</v>
      </c>
      <c r="DO26" s="222">
        <f>+'3. Scope3'!$G$19</f>
        <v>46.111111111111114</v>
      </c>
      <c r="DR26" s="12" t="str">
        <f t="shared" si="13"/>
        <v>COMPRA-ELC-COLO-CAM5</v>
      </c>
      <c r="DS26" s="12" t="str">
        <f t="shared" si="14"/>
        <v>CO2e-CAM5</v>
      </c>
      <c r="DT26" s="222">
        <f>+'3. Scope3'!$G$19</f>
        <v>46.111111111111114</v>
      </c>
      <c r="DW26" s="12" t="str">
        <f>PROCESS!N163</f>
        <v>COMPRA-ELC-COLG-CAM5</v>
      </c>
      <c r="DX26" s="12" t="str">
        <f t="shared" si="15"/>
        <v>CO2e-CAM5</v>
      </c>
      <c r="DY26" s="222">
        <f>+'3. Scope3'!$G$19</f>
        <v>46.111111111111114</v>
      </c>
    </row>
    <row r="27" spans="2:129" ht="15.75" customHeight="1" x14ac:dyDescent="0.3">
      <c r="B27" s="116"/>
      <c r="G27" s="856"/>
      <c r="I27" s="655"/>
      <c r="K27" s="116"/>
      <c r="M27" s="214" t="s">
        <v>1038</v>
      </c>
      <c r="N27" s="214">
        <v>2027</v>
      </c>
      <c r="O27" s="287">
        <v>171.31169310730004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3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O27" t="str">
        <f>COMM!D44</f>
        <v>GAS-plt-CAM2</v>
      </c>
      <c r="AP27" s="228"/>
      <c r="AQ27" s="228" t="str">
        <f>PROCESS!N88</f>
        <v>FTE-FUEL-GAS-CAM4</v>
      </c>
      <c r="AR27" s="12" t="str">
        <f>COMM!D76</f>
        <v>FUEL-GAS-CAM4</v>
      </c>
      <c r="AS27" s="228">
        <v>1</v>
      </c>
      <c r="AT27" s="1"/>
      <c r="AU27" s="930" t="str">
        <v>AUTO-DSL-CAM6</v>
      </c>
      <c r="AV27" s="344" t="str">
        <f>AR14</f>
        <v>FUEL-DSL-CAM6</v>
      </c>
      <c r="AW27" s="930" t="str">
        <f>+AW26</f>
        <v>ELC-CAM6</v>
      </c>
      <c r="AX27" s="322">
        <v>0.35</v>
      </c>
      <c r="AY27" s="1"/>
      <c r="AZ27" s="19" t="str">
        <v>AUTO-DSL-CAM6</v>
      </c>
      <c r="BA27" s="401">
        <v>0.29326244469426171</v>
      </c>
      <c r="BB27" s="19" t="s">
        <v>897</v>
      </c>
      <c r="BC27" s="1"/>
      <c r="BD27" s="19" t="str">
        <f>+PROCESS!N155</f>
        <v>AUTO-COL-GAS-CAM7</v>
      </c>
      <c r="BE27" s="19" t="str">
        <f t="shared" si="9"/>
        <v>FUEL-GAS-CAM7</v>
      </c>
      <c r="BF27" s="19" t="str">
        <f>+COMM!D105</f>
        <v>ELC-COL-CAM7</v>
      </c>
      <c r="BG27" s="19">
        <f t="array" ref="BG27:BG29">+TRANSPOSE('5. Data'!U226:W226)</f>
        <v>0.35</v>
      </c>
      <c r="BH27" s="1"/>
      <c r="BI27" s="19" t="str">
        <f t="shared" si="6"/>
        <v>AUTO-COL-GAS-CAM7</v>
      </c>
      <c r="BJ27" s="401">
        <f t="array" ref="BJ27:BJ29">+TRANSPOSE('5. Data'!Z226:AB226)</f>
        <v>3.1700491776000001E-3</v>
      </c>
      <c r="BK27" s="19" t="s">
        <v>897</v>
      </c>
      <c r="BL27" s="1"/>
      <c r="BM27" s="43"/>
      <c r="BN27" s="116"/>
      <c r="BW27" s="1"/>
      <c r="BX27" s="1"/>
      <c r="BY27" s="1"/>
      <c r="BZ27" s="655"/>
      <c r="CB27" s="715"/>
      <c r="CC27" s="1"/>
      <c r="CD27" s="1"/>
      <c r="CE27" s="1"/>
      <c r="CF27" s="1"/>
      <c r="CG27" s="390"/>
      <c r="CH27" s="390"/>
      <c r="CI27" s="390"/>
      <c r="CJ27" s="390"/>
      <c r="CO27" s="12" t="str">
        <v>COLFUEL-MOIL-CAM5</v>
      </c>
      <c r="CP27" s="205">
        <f>+'5. Data'!N197</f>
        <v>0.4052236060193658</v>
      </c>
      <c r="CR27" s="305"/>
      <c r="CT27" s="116"/>
      <c r="CU27" s="12" t="str">
        <f t="shared" ref="CU27:CU32" si="18">+(CY10)</f>
        <v>COLELC-GAS-CAM2</v>
      </c>
      <c r="CV27" s="11" t="str">
        <f>+DY10</f>
        <v>ELC-G-COL-CAM2</v>
      </c>
      <c r="CW27" s="266">
        <f t="shared" ref="CW27:CW32" si="19">DE27</f>
        <v>2.0955992415926552E-3</v>
      </c>
      <c r="CZ27" s="14"/>
      <c r="DA27" s="14" t="s">
        <v>480</v>
      </c>
      <c r="DB27" s="2"/>
      <c r="DC27" s="12" t="str">
        <f t="shared" ref="DC27:DC32" si="20">+(DG10)</f>
        <v>COLFUEL-GAS-CAM2</v>
      </c>
      <c r="DD27" s="957" t="str">
        <f>+BF12</f>
        <v>ELC-COL-CAM2</v>
      </c>
      <c r="DE27" s="266">
        <f>+'5. Data'!N184/('5. Data'!N184+1)</f>
        <v>2.0955992415926552E-3</v>
      </c>
      <c r="DH27" s="14"/>
      <c r="DI27" s="14" t="str">
        <f>V18</f>
        <v>kt/PJ</v>
      </c>
      <c r="DJ27" s="655"/>
      <c r="DL27" s="116"/>
      <c r="DM27" s="12" t="str">
        <f t="shared" si="12"/>
        <v>COMPRA-ELC-CAM6</v>
      </c>
      <c r="DN27" s="12" t="s">
        <v>73</v>
      </c>
      <c r="DO27" s="222">
        <f>+'3. Scope3'!$G$19</f>
        <v>46.111111111111114</v>
      </c>
      <c r="DR27" s="12" t="str">
        <f t="shared" si="13"/>
        <v>COMPRA-ELC-COLO-CAM6</v>
      </c>
      <c r="DS27" s="12" t="str">
        <f t="shared" si="14"/>
        <v>CO2e-CAM6</v>
      </c>
      <c r="DT27" s="222">
        <f>+'3. Scope3'!$G$19</f>
        <v>46.111111111111114</v>
      </c>
      <c r="DW27" s="12" t="str">
        <f>PROCESS!N164</f>
        <v>COMPRA-ELC-COLG-CAM6</v>
      </c>
      <c r="DX27" s="12" t="str">
        <f t="shared" si="15"/>
        <v>CO2e-CAM6</v>
      </c>
      <c r="DY27" s="222">
        <f>+'3. Scope3'!$G$19</f>
        <v>46.111111111111114</v>
      </c>
    </row>
    <row r="28" spans="2:129" ht="15.75" customHeight="1" x14ac:dyDescent="0.3">
      <c r="B28" s="116"/>
      <c r="G28" s="856"/>
      <c r="I28" s="655"/>
      <c r="K28" s="116"/>
      <c r="M28" s="214" t="s">
        <v>1038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3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f>PROCESS!N87</f>
        <v>FTE-FUEL-GAS-CAM3</v>
      </c>
      <c r="AO28" s="12" t="str">
        <f>COMM!D32</f>
        <v>GAS-CAM3</v>
      </c>
      <c r="AP28" s="228"/>
      <c r="AQ28" s="228" t="str">
        <f>PROCESS!N89</f>
        <v>FTE-FUEL-GAS-CAM5</v>
      </c>
      <c r="AR28" s="12" t="str">
        <f>COMM!D77</f>
        <v>FUEL-GAS-CAM5</v>
      </c>
      <c r="AS28" s="228">
        <v>1</v>
      </c>
      <c r="AT28" s="1"/>
      <c r="AU28" s="930" t="str">
        <v>AUTO-GAS-CAM7</v>
      </c>
      <c r="AV28" s="716" t="str">
        <f>AR30</f>
        <v>FUEL-GAS-CAM7</v>
      </c>
      <c r="AW28" s="930" t="str">
        <f>+COMM!D69</f>
        <v>ELC-CAM7</v>
      </c>
      <c r="AX28" s="322">
        <f t="array" ref="AX28:AX30">+TRANSPOSE('5. Data'!U214:W214)</f>
        <v>0.35</v>
      </c>
      <c r="AY28" s="1"/>
      <c r="AZ28" s="1" t="str">
        <v>AUTO-GAS-CAM7</v>
      </c>
      <c r="BA28" s="1" cm="1">
        <f t="array" ref="BA28:BA30">TRANSPOSE('5. Data'!AA214:AC214)</f>
        <v>8.0173996489854554E-3</v>
      </c>
      <c r="BB28" s="19" t="s">
        <v>897</v>
      </c>
      <c r="BC28" s="1"/>
      <c r="BD28" s="19" t="str">
        <f>+PROCESS!N156</f>
        <v>AUTO-COL-OIL-CAM7</v>
      </c>
      <c r="BE28" s="19" t="str">
        <f t="shared" si="9"/>
        <v>FUEL-OIL-CAM7</v>
      </c>
      <c r="BF28" s="19" t="str">
        <f t="shared" ref="BF28:BF29" si="21">+BF27</f>
        <v>ELC-COL-CAM7</v>
      </c>
      <c r="BG28" s="19">
        <v>0.35</v>
      </c>
      <c r="BH28" s="1"/>
      <c r="BI28" s="19" t="str">
        <f t="shared" si="6"/>
        <v>AUTO-COL-OIL-CAM7</v>
      </c>
      <c r="BJ28" s="401">
        <v>1.26801967104E-2</v>
      </c>
      <c r="BK28" s="19" t="s">
        <v>897</v>
      </c>
      <c r="BL28" s="1"/>
      <c r="BM28" s="43"/>
      <c r="BN28" s="116"/>
      <c r="BW28" s="1"/>
      <c r="BX28" s="1"/>
      <c r="BY28" s="1"/>
      <c r="BZ28" s="655"/>
      <c r="CB28" s="715"/>
      <c r="CC28" s="1"/>
      <c r="CD28" s="1"/>
      <c r="CE28" s="1"/>
      <c r="CF28" s="1"/>
      <c r="CG28" s="390"/>
      <c r="CH28" s="390"/>
      <c r="CI28" s="390"/>
      <c r="CJ28" s="390"/>
      <c r="CO28" s="12" t="str">
        <v>COLFUEL-MOIL-CAM6</v>
      </c>
      <c r="CP28" s="205">
        <f>+'5. Data'!N198</f>
        <v>0.4052236060193658</v>
      </c>
      <c r="CR28" s="305"/>
      <c r="CT28" s="116"/>
      <c r="CU28" s="12" t="str">
        <f t="shared" si="18"/>
        <v>COLELC-GAS-CAM3</v>
      </c>
      <c r="CV28" s="11" t="str">
        <f>+DY11</f>
        <v>ELC-G-COL-CAM3</v>
      </c>
      <c r="CW28" s="266">
        <f t="shared" si="19"/>
        <v>2.0955992415926552E-3</v>
      </c>
      <c r="CZ28" s="14" t="s">
        <v>1494</v>
      </c>
      <c r="DA28" s="365">
        <v>55.539114956987063</v>
      </c>
      <c r="DB28" s="573"/>
      <c r="DC28" s="12" t="str">
        <f t="shared" si="20"/>
        <v>COLFUEL-GAS-CAM3</v>
      </c>
      <c r="DD28" s="957" t="str">
        <f>+BF15</f>
        <v>ELC-COL-CAM3</v>
      </c>
      <c r="DE28" s="266">
        <f>+'5. Data'!N185/('5. Data'!N185+1)</f>
        <v>2.0955992415926552E-3</v>
      </c>
      <c r="DH28" s="14" t="str">
        <f>U19</f>
        <v>F.E. GAS</v>
      </c>
      <c r="DI28" s="365">
        <f>V19</f>
        <v>55.539114956987063</v>
      </c>
      <c r="DJ28" s="655"/>
      <c r="DL28" s="116"/>
      <c r="DM28" s="12" t="str">
        <f t="shared" si="12"/>
        <v>COMPRA-ELC-CAM7</v>
      </c>
      <c r="DN28" s="12" t="s">
        <v>76</v>
      </c>
      <c r="DO28" s="222">
        <f>+'3. Scope3'!$G$19</f>
        <v>46.111111111111114</v>
      </c>
      <c r="DR28" s="12" t="str">
        <f t="shared" si="13"/>
        <v>COMPRA-ELC-COLO-CAM7</v>
      </c>
      <c r="DS28" s="12" t="str">
        <f t="shared" si="14"/>
        <v>CO2e-CAM7</v>
      </c>
      <c r="DT28" s="222">
        <f>+'3. Scope3'!$G$19</f>
        <v>46.111111111111114</v>
      </c>
      <c r="DW28" s="12" t="str">
        <f>PROCESS!N165</f>
        <v>COMPRA-ELC-COLG-CAM7</v>
      </c>
      <c r="DX28" s="12" t="str">
        <f t="shared" si="15"/>
        <v>CO2e-CAM7</v>
      </c>
      <c r="DY28" s="222">
        <f>+'3. Scope3'!$G$19</f>
        <v>46.111111111111114</v>
      </c>
    </row>
    <row r="29" spans="2:129" ht="15.75" customHeight="1" x14ac:dyDescent="0.3">
      <c r="B29" s="116"/>
      <c r="G29" s="856"/>
      <c r="I29" s="655"/>
      <c r="K29" s="116"/>
      <c r="M29" s="214" t="s">
        <v>1038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3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O29" t="str">
        <f>COMM!D45</f>
        <v>GAS-plt-CAM3</v>
      </c>
      <c r="AP29" s="228"/>
      <c r="AQ29" s="228" t="str">
        <f>PROCESS!N90</f>
        <v>FTE-FUEL-GAS-CAM6</v>
      </c>
      <c r="AR29" s="12" t="str">
        <f>COMM!D78</f>
        <v>FUEL-GAS-CAM6</v>
      </c>
      <c r="AS29" s="228">
        <v>1</v>
      </c>
      <c r="AT29" s="1"/>
      <c r="AU29" s="930" t="str">
        <v>AUTO-OIL-CAM7</v>
      </c>
      <c r="AV29" s="344" t="str">
        <f>AR22</f>
        <v>FUEL-OIL-CAM7</v>
      </c>
      <c r="AW29" s="930" t="str">
        <f>+AW28</f>
        <v>ELC-CAM7</v>
      </c>
      <c r="AX29" s="322">
        <v>0.35</v>
      </c>
      <c r="AY29" s="1"/>
      <c r="AZ29" s="1" t="str">
        <v>AUTO-OIL-CAM7</v>
      </c>
      <c r="BA29" s="1">
        <v>0</v>
      </c>
      <c r="BB29" s="19" t="s">
        <v>897</v>
      </c>
      <c r="BC29" s="1"/>
      <c r="BD29" s="19" t="str">
        <f>+PROCESS!N157</f>
        <v>AUTO-COL-DSL-CAM7</v>
      </c>
      <c r="BE29" s="19" t="str">
        <f t="shared" si="9"/>
        <v>FUEL-DSL-CAM7</v>
      </c>
      <c r="BF29" s="19" t="str">
        <f t="shared" si="21"/>
        <v>ELC-COL-CAM7</v>
      </c>
      <c r="BG29" s="19">
        <v>0.35</v>
      </c>
      <c r="BH29" s="1"/>
      <c r="BI29" s="19" t="str">
        <f t="shared" si="6"/>
        <v>AUTO-COL-DSL-CAM7</v>
      </c>
      <c r="BJ29" s="401">
        <v>2.3775368831999998E-2</v>
      </c>
      <c r="BK29" s="19" t="s">
        <v>897</v>
      </c>
      <c r="BL29" s="1"/>
      <c r="BM29" s="43"/>
      <c r="BN29" s="116"/>
      <c r="BW29" s="1"/>
      <c r="BX29" s="1"/>
      <c r="BY29" s="1"/>
      <c r="BZ29" s="655"/>
      <c r="CB29" s="715"/>
      <c r="CC29" s="1"/>
      <c r="CD29" s="1"/>
      <c r="CE29" s="1"/>
      <c r="CF29" s="1"/>
      <c r="CG29" s="390"/>
      <c r="CH29" s="390"/>
      <c r="CI29" s="390"/>
      <c r="CJ29" s="390"/>
      <c r="CO29" s="228" t="str">
        <f t="array" ref="CO29:CO33">+CG9:CG13</f>
        <v>COLELC-LOIL-CAM2</v>
      </c>
      <c r="CP29" s="205">
        <f t="array" ref="CP29:CP33">+CP24:CP28</f>
        <v>0.4052236060193658</v>
      </c>
      <c r="CR29" s="305"/>
      <c r="CT29" s="116"/>
      <c r="CU29" s="12" t="str">
        <f t="shared" si="18"/>
        <v>COLELC-GAS-CAM4</v>
      </c>
      <c r="CV29" s="11" t="str">
        <f>+DY12</f>
        <v>ELC-G-COL-CAM4</v>
      </c>
      <c r="CW29" s="266">
        <f t="shared" si="19"/>
        <v>2.0955992415926552E-3</v>
      </c>
      <c r="DB29" s="1"/>
      <c r="DC29" s="12" t="str">
        <f t="shared" si="20"/>
        <v>COLFUEL-GAS-CAM4</v>
      </c>
      <c r="DD29" s="11" t="str">
        <f>+BF20</f>
        <v>ELC-COL-CAM4</v>
      </c>
      <c r="DE29" s="266">
        <f>+'5. Data'!N186/('5. Data'!N186+1)</f>
        <v>2.0955992415926552E-3</v>
      </c>
      <c r="DJ29" s="655"/>
      <c r="DL29" s="116"/>
    </row>
    <row r="30" spans="2:129" ht="15.75" customHeight="1" x14ac:dyDescent="0.3">
      <c r="B30" s="116"/>
      <c r="I30" s="655"/>
      <c r="K30" s="116"/>
      <c r="M30" s="214" t="s">
        <v>1038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3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2" t="str">
        <f>PROCESS!N88</f>
        <v>FTE-FUEL-GAS-CAM4</v>
      </c>
      <c r="AO30" s="12" t="str">
        <f>COMM!D33</f>
        <v>GAS-CAM4</v>
      </c>
      <c r="AP30" s="309"/>
      <c r="AQ30" s="228" t="str">
        <f>PROCESS!N91</f>
        <v>FTE-FUEL-GAS-CAM7</v>
      </c>
      <c r="AR30" s="12" t="str">
        <f>COMM!D79</f>
        <v>FUEL-GAS-CAM7</v>
      </c>
      <c r="AS30" s="228">
        <v>1</v>
      </c>
      <c r="AT30" s="1"/>
      <c r="AU30" s="930" t="str">
        <v>AUTO-DSL-CAM7</v>
      </c>
      <c r="AV30" s="344" t="str">
        <f>AR15</f>
        <v>FUEL-DSL-CAM7</v>
      </c>
      <c r="AW30" s="930" t="str">
        <f>+AW29</f>
        <v>ELC-CAM7</v>
      </c>
      <c r="AX30" s="322">
        <v>0.35</v>
      </c>
      <c r="AY30" s="370"/>
      <c r="AZ30" s="1" t="str">
        <v>AUTO-DSL-CAM7</v>
      </c>
      <c r="BA30" s="1">
        <v>0.27999999999999997</v>
      </c>
      <c r="BB30" s="19" t="s">
        <v>897</v>
      </c>
      <c r="BC30" s="1"/>
      <c r="BE30" s="946"/>
      <c r="BF30" s="944"/>
      <c r="BG30" s="947"/>
      <c r="BH30" s="1"/>
      <c r="BI30" s="1"/>
      <c r="BJ30" s="1"/>
      <c r="BK30" s="1"/>
      <c r="BL30" s="1"/>
      <c r="BM30" s="43"/>
      <c r="BN30" s="116"/>
      <c r="BW30" s="1"/>
      <c r="BX30" s="1"/>
      <c r="BY30" s="1"/>
      <c r="BZ30" s="655"/>
      <c r="CB30" s="715"/>
      <c r="CC30" s="1"/>
      <c r="CD30" s="1"/>
      <c r="CE30" s="1"/>
      <c r="CF30" s="1"/>
      <c r="CG30" s="390"/>
      <c r="CH30" s="390"/>
      <c r="CI30" s="390"/>
      <c r="CJ30" s="390"/>
      <c r="CO30" s="717" t="str">
        <v>COLELC-HOIL-CAM3</v>
      </c>
      <c r="CP30" s="205">
        <v>0.95282307361310337</v>
      </c>
      <c r="CR30" s="305"/>
      <c r="CT30" s="116"/>
      <c r="CU30" s="12" t="str">
        <f t="shared" si="18"/>
        <v>COLELC-GAS-CAM5</v>
      </c>
      <c r="CV30" s="11" t="str">
        <f>+DY13</f>
        <v>ELC-G-COL-CAM5</v>
      </c>
      <c r="CW30" s="266">
        <f t="shared" si="19"/>
        <v>2.0955992415926552E-3</v>
      </c>
      <c r="DB30" s="1"/>
      <c r="DC30" s="12" t="str">
        <f t="shared" si="20"/>
        <v>COLFUEL-GAS-CAM5</v>
      </c>
      <c r="DD30" s="11" t="str">
        <f>+BF23</f>
        <v>ELC-COL-CAM5</v>
      </c>
      <c r="DE30" s="266">
        <f>+'5. Data'!N187/('5. Data'!N187+1)</f>
        <v>2.0955992415926552E-3</v>
      </c>
      <c r="DJ30" s="655"/>
      <c r="DL30" s="116"/>
    </row>
    <row r="31" spans="2:129" ht="15.75" customHeight="1" x14ac:dyDescent="0.3">
      <c r="B31" s="116"/>
      <c r="I31" s="655"/>
      <c r="K31" s="116"/>
      <c r="M31" s="214" t="s">
        <v>1038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O31" t="str">
        <f>COMM!D46</f>
        <v>GAS-plt-CAM4</v>
      </c>
      <c r="AP31" s="1"/>
      <c r="AQ31" s="874"/>
      <c r="AR31" s="12"/>
      <c r="AS31" s="874"/>
      <c r="AT31" s="1"/>
      <c r="AU31" s="943"/>
      <c r="AV31" s="946"/>
      <c r="AW31" s="944"/>
      <c r="AX31" s="945"/>
      <c r="AY31" s="1"/>
      <c r="AZ31" s="1"/>
      <c r="BA31" s="1"/>
      <c r="BB31" s="1"/>
      <c r="BC31" s="1"/>
      <c r="BE31" s="946"/>
      <c r="BF31" s="944"/>
      <c r="BG31" s="945"/>
      <c r="BH31" s="1"/>
      <c r="BI31" s="1"/>
      <c r="BJ31" s="1"/>
      <c r="BK31" s="1"/>
      <c r="BL31" s="1"/>
      <c r="BM31" s="43"/>
      <c r="BN31" s="116"/>
      <c r="BW31" s="1"/>
      <c r="BX31" s="1"/>
      <c r="BY31" s="1"/>
      <c r="BZ31" s="655"/>
      <c r="CB31" s="715"/>
      <c r="CC31" s="1"/>
      <c r="CD31" s="1"/>
      <c r="CE31" s="1"/>
      <c r="CF31" s="1"/>
      <c r="CG31" s="390"/>
      <c r="CH31" s="390"/>
      <c r="CI31" s="390"/>
      <c r="CJ31" s="390"/>
      <c r="CO31" s="717" t="str">
        <v>COLELC-LOIL-CAM4</v>
      </c>
      <c r="CP31" s="205">
        <v>0.4052236060193658</v>
      </c>
      <c r="CR31" s="305"/>
      <c r="CT31" s="116"/>
      <c r="CU31" s="12" t="str">
        <f t="shared" si="18"/>
        <v>COLELC-GAS-CAM6</v>
      </c>
      <c r="CV31" s="11" t="str">
        <f t="shared" ref="CV31:CV32" si="22">+DY14</f>
        <v>ELC-G-COL-CAM6</v>
      </c>
      <c r="CW31" s="266">
        <f t="shared" si="19"/>
        <v>2.0955992415926552E-3</v>
      </c>
      <c r="DB31" s="1"/>
      <c r="DC31" s="12" t="str">
        <f t="shared" si="20"/>
        <v>COLFUEL-GAS-CAM6</v>
      </c>
      <c r="DD31" s="11" t="str">
        <f>+BF25</f>
        <v>ELC-COL-CAM6</v>
      </c>
      <c r="DE31" s="266">
        <f>+'5. Data'!N188/('5. Data'!N188+1)</f>
        <v>2.0955992415926552E-3</v>
      </c>
      <c r="DJ31" s="655"/>
      <c r="DL31" s="116"/>
      <c r="DM31">
        <v>2019</v>
      </c>
    </row>
    <row r="32" spans="2:129" ht="15.75" customHeight="1" x14ac:dyDescent="0.3">
      <c r="B32" s="116"/>
      <c r="I32" s="655"/>
      <c r="K32" s="116"/>
      <c r="M32" s="214" t="s">
        <v>1038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2" t="str">
        <f>PROCESS!N89</f>
        <v>FTE-FUEL-GAS-CAM5</v>
      </c>
      <c r="AO32" s="12" t="str">
        <f>COMM!D34</f>
        <v>GAS-CAM5</v>
      </c>
      <c r="AP32" s="1"/>
      <c r="AQ32" s="874"/>
      <c r="AR32" s="874"/>
      <c r="AS32" s="874"/>
      <c r="AT32" s="1"/>
      <c r="AU32" s="874"/>
      <c r="AV32" s="946"/>
      <c r="AW32" s="944"/>
      <c r="AX32" s="947"/>
      <c r="AY32" s="1"/>
      <c r="AZ32" s="1"/>
      <c r="BA32" s="1"/>
      <c r="BB32" s="1"/>
      <c r="BC32" s="1"/>
      <c r="BE32" s="946"/>
      <c r="BF32" s="944"/>
      <c r="BG32" s="947"/>
      <c r="BH32" s="1"/>
      <c r="BI32" s="1"/>
      <c r="BJ32" s="1"/>
      <c r="BK32" s="1"/>
      <c r="BL32" s="1"/>
      <c r="BM32" s="43"/>
      <c r="BN32" s="116"/>
      <c r="BW32" s="1"/>
      <c r="BX32" s="1"/>
      <c r="BY32" s="1"/>
      <c r="BZ32" s="655"/>
      <c r="CB32" s="715"/>
      <c r="CC32" s="1"/>
      <c r="CD32" s="1"/>
      <c r="CE32" s="1"/>
      <c r="CF32" s="1"/>
      <c r="CG32" s="390"/>
      <c r="CH32" s="390"/>
      <c r="CI32" s="390"/>
      <c r="CJ32" s="390"/>
      <c r="CO32" s="717" t="str">
        <v>COLELC-MOIL-CAM5</v>
      </c>
      <c r="CP32" s="205">
        <v>0.4052236060193658</v>
      </c>
      <c r="CR32" s="305"/>
      <c r="CT32" s="116"/>
      <c r="CU32" s="12" t="str">
        <f t="shared" si="18"/>
        <v>COLELC-GAS-CAM7</v>
      </c>
      <c r="CV32" s="11" t="str">
        <f t="shared" si="22"/>
        <v>ELC-G-COL-CAM7</v>
      </c>
      <c r="CW32" s="266">
        <f t="shared" si="19"/>
        <v>2.0955992415926552E-3</v>
      </c>
      <c r="DB32" s="1"/>
      <c r="DC32" s="12" t="str">
        <f t="shared" si="20"/>
        <v>COLFUEL-GAS-CAM7</v>
      </c>
      <c r="DD32" s="11" t="str">
        <f>+BF28</f>
        <v>ELC-COL-CAM7</v>
      </c>
      <c r="DE32" s="266">
        <f>+'5. Data'!N189/('5. Data'!N189+1)</f>
        <v>2.0955992415926552E-3</v>
      </c>
      <c r="DJ32" s="655"/>
      <c r="DL32" s="116"/>
      <c r="DM32" t="s">
        <v>1566</v>
      </c>
      <c r="DN32">
        <v>1646</v>
      </c>
      <c r="DO32" t="s">
        <v>523</v>
      </c>
      <c r="DP32">
        <f>+DN32*0.0036</f>
        <v>5.9256000000000002</v>
      </c>
      <c r="DQ32" t="s">
        <v>59</v>
      </c>
      <c r="DR32" s="381" t="s">
        <v>804</v>
      </c>
    </row>
    <row r="33" spans="2:123" ht="15.75" customHeight="1" x14ac:dyDescent="0.3">
      <c r="B33" s="116"/>
      <c r="I33" s="655"/>
      <c r="K33" s="116"/>
      <c r="M33" s="214" t="s">
        <v>1038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O33" t="str">
        <f>COMM!D47</f>
        <v>GAS-plt-CAM5</v>
      </c>
      <c r="AP33" s="1"/>
      <c r="AQ33" s="874"/>
      <c r="AR33" s="874"/>
      <c r="AS33" s="874"/>
      <c r="AT33" s="1"/>
      <c r="AU33" s="943"/>
      <c r="AV33" s="948"/>
      <c r="AW33" s="944"/>
      <c r="AX33" s="945"/>
      <c r="AY33" s="1"/>
      <c r="AZ33" s="1"/>
      <c r="BA33" s="1"/>
      <c r="BB33" s="1"/>
      <c r="BC33" s="1"/>
      <c r="BD33" s="19"/>
      <c r="BE33" s="948"/>
      <c r="BF33" s="944"/>
      <c r="BG33" s="945"/>
      <c r="BH33" s="1"/>
      <c r="BI33" s="1"/>
      <c r="BJ33" s="1"/>
      <c r="BK33" s="1"/>
      <c r="BL33" s="1"/>
      <c r="BM33" s="43"/>
      <c r="BN33" s="116"/>
      <c r="BW33" s="1"/>
      <c r="BX33" s="1"/>
      <c r="BY33" s="1"/>
      <c r="BZ33" s="655"/>
      <c r="CB33" s="656"/>
      <c r="CC33" s="1"/>
      <c r="CD33" s="1"/>
      <c r="CE33" s="1"/>
      <c r="CF33" s="1"/>
      <c r="CG33" s="1"/>
      <c r="CH33" s="1"/>
      <c r="CI33" s="1"/>
      <c r="CJ33" s="1"/>
      <c r="CO33" s="717" t="str">
        <v>COLELC-MOIL-CAM6</v>
      </c>
      <c r="CP33" s="205">
        <v>0.4052236060193658</v>
      </c>
      <c r="CR33" s="305"/>
      <c r="CT33" s="116"/>
      <c r="DB33" s="1"/>
      <c r="DC33" s="1"/>
      <c r="DD33" s="1"/>
      <c r="DE33" s="1"/>
      <c r="DF33" s="1"/>
      <c r="DG33" s="1"/>
      <c r="DH33" s="1"/>
      <c r="DI33" s="1"/>
      <c r="DJ33" s="655"/>
      <c r="DL33" s="116"/>
      <c r="DM33" t="s">
        <v>1567</v>
      </c>
      <c r="DN33">
        <v>509</v>
      </c>
      <c r="DO33" t="s">
        <v>523</v>
      </c>
      <c r="DP33">
        <f>+DN33*0.0036</f>
        <v>1.8324</v>
      </c>
      <c r="DQ33" t="s">
        <v>59</v>
      </c>
      <c r="DR33" s="334" t="s">
        <v>272</v>
      </c>
      <c r="DS33" s="334" t="s">
        <v>1038</v>
      </c>
    </row>
    <row r="34" spans="2:123" ht="15.75" customHeight="1" x14ac:dyDescent="0.3">
      <c r="B34" s="116"/>
      <c r="I34" s="655"/>
      <c r="K34" s="116"/>
      <c r="M34" s="214" t="s">
        <v>1038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2" t="str">
        <f>PROCESS!N90</f>
        <v>FTE-FUEL-GAS-CAM6</v>
      </c>
      <c r="AO34" s="12" t="str">
        <f>COMM!D35</f>
        <v>GAS-CAM6</v>
      </c>
      <c r="AP34" s="1"/>
      <c r="AQ34" s="874"/>
      <c r="AR34" s="874"/>
      <c r="AS34" s="874"/>
      <c r="AT34" s="1"/>
      <c r="AU34" s="874"/>
      <c r="AV34" s="946"/>
      <c r="AW34" s="944"/>
      <c r="AX34" s="947"/>
      <c r="AY34" s="1"/>
      <c r="AZ34" s="1"/>
      <c r="BA34" s="1"/>
      <c r="BB34" s="1"/>
      <c r="BC34" s="1"/>
      <c r="BD34" s="874"/>
      <c r="BE34" s="946"/>
      <c r="BF34" s="944"/>
      <c r="BG34" s="947"/>
      <c r="BH34" s="1"/>
      <c r="BI34" s="1"/>
      <c r="BJ34" s="1"/>
      <c r="BK34" s="1"/>
      <c r="BL34" s="1"/>
      <c r="BM34" s="43"/>
      <c r="BN34" s="116"/>
      <c r="BW34" s="1"/>
      <c r="BX34" s="1"/>
      <c r="BY34" s="1"/>
      <c r="BZ34" s="655"/>
      <c r="CB34" s="656"/>
      <c r="CC34" s="1"/>
      <c r="CD34" s="1"/>
      <c r="CE34" s="1"/>
      <c r="CF34" s="1"/>
      <c r="CG34" s="1"/>
      <c r="CH34" s="1"/>
      <c r="CI34" s="1"/>
      <c r="CJ34" s="1"/>
      <c r="CR34" s="305"/>
      <c r="CT34" s="116"/>
      <c r="DB34" s="1"/>
      <c r="DC34" s="1"/>
      <c r="DD34" s="1"/>
      <c r="DE34" s="1"/>
      <c r="DF34" s="1"/>
      <c r="DG34" s="1"/>
      <c r="DH34" s="1"/>
      <c r="DI34" s="1"/>
      <c r="DJ34" s="655"/>
      <c r="DL34" s="116"/>
      <c r="DM34" t="s">
        <v>1568</v>
      </c>
      <c r="DN34" s="809">
        <f>3566038/1000000</f>
        <v>3.5660379999999998</v>
      </c>
      <c r="DO34" t="s">
        <v>523</v>
      </c>
      <c r="DP34" s="808">
        <f>+DN34*0.0036</f>
        <v>1.2837736799999999E-2</v>
      </c>
      <c r="DQ34" t="s">
        <v>59</v>
      </c>
      <c r="DR34" s="810" t="str">
        <f>+'1. EXP_IMP'!I67</f>
        <v>IMP-SIN</v>
      </c>
      <c r="DS34" s="811">
        <f>DP32</f>
        <v>5.9256000000000002</v>
      </c>
    </row>
    <row r="35" spans="2:123" ht="15.75" customHeight="1" x14ac:dyDescent="0.3">
      <c r="B35" s="116"/>
      <c r="I35" s="655"/>
      <c r="K35" s="116"/>
      <c r="M35" s="214" t="s">
        <v>1038</v>
      </c>
      <c r="N35" s="214">
        <v>2047</v>
      </c>
      <c r="O35" s="287">
        <v>10.029486407153993</v>
      </c>
      <c r="Q35" s="421"/>
      <c r="U35" s="718"/>
      <c r="V35" s="718"/>
      <c r="X35" s="1"/>
      <c r="Y35" s="1"/>
      <c r="Z35" s="1"/>
      <c r="AA35" s="1"/>
      <c r="AB35" s="655"/>
      <c r="AC35" s="1"/>
      <c r="AD35" s="116"/>
      <c r="AL35" s="655"/>
      <c r="AM35" s="1"/>
      <c r="AO35" t="str">
        <f>COMM!D48</f>
        <v>GAS-plt-CAM6</v>
      </c>
      <c r="AP35" s="1"/>
      <c r="AQ35" s="874"/>
      <c r="AR35" s="874"/>
      <c r="AS35" s="874"/>
      <c r="AT35" s="1"/>
      <c r="AU35" s="943"/>
      <c r="AV35" s="874"/>
      <c r="AW35" s="874"/>
      <c r="AX35" s="949"/>
      <c r="AY35" s="370"/>
      <c r="AZ35" s="1"/>
      <c r="BA35" s="1"/>
      <c r="BB35" s="1"/>
      <c r="BC35" s="1"/>
      <c r="BD35" s="1"/>
      <c r="BE35" s="1"/>
      <c r="BF35" s="1"/>
      <c r="BG35" s="322"/>
      <c r="BH35" s="1"/>
      <c r="BI35" s="1"/>
      <c r="BJ35" s="1"/>
      <c r="BK35" s="1"/>
      <c r="BL35" s="1"/>
      <c r="BM35" s="43"/>
      <c r="BN35" s="116"/>
      <c r="BW35" s="1"/>
      <c r="BX35" s="1"/>
      <c r="BY35" s="1"/>
      <c r="BZ35" s="655"/>
      <c r="CB35" s="656"/>
      <c r="CC35" s="1"/>
      <c r="CD35" s="1"/>
      <c r="CE35" s="1"/>
      <c r="CF35" s="1"/>
      <c r="CG35" s="1"/>
      <c r="CH35" s="1"/>
      <c r="CI35" s="1"/>
      <c r="CJ35" s="1"/>
      <c r="CR35" s="305"/>
      <c r="CT35" s="116"/>
      <c r="DB35" s="1"/>
      <c r="DC35" s="1"/>
      <c r="DD35" s="1"/>
      <c r="DE35" s="1"/>
      <c r="DF35" s="1"/>
      <c r="DG35" s="1"/>
      <c r="DH35" s="1"/>
      <c r="DI35" s="1"/>
      <c r="DJ35" s="655"/>
      <c r="DL35" s="116"/>
      <c r="DN35">
        <f>+DP35/0.0036</f>
        <v>2158.5660380000004</v>
      </c>
      <c r="DO35" t="s">
        <v>523</v>
      </c>
      <c r="DP35" s="808">
        <f>+DP34+DP33+DP32</f>
        <v>7.7708377368000008</v>
      </c>
      <c r="DQ35" t="s">
        <v>59</v>
      </c>
      <c r="DR35" s="810" t="str">
        <f>'1. EXP_IMP'!I69</f>
        <v>IMP-SIN-TRA</v>
      </c>
      <c r="DS35" s="960">
        <f>DP33+DP34</f>
        <v>1.8452377368000001</v>
      </c>
    </row>
    <row r="36" spans="2:123" ht="15.75" customHeight="1" x14ac:dyDescent="0.3">
      <c r="B36" s="116"/>
      <c r="I36" s="655"/>
      <c r="K36" s="116"/>
      <c r="M36" s="214" t="s">
        <v>1038</v>
      </c>
      <c r="N36" s="214">
        <v>2050</v>
      </c>
      <c r="O36" s="287">
        <v>6.6898601086639449</v>
      </c>
      <c r="Q36" s="421"/>
      <c r="U36" s="719"/>
      <c r="X36" s="1"/>
      <c r="Y36" s="1"/>
      <c r="Z36" s="1"/>
      <c r="AA36" s="1"/>
      <c r="AB36" s="655"/>
      <c r="AC36" s="1"/>
      <c r="AD36" s="116"/>
      <c r="AL36" s="655"/>
      <c r="AM36" s="1"/>
      <c r="AN36" s="12" t="str">
        <f>PROCESS!N91</f>
        <v>FTE-FUEL-GAS-CAM7</v>
      </c>
      <c r="AO36" s="12" t="str">
        <f>COMM!D36</f>
        <v>GAS-CAM7</v>
      </c>
      <c r="AP36" s="1"/>
      <c r="AQ36" s="874"/>
      <c r="AR36" s="874"/>
      <c r="AS36" s="874"/>
      <c r="AT36" s="1"/>
      <c r="AU36" s="874"/>
      <c r="AV36" s="874"/>
      <c r="AW36" s="950"/>
      <c r="AX36" s="951"/>
      <c r="AY36" s="370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43"/>
      <c r="BN36" s="116"/>
      <c r="BW36" s="1"/>
      <c r="BX36" s="1"/>
      <c r="BY36" s="1"/>
      <c r="BZ36" s="655"/>
      <c r="CB36" s="656"/>
      <c r="CC36" s="1"/>
      <c r="CD36" s="1"/>
      <c r="CE36" s="1"/>
      <c r="CF36" s="1"/>
      <c r="CG36" s="1"/>
      <c r="CH36" s="1"/>
      <c r="CI36" s="1"/>
      <c r="CJ36" s="1"/>
      <c r="CR36" s="305"/>
      <c r="CT36" s="116"/>
      <c r="DB36" s="1"/>
      <c r="DC36" s="1"/>
      <c r="DD36" s="1"/>
      <c r="DE36" s="1"/>
      <c r="DF36" s="1"/>
      <c r="DG36" s="1"/>
      <c r="DH36" s="1"/>
      <c r="DI36" s="1"/>
      <c r="DJ36" s="655"/>
      <c r="DL36" s="116"/>
    </row>
    <row r="37" spans="2:123" ht="15.75" customHeight="1" x14ac:dyDescent="0.3">
      <c r="B37" s="116"/>
      <c r="I37" s="655"/>
      <c r="K37" s="116"/>
      <c r="L37" s="214" t="str">
        <f>+PROCESS!N26</f>
        <v>PROF-CAM3</v>
      </c>
      <c r="M37" s="214" t="s">
        <v>1038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 t="str">
        <f>COMM!D49</f>
        <v>GAS-plt-CAM7</v>
      </c>
      <c r="AP37" s="1"/>
      <c r="AQ37" s="874"/>
      <c r="AR37" s="874"/>
      <c r="AS37" s="874"/>
      <c r="AT37" s="1"/>
      <c r="AU37" s="874"/>
      <c r="AV37" s="874"/>
      <c r="AW37" s="950"/>
      <c r="AX37" s="951"/>
      <c r="AY37" s="370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43"/>
      <c r="BN37" s="116"/>
      <c r="BW37" s="1"/>
      <c r="BX37" s="1"/>
      <c r="BY37" s="1"/>
      <c r="BZ37" s="655"/>
      <c r="CB37" s="656"/>
      <c r="CC37" s="1"/>
      <c r="CD37" s="1"/>
      <c r="CE37" s="1"/>
      <c r="CF37" s="1"/>
      <c r="CG37" s="1"/>
      <c r="CH37" s="1"/>
      <c r="CI37" s="1"/>
      <c r="CJ37" s="1"/>
      <c r="CR37" s="305"/>
      <c r="CT37" s="116"/>
      <c r="DB37" s="1"/>
      <c r="DC37" s="1"/>
      <c r="DD37" s="1"/>
      <c r="DE37" s="1"/>
      <c r="DF37" s="1"/>
      <c r="DG37" s="1"/>
      <c r="DH37" s="1"/>
      <c r="DI37" s="1"/>
      <c r="DJ37" s="655"/>
      <c r="DL37" s="116"/>
      <c r="DM37" t="s">
        <v>1569</v>
      </c>
      <c r="DN37">
        <v>725000</v>
      </c>
      <c r="DO37" t="s">
        <v>1572</v>
      </c>
    </row>
    <row r="38" spans="2:123" ht="15.75" customHeight="1" x14ac:dyDescent="0.3">
      <c r="B38" s="116"/>
      <c r="I38" s="655"/>
      <c r="K38" s="116"/>
      <c r="M38" s="214" t="s">
        <v>1038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874"/>
      <c r="AR38" s="874"/>
      <c r="AS38" s="874"/>
      <c r="AT38" s="1"/>
      <c r="AU38" s="874"/>
      <c r="AV38" s="874"/>
      <c r="AW38" s="950"/>
      <c r="AX38" s="951"/>
      <c r="AY38" s="370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43"/>
      <c r="BN38" s="116"/>
      <c r="BW38" s="1"/>
      <c r="BX38" s="1"/>
      <c r="BY38" s="1"/>
      <c r="BZ38" s="655"/>
      <c r="CB38" s="656"/>
      <c r="CC38" s="1"/>
      <c r="CD38" s="1"/>
      <c r="CE38" s="1"/>
      <c r="CF38" s="1"/>
      <c r="CG38" s="1"/>
      <c r="CH38" s="1"/>
      <c r="CI38" s="1"/>
      <c r="CJ38" s="1"/>
      <c r="CR38" s="305"/>
      <c r="CT38" s="116"/>
      <c r="DB38" s="1"/>
      <c r="DC38" s="1"/>
      <c r="DD38" s="1"/>
      <c r="DE38" s="1"/>
      <c r="DF38" s="1"/>
      <c r="DG38" s="1"/>
      <c r="DH38" s="1"/>
      <c r="DI38" s="1"/>
      <c r="DJ38" s="655"/>
      <c r="DL38" s="116"/>
      <c r="DM38" t="s">
        <v>1570</v>
      </c>
    </row>
    <row r="39" spans="2:123" ht="15.75" customHeight="1" x14ac:dyDescent="0.3">
      <c r="B39" s="116"/>
      <c r="I39" s="655"/>
      <c r="K39" s="116"/>
      <c r="M39" s="214" t="s">
        <v>1038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874"/>
      <c r="AR39" s="874"/>
      <c r="AS39" s="874"/>
      <c r="AT39" s="1"/>
      <c r="AU39" s="1"/>
      <c r="AV39" s="1"/>
      <c r="AW39" s="19"/>
      <c r="AX39" s="702"/>
      <c r="AY39" s="370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43"/>
      <c r="BN39" s="116"/>
      <c r="BW39" s="1"/>
      <c r="BX39" s="1"/>
      <c r="BY39" s="1"/>
      <c r="BZ39" s="655"/>
      <c r="CB39" s="656"/>
      <c r="CC39" s="1"/>
      <c r="CD39" s="1"/>
      <c r="CE39" s="1"/>
      <c r="CF39" s="1"/>
      <c r="CG39" s="1"/>
      <c r="CH39" s="1"/>
      <c r="CI39" s="1"/>
      <c r="CJ39" s="1"/>
      <c r="CR39" s="305"/>
      <c r="CT39" s="116"/>
      <c r="DB39" s="1"/>
      <c r="DC39" s="1"/>
      <c r="DD39" s="1"/>
      <c r="DE39" s="1"/>
      <c r="DF39" s="1"/>
      <c r="DG39" s="1"/>
      <c r="DH39" s="1"/>
      <c r="DI39" s="1"/>
      <c r="DJ39" s="655"/>
      <c r="DL39" s="116"/>
      <c r="DM39" t="s">
        <v>1571</v>
      </c>
      <c r="DN39">
        <v>168813</v>
      </c>
      <c r="DO39" t="s">
        <v>539</v>
      </c>
    </row>
    <row r="40" spans="2:123" ht="15.75" customHeight="1" x14ac:dyDescent="0.3">
      <c r="B40" s="116"/>
      <c r="I40" s="655"/>
      <c r="K40" s="116"/>
      <c r="M40" s="214" t="s">
        <v>1038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874"/>
      <c r="AR40" s="874"/>
      <c r="AS40" s="874"/>
      <c r="AT40" s="1"/>
      <c r="AU40" s="1"/>
      <c r="AV40" s="1"/>
      <c r="AW40" s="19"/>
      <c r="AX40" s="702"/>
      <c r="AY40" s="370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43"/>
      <c r="BN40" s="116"/>
      <c r="BW40" s="1"/>
      <c r="BX40" s="1"/>
      <c r="BY40" s="1"/>
      <c r="BZ40" s="655"/>
      <c r="CB40" s="656"/>
      <c r="CC40" s="1"/>
      <c r="CD40" s="1"/>
      <c r="CE40" s="1"/>
      <c r="CF40" s="1"/>
      <c r="CG40" s="1"/>
      <c r="CH40" s="1"/>
      <c r="CI40" s="1"/>
      <c r="CJ40" s="1"/>
      <c r="CR40" s="305"/>
      <c r="CT40" s="116"/>
      <c r="DB40" s="1"/>
      <c r="DC40" s="1"/>
      <c r="DD40" s="1"/>
      <c r="DE40" s="1"/>
      <c r="DF40" s="1"/>
      <c r="DG40" s="1"/>
      <c r="DH40" s="1"/>
      <c r="DI40" s="1"/>
      <c r="DJ40" s="655"/>
      <c r="DL40" s="116"/>
    </row>
    <row r="41" spans="2:123" ht="15.75" customHeight="1" x14ac:dyDescent="0.3">
      <c r="B41" s="116"/>
      <c r="I41" s="655"/>
      <c r="K41" s="116"/>
      <c r="M41" s="214" t="s">
        <v>1038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874"/>
      <c r="AR41" s="874"/>
      <c r="AS41" s="874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43"/>
      <c r="BN41" s="116"/>
      <c r="BW41" s="1"/>
      <c r="BX41" s="1"/>
      <c r="BY41" s="1"/>
      <c r="BZ41" s="655"/>
      <c r="CB41" s="656"/>
      <c r="CC41" s="1"/>
      <c r="CD41" s="1"/>
      <c r="CE41" s="1"/>
      <c r="CF41" s="1"/>
      <c r="CG41" s="1"/>
      <c r="CH41" s="1"/>
      <c r="CI41" s="1"/>
      <c r="CJ41" s="1"/>
      <c r="CR41" s="305"/>
      <c r="CT41" s="116"/>
      <c r="DB41" s="1"/>
      <c r="DC41" s="1"/>
      <c r="DD41" s="1"/>
      <c r="DE41" s="1"/>
      <c r="DF41" s="1"/>
      <c r="DG41" s="1"/>
      <c r="DH41" s="1"/>
      <c r="DI41" s="1"/>
      <c r="DJ41" s="655"/>
      <c r="DL41" s="116"/>
    </row>
    <row r="42" spans="2:123" ht="15.75" customHeight="1" x14ac:dyDescent="0.3">
      <c r="B42" s="116"/>
      <c r="I42" s="655"/>
      <c r="K42" s="116"/>
      <c r="M42" s="214" t="s">
        <v>1038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910</v>
      </c>
      <c r="AO42" s="866"/>
      <c r="AP42" s="866"/>
      <c r="AQ42" s="866"/>
      <c r="AR42" s="866"/>
      <c r="AS42" s="866"/>
      <c r="AT42" s="933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43"/>
      <c r="BN42" s="116"/>
      <c r="BW42" s="1"/>
      <c r="BX42" s="1"/>
      <c r="BY42" s="1"/>
      <c r="BZ42" s="655"/>
      <c r="CB42" s="656"/>
      <c r="CC42" s="1"/>
      <c r="CD42" s="1"/>
      <c r="CE42" s="1"/>
      <c r="CF42" s="1"/>
      <c r="CG42" s="1"/>
      <c r="CH42" s="1"/>
      <c r="CI42" s="1"/>
      <c r="CJ42" s="1"/>
      <c r="CR42" s="305"/>
      <c r="CT42" s="116"/>
      <c r="DB42" s="1"/>
      <c r="DC42" s="1"/>
      <c r="DD42" s="1"/>
      <c r="DE42" s="1"/>
      <c r="DF42" s="1"/>
      <c r="DG42" s="1"/>
      <c r="DH42" s="1"/>
      <c r="DI42" s="1"/>
      <c r="DJ42" s="655"/>
      <c r="DL42" s="116"/>
    </row>
    <row r="43" spans="2:123" ht="15.75" customHeight="1" x14ac:dyDescent="0.3">
      <c r="B43" s="116"/>
      <c r="I43" s="655"/>
      <c r="K43" s="116"/>
      <c r="M43" s="214" t="s">
        <v>1038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0" t="str">
        <f>+AR9</f>
        <v>FUEL-DSL-CAM1</v>
      </c>
      <c r="AP43" s="720" t="str">
        <f>AR16</f>
        <v>FUEL-OIL-CAM1</v>
      </c>
      <c r="AQ43" s="720" t="str">
        <f>AR24</f>
        <v>FUEL-GAS-CAM1</v>
      </c>
      <c r="AR43" s="362"/>
      <c r="AS43" s="362"/>
      <c r="AT43" s="362"/>
      <c r="AU43" s="222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43"/>
      <c r="BN43" s="116"/>
      <c r="BW43" s="1"/>
      <c r="BX43" s="1"/>
      <c r="BY43" s="1"/>
      <c r="BZ43" s="655"/>
      <c r="CB43" s="656"/>
      <c r="CC43" s="1"/>
      <c r="CD43" s="1"/>
      <c r="CE43" s="1"/>
      <c r="CF43" s="1"/>
      <c r="CG43" s="1"/>
      <c r="CH43" s="1"/>
      <c r="CI43" s="1"/>
      <c r="CJ43" s="1"/>
      <c r="CR43" s="305"/>
      <c r="CT43" s="116"/>
      <c r="DB43" s="1"/>
      <c r="DC43" s="1"/>
      <c r="DD43" s="1"/>
      <c r="DE43" s="1"/>
      <c r="DF43" s="1"/>
      <c r="DG43" s="1"/>
      <c r="DH43" s="1"/>
      <c r="DI43" s="1"/>
      <c r="DJ43" s="655"/>
      <c r="DL43" s="116"/>
    </row>
    <row r="44" spans="2:123" ht="15.75" customHeight="1" x14ac:dyDescent="0.3">
      <c r="B44" s="116"/>
      <c r="I44" s="655"/>
      <c r="K44" s="116"/>
      <c r="M44" s="214" t="s">
        <v>1038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2">
        <f>AO79</f>
        <v>75.166375708662926</v>
      </c>
      <c r="AP44" s="942">
        <f>AO76</f>
        <v>77.841777688967127</v>
      </c>
      <c r="AQ44" s="362">
        <f>$AO$75</f>
        <v>55.539114956987063</v>
      </c>
      <c r="AR44" s="362"/>
      <c r="AS44" s="362"/>
      <c r="AT44" s="362"/>
      <c r="AU44" s="222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43"/>
      <c r="BN44" s="116"/>
      <c r="BW44" s="1"/>
      <c r="BX44" s="1"/>
      <c r="BY44" s="1"/>
      <c r="BZ44" s="655"/>
      <c r="CB44" s="656"/>
      <c r="CC44" s="1"/>
      <c r="CD44" s="1"/>
      <c r="CE44" s="1"/>
      <c r="CF44" s="1"/>
      <c r="CG44" s="1"/>
      <c r="CH44" s="1"/>
      <c r="CI44" s="1"/>
      <c r="CJ44" s="1"/>
      <c r="CR44" s="305"/>
      <c r="CT44" s="116"/>
      <c r="DB44" s="1"/>
      <c r="DC44" s="1"/>
      <c r="DD44" s="1"/>
      <c r="DE44" s="1"/>
      <c r="DF44" s="1"/>
      <c r="DG44" s="1"/>
      <c r="DH44" s="1"/>
      <c r="DI44" s="1"/>
      <c r="DJ44" s="655"/>
      <c r="DL44" s="116"/>
    </row>
    <row r="45" spans="2:123" ht="15.75" customHeight="1" x14ac:dyDescent="0.3">
      <c r="B45" s="116"/>
      <c r="I45" s="655"/>
      <c r="K45" s="116"/>
      <c r="M45" s="214" t="s">
        <v>1038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P45" s="866"/>
      <c r="AQ45" s="866"/>
      <c r="AR45" s="866"/>
      <c r="AS45" s="866"/>
      <c r="AT45" s="866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43"/>
      <c r="BN45" s="116"/>
      <c r="BW45" s="1"/>
      <c r="BX45" s="1"/>
      <c r="BY45" s="1"/>
      <c r="BZ45" s="655"/>
      <c r="CB45" s="656"/>
      <c r="CC45" s="1"/>
      <c r="CD45" s="1"/>
      <c r="CE45" s="1"/>
      <c r="CF45" s="1"/>
      <c r="CG45" s="1"/>
      <c r="CH45" s="1"/>
      <c r="CI45" s="1"/>
      <c r="CJ45" s="1"/>
      <c r="CR45" s="305"/>
      <c r="CT45" s="116"/>
      <c r="DB45" s="1"/>
      <c r="DC45" s="1"/>
      <c r="DD45" s="1"/>
      <c r="DE45" s="1"/>
      <c r="DF45" s="1"/>
      <c r="DG45" s="1"/>
      <c r="DH45" s="1"/>
      <c r="DI45" s="1"/>
      <c r="DJ45" s="655"/>
      <c r="DL45" s="116"/>
    </row>
    <row r="46" spans="2:123" ht="15.75" customHeight="1" x14ac:dyDescent="0.3">
      <c r="B46" s="116"/>
      <c r="I46" s="655"/>
      <c r="K46" s="116"/>
      <c r="M46" s="214" t="s">
        <v>1038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P46" s="866"/>
      <c r="AQ46" s="866"/>
      <c r="AR46" s="866"/>
      <c r="AS46" s="866"/>
      <c r="AT46" s="866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43"/>
      <c r="BN46" s="116"/>
      <c r="BW46" s="1"/>
      <c r="BX46" s="1"/>
      <c r="BY46" s="1"/>
      <c r="BZ46" s="655"/>
      <c r="CB46" s="656"/>
      <c r="CC46" s="1"/>
      <c r="CD46" s="1"/>
      <c r="CE46" s="1"/>
      <c r="CF46" s="1"/>
      <c r="CG46" s="1"/>
      <c r="CH46" s="1"/>
      <c r="CI46" s="1"/>
      <c r="CJ46" s="1"/>
      <c r="CR46" s="305"/>
      <c r="CT46" s="116"/>
      <c r="DB46" s="1"/>
      <c r="DC46" s="1"/>
      <c r="DD46" s="1"/>
      <c r="DE46" s="1"/>
      <c r="DF46" s="1"/>
      <c r="DG46" s="1"/>
      <c r="DH46" s="1"/>
      <c r="DI46" s="1"/>
      <c r="DJ46" s="655"/>
      <c r="DL46" s="116"/>
    </row>
    <row r="47" spans="2:123" ht="15.75" customHeight="1" x14ac:dyDescent="0.3">
      <c r="B47" s="116"/>
      <c r="I47" s="655"/>
      <c r="K47" s="116"/>
      <c r="M47" s="214" t="s">
        <v>1038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910</v>
      </c>
      <c r="AO47" s="330"/>
      <c r="AP47" s="866"/>
      <c r="AQ47" s="866"/>
      <c r="AR47" s="866"/>
      <c r="AS47" s="866"/>
      <c r="AT47" s="866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43"/>
      <c r="BN47" s="116"/>
      <c r="BW47" s="1"/>
      <c r="BX47" s="1"/>
      <c r="BY47" s="1"/>
      <c r="BZ47" s="655"/>
      <c r="CB47" s="656"/>
      <c r="CC47" s="1"/>
      <c r="CD47" s="1"/>
      <c r="CE47" s="1"/>
      <c r="CF47" s="1"/>
      <c r="CG47" s="1"/>
      <c r="CH47" s="1"/>
      <c r="CI47" s="1"/>
      <c r="CJ47" s="1"/>
      <c r="CR47" s="305"/>
      <c r="CT47" s="116"/>
      <c r="DB47" s="1"/>
      <c r="DC47" s="1"/>
      <c r="DD47" s="1"/>
      <c r="DE47" s="1"/>
      <c r="DF47" s="1"/>
      <c r="DG47" s="1"/>
      <c r="DH47" s="1"/>
      <c r="DI47" s="1"/>
      <c r="DJ47" s="655"/>
      <c r="DL47" s="116"/>
    </row>
    <row r="48" spans="2:123" ht="15.75" customHeight="1" x14ac:dyDescent="0.3">
      <c r="B48" s="116"/>
      <c r="I48" s="655"/>
      <c r="K48" s="116"/>
      <c r="M48" s="214" t="s">
        <v>1038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0" t="str">
        <f>+AR10</f>
        <v>FUEL-DSL-CAM2</v>
      </c>
      <c r="AP48" s="720" t="str">
        <f>+AR17</f>
        <v>FUEL-OIL-CAM2</v>
      </c>
      <c r="AQ48" s="720" t="str">
        <f>AR25</f>
        <v>FUEL-GAS-CAM2</v>
      </c>
      <c r="AR48" s="720" t="str">
        <f>AR23</f>
        <v>FUEL-LPG-CAM2</v>
      </c>
      <c r="AS48" s="934"/>
      <c r="AT48" s="934"/>
      <c r="AV48" s="932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43"/>
      <c r="BN48" s="116"/>
      <c r="BW48" s="1"/>
      <c r="BX48" s="1"/>
      <c r="BY48" s="1"/>
      <c r="BZ48" s="655"/>
      <c r="CB48" s="656"/>
      <c r="CC48" s="1"/>
      <c r="CD48" s="1"/>
      <c r="CE48" s="1"/>
      <c r="CF48" s="1"/>
      <c r="CG48" s="1"/>
      <c r="CH48" s="1"/>
      <c r="CI48" s="1"/>
      <c r="CJ48" s="1"/>
      <c r="CR48" s="305"/>
      <c r="CT48" s="116"/>
      <c r="DB48" s="1"/>
      <c r="DC48" s="1"/>
      <c r="DD48" s="1"/>
      <c r="DE48" s="1"/>
      <c r="DF48" s="1"/>
      <c r="DG48" s="1"/>
      <c r="DH48" s="1"/>
      <c r="DI48" s="1"/>
      <c r="DJ48" s="655"/>
      <c r="DL48" s="116"/>
    </row>
    <row r="49" spans="2:116" ht="15.75" customHeight="1" x14ac:dyDescent="0.3">
      <c r="B49" s="116"/>
      <c r="I49" s="655"/>
      <c r="K49" s="116"/>
      <c r="M49" s="214" t="s">
        <v>1038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1">
        <f t="shared" ref="AO49" si="23">+AO44</f>
        <v>75.166375708662926</v>
      </c>
      <c r="AP49" s="942">
        <f>$AP$44</f>
        <v>77.841777688967127</v>
      </c>
      <c r="AQ49" s="935">
        <f>$AQ$44</f>
        <v>55.539114956987063</v>
      </c>
      <c r="AR49" s="936">
        <f>'3. Scope3'!H26</f>
        <v>47.28933824683137</v>
      </c>
      <c r="AS49" s="934"/>
      <c r="AT49" s="934"/>
      <c r="AV49" s="370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43"/>
      <c r="BN49" s="116"/>
      <c r="BW49" s="1"/>
      <c r="BX49" s="1"/>
      <c r="BY49" s="1"/>
      <c r="BZ49" s="655"/>
      <c r="CB49" s="656"/>
      <c r="CC49" s="1"/>
      <c r="CD49" s="1"/>
      <c r="CE49" s="1"/>
      <c r="CF49" s="1"/>
      <c r="CG49" s="1"/>
      <c r="CH49" s="1"/>
      <c r="CI49" s="1"/>
      <c r="CJ49" s="1"/>
      <c r="CR49" s="305"/>
      <c r="CT49" s="116"/>
      <c r="DB49" s="1"/>
      <c r="DC49" s="1"/>
      <c r="DD49" s="1"/>
      <c r="DE49" s="1"/>
      <c r="DF49" s="1"/>
      <c r="DG49" s="1"/>
      <c r="DH49" s="1"/>
      <c r="DI49" s="1"/>
      <c r="DJ49" s="655"/>
      <c r="DL49" s="116"/>
    </row>
    <row r="50" spans="2:116" ht="15.75" customHeight="1" x14ac:dyDescent="0.3">
      <c r="B50" s="116"/>
      <c r="I50" s="655"/>
      <c r="K50" s="116"/>
      <c r="M50" s="214" t="s">
        <v>1038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866"/>
      <c r="AQ50" s="933"/>
      <c r="AR50" s="933"/>
      <c r="AS50" s="937"/>
      <c r="AT50" s="937"/>
      <c r="AU50" s="874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43"/>
      <c r="BN50" s="116"/>
      <c r="BW50" s="1"/>
      <c r="BX50" s="1"/>
      <c r="BY50" s="1"/>
      <c r="BZ50" s="655"/>
      <c r="CB50" s="656"/>
      <c r="CC50" s="1"/>
      <c r="CD50" s="1"/>
      <c r="CE50" s="1"/>
      <c r="CF50" s="1"/>
      <c r="CG50" s="1"/>
      <c r="CH50" s="1"/>
      <c r="CI50" s="1"/>
      <c r="CJ50" s="1"/>
      <c r="CR50" s="305"/>
      <c r="CT50" s="116"/>
      <c r="DB50" s="1"/>
      <c r="DC50" s="1"/>
      <c r="DD50" s="1"/>
      <c r="DE50" s="1"/>
      <c r="DF50" s="1"/>
      <c r="DG50" s="1"/>
      <c r="DH50" s="1"/>
      <c r="DI50" s="1"/>
      <c r="DJ50" s="655"/>
      <c r="DL50" s="116"/>
    </row>
    <row r="51" spans="2:116" ht="15.75" customHeight="1" x14ac:dyDescent="0.3">
      <c r="B51" s="116"/>
      <c r="I51" s="655"/>
      <c r="K51" s="116"/>
      <c r="L51" s="214" t="str">
        <f>+PROCESS!N27</f>
        <v>PROF-CAM4</v>
      </c>
      <c r="M51" s="214" t="s">
        <v>1038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910</v>
      </c>
      <c r="AO51" s="330"/>
      <c r="AP51" s="866"/>
      <c r="AQ51" s="866"/>
      <c r="AR51" s="866"/>
      <c r="AS51" s="866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43"/>
      <c r="BN51" s="116"/>
      <c r="BW51" s="1"/>
      <c r="BX51" s="1"/>
      <c r="BY51" s="1"/>
      <c r="BZ51" s="655"/>
      <c r="CB51" s="656"/>
      <c r="CC51" s="1"/>
      <c r="CD51" s="1"/>
      <c r="CE51" s="1"/>
      <c r="CF51" s="1"/>
      <c r="CG51" s="1"/>
      <c r="CH51" s="1"/>
      <c r="CI51" s="1"/>
      <c r="CJ51" s="1"/>
      <c r="CR51" s="305"/>
      <c r="CT51" s="116"/>
      <c r="DB51" s="1"/>
      <c r="DC51" s="1"/>
      <c r="DD51" s="1"/>
      <c r="DE51" s="1"/>
      <c r="DF51" s="1"/>
      <c r="DG51" s="1"/>
      <c r="DH51" s="1"/>
      <c r="DI51" s="1"/>
      <c r="DJ51" s="655"/>
      <c r="DL51" s="116"/>
    </row>
    <row r="52" spans="2:116" ht="15.75" customHeight="1" x14ac:dyDescent="0.3">
      <c r="B52" s="116"/>
      <c r="I52" s="655"/>
      <c r="K52" s="116"/>
      <c r="M52" s="214" t="s">
        <v>1038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0" t="str">
        <f>+AR11</f>
        <v>FUEL-DSL-CAM3</v>
      </c>
      <c r="AP52" s="720" t="str">
        <f>+AR18</f>
        <v>FUEL-OIL-CAM3</v>
      </c>
      <c r="AQ52" s="720" t="str">
        <f>AR26</f>
        <v>FUEL-GAS-CAM3</v>
      </c>
      <c r="AR52" s="936"/>
      <c r="AS52" s="936"/>
      <c r="AT52" s="936"/>
      <c r="AU52" s="936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43"/>
      <c r="BN52" s="116"/>
      <c r="BW52" s="1"/>
      <c r="BX52" s="1"/>
      <c r="BY52" s="1"/>
      <c r="BZ52" s="655"/>
      <c r="CB52" s="656"/>
      <c r="CC52" s="1"/>
      <c r="CD52" s="1"/>
      <c r="CE52" s="1"/>
      <c r="CF52" s="1"/>
      <c r="CG52" s="1"/>
      <c r="CH52" s="1"/>
      <c r="CI52" s="1"/>
      <c r="CJ52" s="1"/>
      <c r="CR52" s="305"/>
      <c r="CT52" s="116"/>
      <c r="DB52" s="1"/>
      <c r="DC52" s="1"/>
      <c r="DD52" s="1"/>
      <c r="DE52" s="1"/>
      <c r="DF52" s="1"/>
      <c r="DG52" s="1"/>
      <c r="DH52" s="1"/>
      <c r="DI52" s="1"/>
      <c r="DJ52" s="655"/>
      <c r="DL52" s="116"/>
    </row>
    <row r="53" spans="2:116" ht="15.75" customHeight="1" x14ac:dyDescent="0.3">
      <c r="B53" s="116"/>
      <c r="I53" s="655"/>
      <c r="K53" s="116"/>
      <c r="M53" s="214" t="s">
        <v>1038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1">
        <f t="shared" ref="AO53" si="24">+AO44</f>
        <v>75.166375708662926</v>
      </c>
      <c r="AP53" s="942">
        <f>$AP$44</f>
        <v>77.841777688967127</v>
      </c>
      <c r="AQ53" s="935">
        <f>$AQ$44</f>
        <v>55.539114956987063</v>
      </c>
      <c r="AR53" s="936"/>
      <c r="AS53" s="934"/>
      <c r="AT53" s="934"/>
      <c r="AU53" s="932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43"/>
      <c r="BN53" s="116"/>
      <c r="BW53" s="1"/>
      <c r="BX53" s="1"/>
      <c r="BY53" s="1"/>
      <c r="BZ53" s="655"/>
      <c r="CB53" s="656"/>
      <c r="CC53" s="1"/>
      <c r="CD53" s="1"/>
      <c r="CE53" s="1"/>
      <c r="CF53" s="1"/>
      <c r="CG53" s="1"/>
      <c r="CH53" s="1"/>
      <c r="CI53" s="1"/>
      <c r="CJ53" s="1"/>
      <c r="CR53" s="305"/>
      <c r="CT53" s="116"/>
      <c r="DB53" s="1"/>
      <c r="DC53" s="1"/>
      <c r="DD53" s="1"/>
      <c r="DE53" s="1"/>
      <c r="DF53" s="1"/>
      <c r="DG53" s="1"/>
      <c r="DH53" s="1"/>
      <c r="DI53" s="1"/>
      <c r="DJ53" s="655"/>
      <c r="DL53" s="116"/>
    </row>
    <row r="54" spans="2:116" ht="15.75" customHeight="1" x14ac:dyDescent="0.3">
      <c r="B54" s="116"/>
      <c r="I54" s="655"/>
      <c r="K54" s="116"/>
      <c r="M54" s="214" t="s">
        <v>1038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866"/>
      <c r="AQ54" s="933"/>
      <c r="AR54" s="933"/>
      <c r="AS54" s="937"/>
      <c r="AT54" s="937"/>
      <c r="AU54" s="937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43"/>
      <c r="BN54" s="116"/>
      <c r="BW54" s="1"/>
      <c r="BX54" s="1"/>
      <c r="BY54" s="1"/>
      <c r="BZ54" s="655"/>
      <c r="CB54" s="656"/>
      <c r="CC54" s="1"/>
      <c r="CD54" s="1"/>
      <c r="CE54" s="1"/>
      <c r="CF54" s="1"/>
      <c r="CG54" s="1"/>
      <c r="CH54" s="1"/>
      <c r="CI54" s="1"/>
      <c r="CJ54" s="1"/>
      <c r="CR54" s="305"/>
      <c r="CT54" s="116"/>
      <c r="DB54" s="1"/>
      <c r="DC54" s="1"/>
      <c r="DD54" s="1"/>
      <c r="DE54" s="1"/>
      <c r="DF54" s="1"/>
      <c r="DG54" s="1"/>
      <c r="DH54" s="1"/>
      <c r="DI54" s="1"/>
      <c r="DJ54" s="655"/>
      <c r="DL54" s="116"/>
    </row>
    <row r="55" spans="2:116" ht="15.75" customHeight="1" x14ac:dyDescent="0.3">
      <c r="B55" s="116"/>
      <c r="I55" s="655"/>
      <c r="K55" s="116"/>
      <c r="M55" s="214" t="s">
        <v>1038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910</v>
      </c>
      <c r="AO55" s="330"/>
      <c r="AP55" s="866"/>
      <c r="AQ55" s="866"/>
      <c r="AR55" s="866"/>
      <c r="AS55" s="937"/>
      <c r="AT55" s="937"/>
      <c r="AU55" s="937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43"/>
      <c r="BN55" s="116"/>
      <c r="BW55" s="1"/>
      <c r="BX55" s="1"/>
      <c r="BY55" s="1"/>
      <c r="BZ55" s="655"/>
      <c r="CB55" s="656"/>
      <c r="CC55" s="1"/>
      <c r="CD55" s="1"/>
      <c r="CE55" s="1"/>
      <c r="CF55" s="1"/>
      <c r="CG55" s="1"/>
      <c r="CH55" s="1"/>
      <c r="CI55" s="1"/>
      <c r="CJ55" s="1"/>
      <c r="CR55" s="305"/>
      <c r="CT55" s="116"/>
      <c r="DB55" s="1"/>
      <c r="DC55" s="1"/>
      <c r="DD55" s="1"/>
      <c r="DE55" s="1"/>
      <c r="DF55" s="1"/>
      <c r="DG55" s="1"/>
      <c r="DH55" s="1"/>
      <c r="DI55" s="1"/>
      <c r="DJ55" s="655"/>
      <c r="DL55" s="116"/>
    </row>
    <row r="56" spans="2:116" ht="15.75" customHeight="1" x14ac:dyDescent="0.3">
      <c r="B56" s="116"/>
      <c r="I56" s="655"/>
      <c r="K56" s="116"/>
      <c r="M56" s="214" t="s">
        <v>1038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0" t="str">
        <f>+AR12</f>
        <v>FUEL-DSL-CAM4</v>
      </c>
      <c r="AP56" s="720" t="str">
        <f>+AR19</f>
        <v>FUEL-OIL-CAM4</v>
      </c>
      <c r="AQ56" s="720" t="str">
        <f>AR27</f>
        <v>FUEL-GAS-CAM4</v>
      </c>
      <c r="AR56" s="938"/>
      <c r="AS56" s="937"/>
      <c r="AT56" s="937"/>
      <c r="AU56" s="937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43"/>
      <c r="BN56" s="116"/>
      <c r="BW56" s="1"/>
      <c r="BX56" s="1"/>
      <c r="BY56" s="1"/>
      <c r="BZ56" s="655"/>
      <c r="CB56" s="656"/>
      <c r="CC56" s="1"/>
      <c r="CD56" s="1"/>
      <c r="CE56" s="1"/>
      <c r="CF56" s="1"/>
      <c r="CG56" s="1"/>
      <c r="CH56" s="1"/>
      <c r="CI56" s="1"/>
      <c r="CJ56" s="1"/>
      <c r="CR56" s="305"/>
      <c r="CT56" s="116"/>
      <c r="DB56" s="1"/>
      <c r="DC56" s="1"/>
      <c r="DD56" s="1"/>
      <c r="DE56" s="1"/>
      <c r="DF56" s="1"/>
      <c r="DG56" s="1"/>
      <c r="DH56" s="1"/>
      <c r="DI56" s="1"/>
      <c r="DJ56" s="655"/>
      <c r="DL56" s="116"/>
    </row>
    <row r="57" spans="2:116" ht="15.75" customHeight="1" x14ac:dyDescent="0.3">
      <c r="B57" s="116"/>
      <c r="I57" s="655"/>
      <c r="K57" s="116"/>
      <c r="M57" s="214" t="s">
        <v>1038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1">
        <f t="shared" ref="AO57" si="25">+AO44</f>
        <v>75.166375708662926</v>
      </c>
      <c r="AP57" s="942">
        <f>$AP$44</f>
        <v>77.841777688967127</v>
      </c>
      <c r="AQ57" s="935">
        <f>$AQ$44</f>
        <v>55.539114956987063</v>
      </c>
      <c r="AR57" s="934"/>
      <c r="AS57" s="937"/>
      <c r="AT57" s="937"/>
      <c r="AU57" s="937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43"/>
      <c r="BN57" s="116"/>
      <c r="BW57" s="1"/>
      <c r="BX57" s="1"/>
      <c r="BY57" s="1"/>
      <c r="BZ57" s="655"/>
      <c r="CB57" s="656"/>
      <c r="CC57" s="1"/>
      <c r="CD57" s="1"/>
      <c r="CE57" s="1"/>
      <c r="CF57" s="1"/>
      <c r="CG57" s="1"/>
      <c r="CH57" s="1"/>
      <c r="CI57" s="1"/>
      <c r="CJ57" s="1"/>
      <c r="CR57" s="305"/>
      <c r="CT57" s="116"/>
      <c r="DB57" s="1"/>
      <c r="DC57" s="1"/>
      <c r="DD57" s="1"/>
      <c r="DE57" s="1"/>
      <c r="DF57" s="1"/>
      <c r="DG57" s="1"/>
      <c r="DH57" s="1"/>
      <c r="DI57" s="1"/>
      <c r="DJ57" s="655"/>
      <c r="DL57" s="116"/>
    </row>
    <row r="58" spans="2:116" ht="15.75" customHeight="1" x14ac:dyDescent="0.3">
      <c r="B58" s="116"/>
      <c r="I58" s="655"/>
      <c r="K58" s="116"/>
      <c r="M58" s="214" t="s">
        <v>1038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866"/>
      <c r="AQ58" s="933"/>
      <c r="AR58" s="937"/>
      <c r="AS58" s="937"/>
      <c r="AT58" s="937"/>
      <c r="AU58" s="937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43"/>
      <c r="BN58" s="116"/>
      <c r="BW58" s="1"/>
      <c r="BX58" s="1"/>
      <c r="BY58" s="1"/>
      <c r="BZ58" s="655"/>
      <c r="CB58" s="656"/>
      <c r="CC58" s="1"/>
      <c r="CD58" s="1"/>
      <c r="CE58" s="1"/>
      <c r="CF58" s="1"/>
      <c r="CG58" s="1"/>
      <c r="CH58" s="1"/>
      <c r="CI58" s="1"/>
      <c r="CJ58" s="1"/>
      <c r="CR58" s="305"/>
      <c r="CT58" s="116"/>
      <c r="DB58" s="1"/>
      <c r="DC58" s="1"/>
      <c r="DD58" s="1"/>
      <c r="DE58" s="1"/>
      <c r="DF58" s="1"/>
      <c r="DG58" s="1"/>
      <c r="DH58" s="1"/>
      <c r="DI58" s="1"/>
      <c r="DJ58" s="655"/>
      <c r="DL58" s="116"/>
    </row>
    <row r="59" spans="2:116" ht="15.75" customHeight="1" x14ac:dyDescent="0.3">
      <c r="B59" s="116"/>
      <c r="I59" s="655"/>
      <c r="K59" s="116"/>
      <c r="M59" s="214" t="s">
        <v>1038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910</v>
      </c>
      <c r="AO59" s="330"/>
      <c r="AP59" s="866"/>
      <c r="AQ59" s="866"/>
      <c r="AR59" s="940"/>
      <c r="AS59" s="937"/>
      <c r="AT59" s="937"/>
      <c r="AU59" s="937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43"/>
      <c r="BN59" s="116"/>
      <c r="BW59" s="1"/>
      <c r="BX59" s="1"/>
      <c r="BY59" s="1"/>
      <c r="BZ59" s="655"/>
      <c r="CB59" s="656"/>
      <c r="CC59" s="1"/>
      <c r="CD59" s="1"/>
      <c r="CE59" s="1"/>
      <c r="CF59" s="1"/>
      <c r="CG59" s="1"/>
      <c r="CH59" s="1"/>
      <c r="CI59" s="1"/>
      <c r="CJ59" s="1"/>
      <c r="CR59" s="305"/>
      <c r="CT59" s="116"/>
      <c r="DB59" s="1"/>
      <c r="DC59" s="1"/>
      <c r="DD59" s="1"/>
      <c r="DE59" s="1"/>
      <c r="DF59" s="1"/>
      <c r="DG59" s="1"/>
      <c r="DH59" s="1"/>
      <c r="DI59" s="1"/>
      <c r="DJ59" s="655"/>
      <c r="DL59" s="116"/>
    </row>
    <row r="60" spans="2:116" ht="15.75" customHeight="1" x14ac:dyDescent="0.3">
      <c r="B60" s="116"/>
      <c r="I60" s="655"/>
      <c r="K60" s="116"/>
      <c r="M60" s="214" t="s">
        <v>1038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0" t="str">
        <f>+AR13</f>
        <v>FUEL-DSL-CAM5</v>
      </c>
      <c r="AP60" s="720" t="str">
        <f>+AR20</f>
        <v>FUEL-OIL-CAM5</v>
      </c>
      <c r="AQ60" s="720" t="str">
        <f>AR28</f>
        <v>FUEL-GAS-CAM5</v>
      </c>
      <c r="AR60" s="938"/>
      <c r="AS60" s="937"/>
      <c r="AT60" s="937"/>
      <c r="AU60" s="937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43"/>
      <c r="BN60" s="116"/>
      <c r="BW60" s="1"/>
      <c r="BX60" s="1"/>
      <c r="BY60" s="1"/>
      <c r="BZ60" s="655"/>
      <c r="CB60" s="656"/>
      <c r="CC60" s="1"/>
      <c r="CD60" s="1"/>
      <c r="CE60" s="1"/>
      <c r="CF60" s="1"/>
      <c r="CG60" s="1"/>
      <c r="CH60" s="1"/>
      <c r="CI60" s="1"/>
      <c r="CJ60" s="1"/>
      <c r="CR60" s="305"/>
      <c r="CT60" s="116"/>
      <c r="DB60" s="1"/>
      <c r="DC60" s="1"/>
      <c r="DD60" s="1"/>
      <c r="DE60" s="1"/>
      <c r="DF60" s="1"/>
      <c r="DG60" s="1"/>
      <c r="DH60" s="1"/>
      <c r="DI60" s="1"/>
      <c r="DJ60" s="655"/>
      <c r="DL60" s="116"/>
    </row>
    <row r="61" spans="2:116" ht="15.75" customHeight="1" x14ac:dyDescent="0.3">
      <c r="B61" s="116"/>
      <c r="I61" s="655"/>
      <c r="K61" s="116"/>
      <c r="M61" s="214" t="s">
        <v>1038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1">
        <f t="shared" ref="AO61" si="26">+AO44</f>
        <v>75.166375708662926</v>
      </c>
      <c r="AP61" s="942">
        <f>$AP$44</f>
        <v>77.841777688967127</v>
      </c>
      <c r="AQ61" s="935">
        <f>+AQ44</f>
        <v>55.539114956987063</v>
      </c>
      <c r="AR61" s="934"/>
      <c r="AS61" s="937"/>
      <c r="AT61" s="937"/>
      <c r="AU61" s="937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43"/>
      <c r="BN61" s="116"/>
      <c r="BW61" s="1"/>
      <c r="BX61" s="1"/>
      <c r="BY61" s="1"/>
      <c r="BZ61" s="655"/>
      <c r="CB61" s="656"/>
      <c r="CC61" s="1"/>
      <c r="CD61" s="1"/>
      <c r="CE61" s="1"/>
      <c r="CF61" s="1"/>
      <c r="CG61" s="1"/>
      <c r="CH61" s="1"/>
      <c r="CI61" s="1"/>
      <c r="CJ61" s="1"/>
      <c r="CR61" s="305"/>
      <c r="CT61" s="116"/>
      <c r="DB61" s="1"/>
      <c r="DC61" s="1"/>
      <c r="DD61" s="1"/>
      <c r="DE61" s="1"/>
      <c r="DF61" s="1"/>
      <c r="DG61" s="1"/>
      <c r="DH61" s="1"/>
      <c r="DI61" s="1"/>
      <c r="DJ61" s="655"/>
      <c r="DL61" s="116"/>
    </row>
    <row r="62" spans="2:116" ht="15.75" customHeight="1" x14ac:dyDescent="0.3">
      <c r="B62" s="116"/>
      <c r="I62" s="655"/>
      <c r="K62" s="116"/>
      <c r="M62" s="214" t="s">
        <v>1038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866"/>
      <c r="AQ62" s="933"/>
      <c r="AR62" s="937"/>
      <c r="AS62" s="937"/>
      <c r="AT62" s="937"/>
      <c r="AU62" s="937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43"/>
      <c r="BN62" s="116"/>
      <c r="BW62" s="1"/>
      <c r="BX62" s="1"/>
      <c r="BY62" s="1"/>
      <c r="BZ62" s="655"/>
      <c r="CB62" s="656"/>
      <c r="CC62" s="1"/>
      <c r="CD62" s="1"/>
      <c r="CE62" s="1"/>
      <c r="CF62" s="1"/>
      <c r="CG62" s="1"/>
      <c r="CH62" s="1"/>
      <c r="CI62" s="1"/>
      <c r="CJ62" s="1"/>
      <c r="CR62" s="305"/>
      <c r="CT62" s="116"/>
      <c r="DB62" s="1"/>
      <c r="DC62" s="1"/>
      <c r="DD62" s="1"/>
      <c r="DE62" s="1"/>
      <c r="DF62" s="1"/>
      <c r="DG62" s="1"/>
      <c r="DH62" s="1"/>
      <c r="DI62" s="1"/>
      <c r="DJ62" s="655"/>
      <c r="DL62" s="116"/>
    </row>
    <row r="63" spans="2:116" ht="15.75" customHeight="1" x14ac:dyDescent="0.3">
      <c r="B63" s="116"/>
      <c r="I63" s="655"/>
      <c r="K63" s="116"/>
      <c r="M63" s="214" t="s">
        <v>1038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910</v>
      </c>
      <c r="AO63" s="330"/>
      <c r="AP63" s="866"/>
      <c r="AQ63" s="866"/>
      <c r="AR63" s="940"/>
      <c r="AS63" s="937"/>
      <c r="AT63" s="937"/>
      <c r="AU63" s="937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43"/>
      <c r="BN63" s="116"/>
      <c r="BW63" s="1"/>
      <c r="BX63" s="1"/>
      <c r="BY63" s="1"/>
      <c r="BZ63" s="655"/>
      <c r="CB63" s="656"/>
      <c r="CC63" s="1"/>
      <c r="CD63" s="1"/>
      <c r="CE63" s="1"/>
      <c r="CF63" s="1"/>
      <c r="CG63" s="1"/>
      <c r="CH63" s="1"/>
      <c r="CI63" s="1"/>
      <c r="CJ63" s="1"/>
      <c r="CR63" s="305"/>
      <c r="CT63" s="116"/>
      <c r="DB63" s="1"/>
      <c r="DC63" s="1"/>
      <c r="DD63" s="1"/>
      <c r="DE63" s="1"/>
      <c r="DF63" s="1"/>
      <c r="DG63" s="1"/>
      <c r="DH63" s="1"/>
      <c r="DI63" s="1"/>
      <c r="DJ63" s="655"/>
      <c r="DL63" s="116"/>
    </row>
    <row r="64" spans="2:116" ht="15.75" customHeight="1" x14ac:dyDescent="0.3">
      <c r="B64" s="116"/>
      <c r="I64" s="655"/>
      <c r="K64" s="116"/>
      <c r="M64" s="214" t="s">
        <v>1038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0" t="str">
        <f>+AR14</f>
        <v>FUEL-DSL-CAM6</v>
      </c>
      <c r="AP64" s="720" t="str">
        <f>+AR21</f>
        <v>FUEL-OIL-CAM6</v>
      </c>
      <c r="AQ64" s="720" t="str">
        <f>AR29</f>
        <v>FUEL-GAS-CAM6</v>
      </c>
      <c r="AR64" s="938"/>
      <c r="AS64" s="937"/>
      <c r="AT64" s="937"/>
      <c r="AU64" s="937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43"/>
      <c r="BN64" s="116"/>
      <c r="BW64" s="1"/>
      <c r="BX64" s="1"/>
      <c r="BY64" s="1"/>
      <c r="BZ64" s="655"/>
      <c r="CB64" s="656"/>
      <c r="CC64" s="1"/>
      <c r="CD64" s="1"/>
      <c r="CE64" s="1"/>
      <c r="CF64" s="1"/>
      <c r="CG64" s="1"/>
      <c r="CH64" s="1"/>
      <c r="CI64" s="1"/>
      <c r="CJ64" s="1"/>
      <c r="CR64" s="305"/>
      <c r="CT64" s="116"/>
      <c r="DB64" s="1"/>
      <c r="DC64" s="1"/>
      <c r="DD64" s="1"/>
      <c r="DE64" s="1"/>
      <c r="DF64" s="1"/>
      <c r="DG64" s="1"/>
      <c r="DH64" s="1"/>
      <c r="DI64" s="1"/>
      <c r="DJ64" s="655"/>
      <c r="DL64" s="116"/>
    </row>
    <row r="65" spans="2:116" ht="15.75" customHeight="1" x14ac:dyDescent="0.3">
      <c r="B65" s="116"/>
      <c r="I65" s="655"/>
      <c r="K65" s="116"/>
      <c r="L65" s="214" t="str">
        <f>+PROCESS!N28</f>
        <v>PROF-CAM5</v>
      </c>
      <c r="M65" s="214" t="s">
        <v>1038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1">
        <f t="shared" ref="AO65" si="27">+AO44</f>
        <v>75.166375708662926</v>
      </c>
      <c r="AP65" s="942">
        <f>$AP$44</f>
        <v>77.841777688967127</v>
      </c>
      <c r="AQ65" s="935">
        <f>$AQ$44</f>
        <v>55.539114956987063</v>
      </c>
      <c r="AR65" s="934"/>
      <c r="AS65" s="937"/>
      <c r="AT65" s="937"/>
      <c r="AU65" s="937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43"/>
      <c r="BN65" s="116"/>
      <c r="BW65" s="1"/>
      <c r="BX65" s="1"/>
      <c r="BY65" s="1"/>
      <c r="BZ65" s="655"/>
      <c r="CB65" s="656"/>
      <c r="CC65" s="1"/>
      <c r="CD65" s="1"/>
      <c r="CE65" s="1"/>
      <c r="CF65" s="1"/>
      <c r="CG65" s="1"/>
      <c r="CH65" s="1"/>
      <c r="CI65" s="1"/>
      <c r="CJ65" s="1"/>
      <c r="CR65" s="305"/>
      <c r="CT65" s="116"/>
      <c r="DB65" s="1"/>
      <c r="DC65" s="1"/>
      <c r="DD65" s="1"/>
      <c r="DE65" s="1"/>
      <c r="DF65" s="1"/>
      <c r="DG65" s="1"/>
      <c r="DH65" s="1"/>
      <c r="DI65" s="1"/>
      <c r="DJ65" s="655"/>
      <c r="DL65" s="116"/>
    </row>
    <row r="66" spans="2:116" ht="15.75" customHeight="1" x14ac:dyDescent="0.3">
      <c r="B66" s="116"/>
      <c r="I66" s="655"/>
      <c r="K66" s="116"/>
      <c r="M66" s="214" t="s">
        <v>1038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P66" s="866"/>
      <c r="AQ66" s="866"/>
      <c r="AR66" s="940"/>
      <c r="AS66" s="937"/>
      <c r="AT66" s="937"/>
      <c r="AU66" s="937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43"/>
      <c r="BN66" s="116"/>
      <c r="BW66" s="1"/>
      <c r="BX66" s="1"/>
      <c r="BY66" s="1"/>
      <c r="BZ66" s="655"/>
      <c r="CB66" s="656"/>
      <c r="CC66" s="1"/>
      <c r="CD66" s="1"/>
      <c r="CE66" s="1"/>
      <c r="CF66" s="1"/>
      <c r="CG66" s="1"/>
      <c r="CH66" s="1"/>
      <c r="CI66" s="1"/>
      <c r="CJ66" s="1"/>
      <c r="CR66" s="305"/>
      <c r="CT66" s="116"/>
      <c r="DB66" s="1"/>
      <c r="DC66" s="1"/>
      <c r="DD66" s="1"/>
      <c r="DE66" s="1"/>
      <c r="DF66" s="1"/>
      <c r="DG66" s="1"/>
      <c r="DH66" s="1"/>
      <c r="DI66" s="1"/>
      <c r="DJ66" s="655"/>
      <c r="DL66" s="116"/>
    </row>
    <row r="67" spans="2:116" ht="15.75" customHeight="1" x14ac:dyDescent="0.3">
      <c r="B67" s="116"/>
      <c r="I67" s="655"/>
      <c r="K67" s="116"/>
      <c r="M67" s="214" t="s">
        <v>1038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P67" s="866"/>
      <c r="AQ67" s="866"/>
      <c r="AR67" s="940"/>
      <c r="AS67" s="940"/>
      <c r="AT67" s="940"/>
      <c r="AU67" s="94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43"/>
      <c r="BN67" s="116"/>
      <c r="BW67" s="1"/>
      <c r="BX67" s="1"/>
      <c r="BY67" s="1"/>
      <c r="BZ67" s="655"/>
      <c r="CB67" s="656"/>
      <c r="CC67" s="1"/>
      <c r="CD67" s="1"/>
      <c r="CE67" s="1"/>
      <c r="CF67" s="1"/>
      <c r="CG67" s="1"/>
      <c r="CH67" s="1"/>
      <c r="CI67" s="1"/>
      <c r="CJ67" s="1"/>
      <c r="CR67" s="305"/>
      <c r="CT67" s="116"/>
      <c r="DB67" s="1"/>
      <c r="DC67" s="1"/>
      <c r="DD67" s="1"/>
      <c r="DE67" s="1"/>
      <c r="DF67" s="1"/>
      <c r="DG67" s="1"/>
      <c r="DH67" s="1"/>
      <c r="DI67" s="1"/>
      <c r="DJ67" s="655"/>
      <c r="DL67" s="116"/>
    </row>
    <row r="68" spans="2:116" ht="15.75" customHeight="1" x14ac:dyDescent="0.3">
      <c r="B68" s="116"/>
      <c r="I68" s="655"/>
      <c r="K68" s="116"/>
      <c r="M68" s="214" t="s">
        <v>1038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910</v>
      </c>
      <c r="AO68" s="330"/>
      <c r="AP68" s="866"/>
      <c r="AQ68" s="866"/>
      <c r="AR68" s="940"/>
      <c r="AS68" s="940"/>
      <c r="AT68" s="940"/>
      <c r="AU68" s="94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43"/>
      <c r="BN68" s="116"/>
      <c r="BW68" s="1"/>
      <c r="BX68" s="1"/>
      <c r="BY68" s="1"/>
      <c r="BZ68" s="655"/>
      <c r="CB68" s="656"/>
      <c r="CC68" s="1"/>
      <c r="CD68" s="1"/>
      <c r="CE68" s="1"/>
      <c r="CF68" s="1"/>
      <c r="CG68" s="1"/>
      <c r="CH68" s="1"/>
      <c r="CI68" s="1"/>
      <c r="CJ68" s="1"/>
      <c r="CR68" s="305"/>
      <c r="CT68" s="116"/>
      <c r="DB68" s="1"/>
      <c r="DC68" s="1"/>
      <c r="DD68" s="1"/>
      <c r="DE68" s="1"/>
      <c r="DF68" s="1"/>
      <c r="DG68" s="1"/>
      <c r="DH68" s="1"/>
      <c r="DI68" s="1"/>
      <c r="DJ68" s="655"/>
      <c r="DL68" s="116"/>
    </row>
    <row r="69" spans="2:116" ht="15.75" customHeight="1" x14ac:dyDescent="0.3">
      <c r="B69" s="116"/>
      <c r="I69" s="655"/>
      <c r="K69" s="116"/>
      <c r="M69" s="214" t="s">
        <v>1038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0" t="str">
        <f>+AR15</f>
        <v>FUEL-DSL-CAM7</v>
      </c>
      <c r="AP69" s="720" t="str">
        <f>+AR22</f>
        <v>FUEL-OIL-CAM7</v>
      </c>
      <c r="AQ69" s="720" t="str">
        <f>AR30</f>
        <v>FUEL-GAS-CAM7</v>
      </c>
      <c r="AR69" s="938"/>
      <c r="AS69" s="938"/>
      <c r="AT69" s="938"/>
      <c r="AU69" s="939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43"/>
      <c r="BN69" s="116"/>
      <c r="BW69" s="1"/>
      <c r="BX69" s="1"/>
      <c r="BY69" s="1"/>
      <c r="BZ69" s="655"/>
      <c r="CB69" s="656"/>
      <c r="CC69" s="1"/>
      <c r="CD69" s="1"/>
      <c r="CE69" s="1"/>
      <c r="CF69" s="1"/>
      <c r="CG69" s="1"/>
      <c r="CH69" s="1"/>
      <c r="CI69" s="1"/>
      <c r="CJ69" s="1"/>
      <c r="CR69" s="305"/>
      <c r="CT69" s="116"/>
      <c r="DB69" s="1"/>
      <c r="DC69" s="1"/>
      <c r="DD69" s="1"/>
      <c r="DE69" s="1"/>
      <c r="DF69" s="1"/>
      <c r="DG69" s="1"/>
      <c r="DH69" s="1"/>
      <c r="DI69" s="1"/>
      <c r="DJ69" s="655"/>
      <c r="DL69" s="116"/>
    </row>
    <row r="70" spans="2:116" ht="15.75" customHeight="1" x14ac:dyDescent="0.3">
      <c r="B70" s="116"/>
      <c r="I70" s="655"/>
      <c r="K70" s="116"/>
      <c r="M70" s="214" t="s">
        <v>1038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721">
        <f>+AO44</f>
        <v>75.166375708662926</v>
      </c>
      <c r="AP70" s="942">
        <f>$AP$44</f>
        <v>77.841777688967127</v>
      </c>
      <c r="AQ70" s="935">
        <f>$AQ$44</f>
        <v>55.539114956987063</v>
      </c>
      <c r="AR70" s="934"/>
      <c r="AS70" s="934"/>
      <c r="AT70" s="934"/>
      <c r="AU70" s="932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43"/>
      <c r="BN70" s="116"/>
      <c r="BW70" s="1"/>
      <c r="BX70" s="1"/>
      <c r="BY70" s="1"/>
      <c r="BZ70" s="655"/>
      <c r="CB70" s="656"/>
      <c r="CC70" s="1"/>
      <c r="CD70" s="1"/>
      <c r="CE70" s="1"/>
      <c r="CF70" s="1"/>
      <c r="CG70" s="1"/>
      <c r="CH70" s="1"/>
      <c r="CI70" s="1"/>
      <c r="CJ70" s="1"/>
      <c r="CR70" s="305"/>
      <c r="CT70" s="116"/>
      <c r="DB70" s="1"/>
      <c r="DC70" s="1"/>
      <c r="DD70" s="1"/>
      <c r="DE70" s="1"/>
      <c r="DF70" s="1"/>
      <c r="DG70" s="1"/>
      <c r="DH70" s="1"/>
      <c r="DI70" s="1"/>
      <c r="DJ70" s="655"/>
      <c r="DL70" s="116"/>
    </row>
    <row r="71" spans="2:116" ht="15.75" customHeight="1" x14ac:dyDescent="0.3">
      <c r="B71" s="116"/>
      <c r="I71" s="655"/>
      <c r="K71" s="116"/>
      <c r="M71" s="214" t="s">
        <v>1038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O71" s="866"/>
      <c r="AP71" s="866"/>
      <c r="AQ71" s="866"/>
      <c r="AR71" s="940"/>
      <c r="AS71" s="940"/>
      <c r="AT71" s="940"/>
      <c r="AU71" s="94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43"/>
      <c r="BN71" s="116"/>
      <c r="BW71" s="1"/>
      <c r="BX71" s="1"/>
      <c r="BY71" s="1"/>
      <c r="BZ71" s="655"/>
      <c r="CB71" s="656"/>
      <c r="CC71" s="1"/>
      <c r="CD71" s="1"/>
      <c r="CE71" s="1"/>
      <c r="CF71" s="1"/>
      <c r="CG71" s="1"/>
      <c r="CH71" s="1"/>
      <c r="CI71" s="1"/>
      <c r="CJ71" s="1"/>
      <c r="CR71" s="305"/>
      <c r="CT71" s="116"/>
      <c r="DB71" s="1"/>
      <c r="DC71" s="1"/>
      <c r="DD71" s="1"/>
      <c r="DE71" s="1"/>
      <c r="DF71" s="1"/>
      <c r="DG71" s="1"/>
      <c r="DH71" s="1"/>
      <c r="DI71" s="1"/>
      <c r="DJ71" s="655"/>
      <c r="DL71" s="116"/>
    </row>
    <row r="72" spans="2:116" ht="15.75" customHeight="1" x14ac:dyDescent="0.3">
      <c r="B72" s="116"/>
      <c r="I72" s="655"/>
      <c r="K72" s="116"/>
      <c r="M72" s="214" t="s">
        <v>1038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O72" s="866"/>
      <c r="AP72" s="866"/>
      <c r="AQ72" s="866"/>
      <c r="AR72" s="866"/>
      <c r="AS72" s="866"/>
      <c r="AT72" s="866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43"/>
      <c r="BN72" s="116"/>
      <c r="BW72" s="1"/>
      <c r="BX72" s="1"/>
      <c r="BY72" s="1"/>
      <c r="BZ72" s="655"/>
      <c r="CB72" s="656"/>
      <c r="CC72" s="1"/>
      <c r="CD72" s="1"/>
      <c r="CE72" s="1"/>
      <c r="CF72" s="1"/>
      <c r="CG72" s="1"/>
      <c r="CH72" s="1"/>
      <c r="CI72" s="1"/>
      <c r="CJ72" s="1"/>
      <c r="CR72" s="305"/>
      <c r="CT72" s="116"/>
      <c r="DB72" s="1"/>
      <c r="DC72" s="1"/>
      <c r="DD72" s="1"/>
      <c r="DE72" s="1"/>
      <c r="DF72" s="1"/>
      <c r="DG72" s="1"/>
      <c r="DH72" s="1"/>
      <c r="DI72" s="1"/>
      <c r="DJ72" s="655"/>
      <c r="DL72" s="116"/>
    </row>
    <row r="73" spans="2:116" ht="15.75" customHeight="1" x14ac:dyDescent="0.3">
      <c r="B73" s="116"/>
      <c r="I73" s="655"/>
      <c r="K73" s="116"/>
      <c r="M73" s="214" t="s">
        <v>1038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O73" s="866"/>
      <c r="AP73" s="866"/>
      <c r="AQ73" s="866"/>
      <c r="AR73" s="866"/>
      <c r="AS73" s="866"/>
      <c r="AT73" s="866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43"/>
      <c r="BN73" s="116"/>
      <c r="BW73" s="1"/>
      <c r="BX73" s="1"/>
      <c r="BY73" s="1"/>
      <c r="BZ73" s="655"/>
      <c r="CB73" s="656"/>
      <c r="CC73" s="1"/>
      <c r="CD73" s="1"/>
      <c r="CE73" s="1"/>
      <c r="CF73" s="1"/>
      <c r="CG73" s="1"/>
      <c r="CH73" s="1"/>
      <c r="CI73" s="1"/>
      <c r="CJ73" s="1"/>
      <c r="CR73" s="305"/>
      <c r="CT73" s="116"/>
      <c r="DB73" s="1"/>
      <c r="DC73" s="1"/>
      <c r="DD73" s="1"/>
      <c r="DE73" s="1"/>
      <c r="DF73" s="1"/>
      <c r="DG73" s="1"/>
      <c r="DH73" s="1"/>
      <c r="DI73" s="1"/>
      <c r="DJ73" s="655"/>
      <c r="DL73" s="116"/>
    </row>
    <row r="74" spans="2:116" ht="15.75" customHeight="1" x14ac:dyDescent="0.3">
      <c r="B74" s="116"/>
      <c r="I74" s="655"/>
      <c r="K74" s="116"/>
      <c r="M74" s="214" t="s">
        <v>1038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805" t="s">
        <v>1496</v>
      </c>
      <c r="AP74" s="866"/>
      <c r="AQ74" s="866"/>
      <c r="AR74" s="933"/>
      <c r="AS74" s="937"/>
      <c r="AT74" s="937"/>
      <c r="AU74" s="874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43"/>
      <c r="BN74" s="116"/>
      <c r="BW74" s="1"/>
      <c r="BX74" s="1"/>
      <c r="BY74" s="1"/>
      <c r="BZ74" s="655"/>
      <c r="CB74" s="656"/>
      <c r="CC74" s="1"/>
      <c r="CD74" s="1"/>
      <c r="CE74" s="1"/>
      <c r="CF74" s="1"/>
      <c r="CG74" s="1"/>
      <c r="CH74" s="1"/>
      <c r="CI74" s="1"/>
      <c r="CJ74" s="1"/>
      <c r="CR74" s="305"/>
      <c r="CT74" s="116"/>
      <c r="DB74" s="1"/>
      <c r="DC74" s="1"/>
      <c r="DD74" s="1"/>
      <c r="DE74" s="1"/>
      <c r="DF74" s="1"/>
      <c r="DG74" s="1"/>
      <c r="DH74" s="1"/>
      <c r="DI74" s="1"/>
      <c r="DJ74" s="655"/>
      <c r="DL74" s="116"/>
    </row>
    <row r="75" spans="2:116" ht="15.75" customHeight="1" x14ac:dyDescent="0.3">
      <c r="B75" s="116"/>
      <c r="I75" s="655"/>
      <c r="K75" s="116"/>
      <c r="M75" s="214" t="s">
        <v>1038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362">
        <f>+'Bases de Cálculo'!G6</f>
        <v>55.539114956987063</v>
      </c>
      <c r="AP75" s="866"/>
      <c r="AQ75" s="866"/>
      <c r="AR75" s="933"/>
      <c r="AS75" s="937"/>
      <c r="AT75" s="937"/>
      <c r="AU75" s="874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43"/>
      <c r="BN75" s="116"/>
      <c r="BW75" s="1"/>
      <c r="BX75" s="1"/>
      <c r="BY75" s="1"/>
      <c r="BZ75" s="655"/>
      <c r="CB75" s="656"/>
      <c r="CC75" s="1"/>
      <c r="CD75" s="1"/>
      <c r="CE75" s="1"/>
      <c r="CF75" s="1"/>
      <c r="CG75" s="1"/>
      <c r="CH75" s="1"/>
      <c r="CI75" s="1"/>
      <c r="CJ75" s="1"/>
      <c r="CR75" s="305"/>
      <c r="CT75" s="116"/>
      <c r="DB75" s="1"/>
      <c r="DC75" s="1"/>
      <c r="DD75" s="1"/>
      <c r="DE75" s="1"/>
      <c r="DF75" s="1"/>
      <c r="DG75" s="1"/>
      <c r="DH75" s="1"/>
      <c r="DI75" s="1"/>
      <c r="DJ75" s="655"/>
      <c r="DL75" s="116"/>
    </row>
    <row r="76" spans="2:116" ht="15.75" customHeight="1" x14ac:dyDescent="0.3">
      <c r="B76" s="116"/>
      <c r="I76" s="655"/>
      <c r="K76" s="116"/>
      <c r="M76" s="214" t="s">
        <v>1038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362">
        <f>+'Bases de Cálculo'!G7</f>
        <v>77.841777688967127</v>
      </c>
      <c r="AP76" s="866"/>
      <c r="AQ76" s="866"/>
      <c r="AR76" s="933"/>
      <c r="AS76" s="937"/>
      <c r="AT76" s="937"/>
      <c r="AU76" s="874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43"/>
      <c r="BN76" s="116"/>
      <c r="BW76" s="1"/>
      <c r="BX76" s="1"/>
      <c r="BY76" s="1"/>
      <c r="BZ76" s="655"/>
      <c r="CB76" s="656"/>
      <c r="CC76" s="1"/>
      <c r="CD76" s="1"/>
      <c r="CE76" s="1"/>
      <c r="CF76" s="1"/>
      <c r="CG76" s="1"/>
      <c r="CH76" s="1"/>
      <c r="CI76" s="1"/>
      <c r="CJ76" s="1"/>
      <c r="CR76" s="305"/>
      <c r="CT76" s="116"/>
      <c r="DB76" s="1"/>
      <c r="DC76" s="1"/>
      <c r="DD76" s="1"/>
      <c r="DE76" s="1"/>
      <c r="DF76" s="1"/>
      <c r="DG76" s="1"/>
      <c r="DH76" s="1"/>
      <c r="DI76" s="1"/>
      <c r="DJ76" s="655"/>
      <c r="DL76" s="116"/>
    </row>
    <row r="77" spans="2:116" ht="15.75" customHeight="1" x14ac:dyDescent="0.3">
      <c r="B77" s="116"/>
      <c r="I77" s="655"/>
      <c r="K77" s="116"/>
      <c r="M77" s="214" t="s">
        <v>1038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362">
        <f>+'Bases de Cálculo'!G7</f>
        <v>77.841777688967127</v>
      </c>
      <c r="AP77" s="866"/>
      <c r="AQ77" s="866"/>
      <c r="AR77" s="933"/>
      <c r="AS77" s="937"/>
      <c r="AT77" s="937"/>
      <c r="AU77" s="874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43"/>
      <c r="BN77" s="116"/>
      <c r="BW77" s="1"/>
      <c r="BX77" s="1"/>
      <c r="BY77" s="1"/>
      <c r="BZ77" s="655"/>
      <c r="CB77" s="656"/>
      <c r="CC77" s="1"/>
      <c r="CD77" s="1"/>
      <c r="CE77" s="1"/>
      <c r="CF77" s="1"/>
      <c r="CG77" s="1"/>
      <c r="CH77" s="1"/>
      <c r="CI77" s="1"/>
      <c r="CJ77" s="1"/>
      <c r="CR77" s="305"/>
      <c r="CT77" s="116"/>
      <c r="DB77" s="1"/>
      <c r="DC77" s="1"/>
      <c r="DD77" s="1"/>
      <c r="DE77" s="1"/>
      <c r="DF77" s="1"/>
      <c r="DG77" s="1"/>
      <c r="DH77" s="1"/>
      <c r="DI77" s="1"/>
      <c r="DJ77" s="655"/>
      <c r="DL77" s="116"/>
    </row>
    <row r="78" spans="2:116" ht="15.75" customHeight="1" x14ac:dyDescent="0.3">
      <c r="B78" s="116"/>
      <c r="I78" s="655"/>
      <c r="K78" s="116"/>
      <c r="M78" s="214" t="s">
        <v>1038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362">
        <f>+'Bases de Cálculo'!G7</f>
        <v>77.841777688967127</v>
      </c>
      <c r="AP78" s="866"/>
      <c r="AQ78" s="866"/>
      <c r="AR78" s="933"/>
      <c r="AS78" s="937"/>
      <c r="AT78" s="937"/>
      <c r="AU78" s="874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43"/>
      <c r="BN78" s="116"/>
      <c r="BW78" s="1"/>
      <c r="BX78" s="1"/>
      <c r="BY78" s="1"/>
      <c r="BZ78" s="655"/>
      <c r="CB78" s="656"/>
      <c r="CC78" s="1"/>
      <c r="CD78" s="1"/>
      <c r="CE78" s="1"/>
      <c r="CF78" s="1"/>
      <c r="CG78" s="1"/>
      <c r="CH78" s="1"/>
      <c r="CI78" s="1"/>
      <c r="CJ78" s="1"/>
      <c r="CR78" s="305"/>
      <c r="CT78" s="116"/>
      <c r="DB78" s="1"/>
      <c r="DC78" s="1"/>
      <c r="DD78" s="1"/>
      <c r="DE78" s="1"/>
      <c r="DF78" s="1"/>
      <c r="DG78" s="1"/>
      <c r="DH78" s="1"/>
      <c r="DI78" s="1"/>
      <c r="DJ78" s="655"/>
      <c r="DL78" s="116"/>
    </row>
    <row r="79" spans="2:116" ht="15.75" customHeight="1" x14ac:dyDescent="0.3">
      <c r="B79" s="116"/>
      <c r="I79" s="655"/>
      <c r="K79" s="116"/>
      <c r="L79" s="214" t="str">
        <f>+PROCESS!N29</f>
        <v>PROF-CAM6</v>
      </c>
      <c r="M79" s="214" t="s">
        <v>1038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362">
        <f>+'Bases de Cálculo'!G11</f>
        <v>75.166375708662926</v>
      </c>
      <c r="AP79" s="866"/>
      <c r="AQ79" s="866"/>
      <c r="AR79" s="933"/>
      <c r="AS79" s="937"/>
      <c r="AT79" s="937"/>
      <c r="AU79" s="874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43"/>
      <c r="BN79" s="116"/>
      <c r="BW79" s="1"/>
      <c r="BX79" s="1"/>
      <c r="BY79" s="1"/>
      <c r="BZ79" s="655"/>
      <c r="CB79" s="656"/>
      <c r="CC79" s="1"/>
      <c r="CD79" s="1"/>
      <c r="CE79" s="1"/>
      <c r="CF79" s="1"/>
      <c r="CG79" s="1"/>
      <c r="CH79" s="1"/>
      <c r="CI79" s="1"/>
      <c r="CJ79" s="1"/>
      <c r="CR79" s="305"/>
      <c r="CT79" s="116"/>
      <c r="DB79" s="1"/>
      <c r="DC79" s="1"/>
      <c r="DD79" s="1"/>
      <c r="DE79" s="1"/>
      <c r="DF79" s="1"/>
      <c r="DG79" s="1"/>
      <c r="DH79" s="1"/>
      <c r="DI79" s="1"/>
      <c r="DJ79" s="655"/>
      <c r="DL79" s="116"/>
    </row>
    <row r="80" spans="2:116" ht="15.75" customHeight="1" x14ac:dyDescent="0.3">
      <c r="B80" s="116"/>
      <c r="I80" s="655"/>
      <c r="K80" s="116"/>
      <c r="M80" s="214" t="s">
        <v>1038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O80" s="866"/>
      <c r="AP80" s="866"/>
      <c r="AQ80" s="866"/>
      <c r="AR80" s="933"/>
      <c r="AS80" s="937"/>
      <c r="AT80" s="937"/>
      <c r="AU80" s="874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43"/>
      <c r="BN80" s="116"/>
      <c r="BW80" s="1"/>
      <c r="BX80" s="1"/>
      <c r="BY80" s="1"/>
      <c r="BZ80" s="655"/>
      <c r="CB80" s="656"/>
      <c r="CC80" s="1"/>
      <c r="CD80" s="1"/>
      <c r="CE80" s="1"/>
      <c r="CF80" s="1"/>
      <c r="CG80" s="1"/>
      <c r="CH80" s="1"/>
      <c r="CI80" s="1"/>
      <c r="CJ80" s="1"/>
      <c r="CR80" s="305"/>
      <c r="CT80" s="116"/>
      <c r="DB80" s="1"/>
      <c r="DC80" s="1"/>
      <c r="DD80" s="1"/>
      <c r="DE80" s="1"/>
      <c r="DF80" s="1"/>
      <c r="DG80" s="1"/>
      <c r="DH80" s="1"/>
      <c r="DI80" s="1"/>
      <c r="DJ80" s="655"/>
      <c r="DL80" s="116"/>
    </row>
    <row r="81" spans="2:116" ht="15.75" customHeight="1" x14ac:dyDescent="0.3">
      <c r="B81" s="116"/>
      <c r="I81" s="655"/>
      <c r="K81" s="116"/>
      <c r="M81" s="214" t="s">
        <v>1038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O81" s="866"/>
      <c r="AP81" s="933"/>
      <c r="AQ81" s="937"/>
      <c r="AR81" s="937"/>
      <c r="AS81" s="937"/>
      <c r="AT81" s="933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43"/>
      <c r="BN81" s="116"/>
      <c r="BW81" s="1"/>
      <c r="BX81" s="1"/>
      <c r="BY81" s="1"/>
      <c r="BZ81" s="655"/>
      <c r="CB81" s="656"/>
      <c r="CC81" s="1"/>
      <c r="CD81" s="1"/>
      <c r="CE81" s="1"/>
      <c r="CF81" s="1"/>
      <c r="CG81" s="1"/>
      <c r="CH81" s="1"/>
      <c r="CI81" s="1"/>
      <c r="CJ81" s="1"/>
      <c r="CR81" s="305"/>
      <c r="CT81" s="116"/>
      <c r="DB81" s="1"/>
      <c r="DC81" s="1"/>
      <c r="DD81" s="1"/>
      <c r="DE81" s="1"/>
      <c r="DF81" s="1"/>
      <c r="DG81" s="1"/>
      <c r="DH81" s="1"/>
      <c r="DI81" s="1"/>
      <c r="DJ81" s="655"/>
      <c r="DL81" s="116"/>
    </row>
    <row r="82" spans="2:116" ht="15.75" customHeight="1" x14ac:dyDescent="0.3">
      <c r="B82" s="116"/>
      <c r="I82" s="655"/>
      <c r="K82" s="116"/>
      <c r="M82" s="214" t="s">
        <v>1038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O82" s="866"/>
      <c r="AP82" s="933"/>
      <c r="AQ82" s="937"/>
      <c r="AR82" s="937"/>
      <c r="AS82" s="937"/>
      <c r="AT82" s="933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43"/>
      <c r="BN82" s="116"/>
      <c r="BW82" s="1"/>
      <c r="BX82" s="1"/>
      <c r="BY82" s="1"/>
      <c r="BZ82" s="655"/>
      <c r="CB82" s="656"/>
      <c r="CC82" s="1"/>
      <c r="CD82" s="1"/>
      <c r="CE82" s="1"/>
      <c r="CF82" s="1"/>
      <c r="CG82" s="1"/>
      <c r="CH82" s="1"/>
      <c r="CI82" s="1"/>
      <c r="CJ82" s="1"/>
      <c r="CR82" s="305"/>
      <c r="CT82" s="116"/>
      <c r="DB82" s="1"/>
      <c r="DC82" s="1"/>
      <c r="DD82" s="1"/>
      <c r="DE82" s="1"/>
      <c r="DF82" s="1"/>
      <c r="DG82" s="1"/>
      <c r="DH82" s="1"/>
      <c r="DI82" s="1"/>
      <c r="DJ82" s="655"/>
      <c r="DL82" s="116"/>
    </row>
    <row r="83" spans="2:116" ht="15.75" customHeight="1" x14ac:dyDescent="0.3">
      <c r="B83" s="116"/>
      <c r="I83" s="655"/>
      <c r="K83" s="116"/>
      <c r="M83" s="214" t="s">
        <v>1038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O83" s="866"/>
      <c r="AP83" s="933"/>
      <c r="AQ83" s="937"/>
      <c r="AR83" s="937"/>
      <c r="AS83" s="937"/>
      <c r="AT83" s="933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43"/>
      <c r="BN83" s="116"/>
      <c r="BW83" s="1"/>
      <c r="BX83" s="1"/>
      <c r="BY83" s="1"/>
      <c r="BZ83" s="655"/>
      <c r="CB83" s="656"/>
      <c r="CC83" s="1"/>
      <c r="CD83" s="1"/>
      <c r="CE83" s="1"/>
      <c r="CF83" s="1"/>
      <c r="CG83" s="1"/>
      <c r="CH83" s="1"/>
      <c r="CI83" s="1"/>
      <c r="CJ83" s="1"/>
      <c r="CR83" s="305"/>
      <c r="CT83" s="116"/>
      <c r="DB83" s="1"/>
      <c r="DC83" s="1"/>
      <c r="DD83" s="1"/>
      <c r="DE83" s="1"/>
      <c r="DF83" s="1"/>
      <c r="DG83" s="1"/>
      <c r="DH83" s="1"/>
      <c r="DI83" s="1"/>
      <c r="DJ83" s="655"/>
      <c r="DL83" s="116"/>
    </row>
    <row r="84" spans="2:116" ht="15.75" customHeight="1" x14ac:dyDescent="0.3">
      <c r="B84" s="116"/>
      <c r="I84" s="655"/>
      <c r="K84" s="116"/>
      <c r="M84" s="214" t="s">
        <v>1038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O84" s="866"/>
      <c r="AP84" s="933"/>
      <c r="AQ84" s="937"/>
      <c r="AR84" s="937"/>
      <c r="AS84" s="937"/>
      <c r="AT84" s="933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43"/>
      <c r="BN84" s="116"/>
      <c r="BW84" s="1"/>
      <c r="BX84" s="1"/>
      <c r="BY84" s="1"/>
      <c r="BZ84" s="655"/>
      <c r="CB84" s="656"/>
      <c r="CC84" s="1"/>
      <c r="CD84" s="1"/>
      <c r="CE84" s="1"/>
      <c r="CF84" s="1"/>
      <c r="CG84" s="1"/>
      <c r="CH84" s="1"/>
      <c r="CI84" s="1"/>
      <c r="CJ84" s="1"/>
      <c r="CR84" s="305"/>
      <c r="CT84" s="116"/>
      <c r="DB84" s="1"/>
      <c r="DC84" s="1"/>
      <c r="DD84" s="1"/>
      <c r="DE84" s="1"/>
      <c r="DF84" s="1"/>
      <c r="DG84" s="1"/>
      <c r="DH84" s="1"/>
      <c r="DI84" s="1"/>
      <c r="DJ84" s="655"/>
      <c r="DL84" s="116"/>
    </row>
    <row r="85" spans="2:116" ht="15.75" customHeight="1" x14ac:dyDescent="0.3">
      <c r="B85" s="116"/>
      <c r="I85" s="655"/>
      <c r="K85" s="116"/>
      <c r="M85" s="214" t="s">
        <v>1038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O85" s="866"/>
      <c r="AP85" s="933"/>
      <c r="AQ85" s="937"/>
      <c r="AR85" s="937"/>
      <c r="AS85" s="937"/>
      <c r="AT85" s="933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43"/>
      <c r="BN85" s="116"/>
      <c r="BW85" s="1"/>
      <c r="BX85" s="1"/>
      <c r="BY85" s="1"/>
      <c r="BZ85" s="655"/>
      <c r="CB85" s="656"/>
      <c r="CC85" s="1"/>
      <c r="CD85" s="1"/>
      <c r="CE85" s="1"/>
      <c r="CF85" s="1"/>
      <c r="CG85" s="1"/>
      <c r="CH85" s="1"/>
      <c r="CI85" s="1"/>
      <c r="CJ85" s="1"/>
      <c r="CR85" s="305"/>
      <c r="CT85" s="116"/>
      <c r="DB85" s="1"/>
      <c r="DC85" s="1"/>
      <c r="DD85" s="1"/>
      <c r="DE85" s="1"/>
      <c r="DF85" s="1"/>
      <c r="DG85" s="1"/>
      <c r="DH85" s="1"/>
      <c r="DI85" s="1"/>
      <c r="DJ85" s="655"/>
      <c r="DL85" s="116"/>
    </row>
    <row r="86" spans="2:116" ht="15.75" customHeight="1" x14ac:dyDescent="0.3">
      <c r="B86" s="116"/>
      <c r="I86" s="655"/>
      <c r="K86" s="116"/>
      <c r="M86" s="214" t="s">
        <v>1038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P86" s="1"/>
      <c r="AQ86" s="874"/>
      <c r="AR86" s="874"/>
      <c r="AS86" s="874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43"/>
      <c r="BN86" s="116"/>
      <c r="BW86" s="1"/>
      <c r="BX86" s="1"/>
      <c r="BY86" s="1"/>
      <c r="BZ86" s="655"/>
      <c r="CB86" s="656"/>
      <c r="CC86" s="1"/>
      <c r="CD86" s="1"/>
      <c r="CE86" s="1"/>
      <c r="CF86" s="1"/>
      <c r="CG86" s="1"/>
      <c r="CH86" s="1"/>
      <c r="CI86" s="1"/>
      <c r="CJ86" s="1"/>
      <c r="CR86" s="305"/>
      <c r="CT86" s="116"/>
      <c r="DB86" s="1"/>
      <c r="DC86" s="1"/>
      <c r="DD86" s="1"/>
      <c r="DE86" s="1"/>
      <c r="DF86" s="1"/>
      <c r="DG86" s="1"/>
      <c r="DH86" s="1"/>
      <c r="DI86" s="1"/>
      <c r="DJ86" s="655"/>
      <c r="DL86" s="116"/>
    </row>
    <row r="87" spans="2:116" ht="15.75" customHeight="1" x14ac:dyDescent="0.3">
      <c r="B87" s="116"/>
      <c r="I87" s="655"/>
      <c r="K87" s="116"/>
      <c r="M87" s="214" t="s">
        <v>1038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874"/>
      <c r="AR87" s="874"/>
      <c r="AS87" s="874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43"/>
      <c r="BN87" s="116"/>
      <c r="BW87" s="1"/>
      <c r="BX87" s="1"/>
      <c r="BY87" s="1"/>
      <c r="BZ87" s="655"/>
      <c r="CB87" s="656"/>
      <c r="CC87" s="1"/>
      <c r="CD87" s="1"/>
      <c r="CE87" s="1"/>
      <c r="CF87" s="1"/>
      <c r="CG87" s="1"/>
      <c r="CH87" s="1"/>
      <c r="CI87" s="1"/>
      <c r="CJ87" s="1"/>
      <c r="CR87" s="305"/>
      <c r="CT87" s="116"/>
      <c r="DB87" s="1"/>
      <c r="DC87" s="1"/>
      <c r="DD87" s="1"/>
      <c r="DE87" s="1"/>
      <c r="DF87" s="1"/>
      <c r="DG87" s="1"/>
      <c r="DH87" s="1"/>
      <c r="DI87" s="1"/>
      <c r="DJ87" s="655"/>
      <c r="DL87" s="116"/>
    </row>
    <row r="88" spans="2:116" ht="15.75" customHeight="1" x14ac:dyDescent="0.3">
      <c r="B88" s="116"/>
      <c r="I88" s="655"/>
      <c r="K88" s="116"/>
      <c r="M88" s="214" t="s">
        <v>1038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874"/>
      <c r="AR88" s="874"/>
      <c r="AS88" s="874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43"/>
      <c r="BN88" s="116"/>
      <c r="BW88" s="1"/>
      <c r="BX88" s="1"/>
      <c r="BY88" s="1"/>
      <c r="BZ88" s="655"/>
      <c r="CB88" s="656"/>
      <c r="CC88" s="1"/>
      <c r="CD88" s="1"/>
      <c r="CE88" s="1"/>
      <c r="CF88" s="1"/>
      <c r="CG88" s="1"/>
      <c r="CH88" s="1"/>
      <c r="CI88" s="1"/>
      <c r="CJ88" s="1"/>
      <c r="CR88" s="305"/>
      <c r="CT88" s="116"/>
      <c r="DB88" s="1"/>
      <c r="DC88" s="1"/>
      <c r="DD88" s="1"/>
      <c r="DE88" s="1"/>
      <c r="DF88" s="1"/>
      <c r="DG88" s="1"/>
      <c r="DH88" s="1"/>
      <c r="DI88" s="1"/>
      <c r="DJ88" s="655"/>
      <c r="DL88" s="116"/>
    </row>
    <row r="89" spans="2:116" ht="15.75" customHeight="1" x14ac:dyDescent="0.3">
      <c r="B89" s="116"/>
      <c r="I89" s="655"/>
      <c r="K89" s="116"/>
      <c r="M89" s="214" t="s">
        <v>1038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874"/>
      <c r="AR89" s="874"/>
      <c r="AS89" s="874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43"/>
      <c r="BN89" s="116"/>
      <c r="BW89" s="1"/>
      <c r="BX89" s="1"/>
      <c r="BY89" s="1"/>
      <c r="BZ89" s="655"/>
      <c r="CB89" s="656"/>
      <c r="CC89" s="1"/>
      <c r="CD89" s="1"/>
      <c r="CE89" s="1"/>
      <c r="CF89" s="1"/>
      <c r="CG89" s="1"/>
      <c r="CH89" s="1"/>
      <c r="CI89" s="1"/>
      <c r="CJ89" s="1"/>
      <c r="CR89" s="305"/>
      <c r="CT89" s="116"/>
      <c r="DB89" s="1"/>
      <c r="DC89" s="1"/>
      <c r="DD89" s="1"/>
      <c r="DE89" s="1"/>
      <c r="DF89" s="1"/>
      <c r="DG89" s="1"/>
      <c r="DH89" s="1"/>
      <c r="DI89" s="1"/>
      <c r="DJ89" s="655"/>
      <c r="DL89" s="116"/>
    </row>
    <row r="90" spans="2:116" ht="15.75" customHeight="1" x14ac:dyDescent="0.3">
      <c r="B90" s="116"/>
      <c r="I90" s="655"/>
      <c r="K90" s="116"/>
      <c r="M90" s="214" t="s">
        <v>1038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874"/>
      <c r="AR90" s="874"/>
      <c r="AS90" s="874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43"/>
      <c r="BN90" s="116"/>
      <c r="BW90" s="1"/>
      <c r="BX90" s="1"/>
      <c r="BY90" s="1"/>
      <c r="BZ90" s="655"/>
      <c r="CB90" s="656"/>
      <c r="CC90" s="1"/>
      <c r="CD90" s="1"/>
      <c r="CE90" s="1"/>
      <c r="CF90" s="1"/>
      <c r="CG90" s="1"/>
      <c r="CH90" s="1"/>
      <c r="CI90" s="1"/>
      <c r="CJ90" s="1"/>
      <c r="CR90" s="305"/>
      <c r="CT90" s="116"/>
      <c r="DB90" s="1"/>
      <c r="DC90" s="1"/>
      <c r="DD90" s="1"/>
      <c r="DE90" s="1"/>
      <c r="DF90" s="1"/>
      <c r="DG90" s="1"/>
      <c r="DH90" s="1"/>
      <c r="DI90" s="1"/>
      <c r="DJ90" s="655"/>
      <c r="DL90" s="116"/>
    </row>
    <row r="91" spans="2:116" ht="15.75" customHeight="1" x14ac:dyDescent="0.3">
      <c r="B91" s="116"/>
      <c r="I91" s="655"/>
      <c r="K91" s="116"/>
      <c r="M91" s="214" t="s">
        <v>1038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874"/>
      <c r="AR91" s="874"/>
      <c r="AS91" s="874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43"/>
      <c r="BN91" s="116"/>
      <c r="BW91" s="1"/>
      <c r="BX91" s="1"/>
      <c r="BY91" s="1"/>
      <c r="BZ91" s="655"/>
      <c r="CB91" s="656"/>
      <c r="CC91" s="1"/>
      <c r="CD91" s="1"/>
      <c r="CE91" s="1"/>
      <c r="CF91" s="1"/>
      <c r="CG91" s="1"/>
      <c r="CH91" s="1"/>
      <c r="CI91" s="1"/>
      <c r="CJ91" s="1"/>
      <c r="CR91" s="305"/>
      <c r="CT91" s="116"/>
      <c r="DB91" s="1"/>
      <c r="DC91" s="1"/>
      <c r="DD91" s="1"/>
      <c r="DE91" s="1"/>
      <c r="DF91" s="1"/>
      <c r="DG91" s="1"/>
      <c r="DH91" s="1"/>
      <c r="DI91" s="1"/>
      <c r="DJ91" s="655"/>
      <c r="DL91" s="116"/>
    </row>
    <row r="92" spans="2:116" ht="15.75" customHeight="1" x14ac:dyDescent="0.3">
      <c r="B92" s="116"/>
      <c r="I92" s="655"/>
      <c r="K92" s="116"/>
      <c r="M92" s="214" t="s">
        <v>1038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874"/>
      <c r="AR92" s="874"/>
      <c r="AS92" s="874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43"/>
      <c r="BN92" s="116"/>
      <c r="BW92" s="1"/>
      <c r="BX92" s="1"/>
      <c r="BY92" s="1"/>
      <c r="BZ92" s="655"/>
      <c r="CB92" s="656"/>
      <c r="CC92" s="1"/>
      <c r="CD92" s="1"/>
      <c r="CE92" s="1"/>
      <c r="CF92" s="1"/>
      <c r="CG92" s="1"/>
      <c r="CH92" s="1"/>
      <c r="CI92" s="1"/>
      <c r="CJ92" s="1"/>
      <c r="CR92" s="305"/>
      <c r="CT92" s="116"/>
      <c r="DB92" s="1"/>
      <c r="DC92" s="1"/>
      <c r="DD92" s="1"/>
      <c r="DE92" s="1"/>
      <c r="DF92" s="1"/>
      <c r="DG92" s="1"/>
      <c r="DH92" s="1"/>
      <c r="DI92" s="1"/>
      <c r="DJ92" s="655"/>
      <c r="DL92" s="116"/>
    </row>
    <row r="93" spans="2:116" ht="15.75" customHeight="1" x14ac:dyDescent="0.3">
      <c r="B93" s="116"/>
      <c r="I93" s="655"/>
      <c r="K93" s="116"/>
      <c r="L93" s="214" t="str">
        <f>+PROCESS!N30</f>
        <v>PROF-CAM7</v>
      </c>
      <c r="M93" s="214" t="s">
        <v>1038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874"/>
      <c r="AR93" s="874"/>
      <c r="AS93" s="874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43"/>
      <c r="BN93" s="116"/>
      <c r="BW93" s="1"/>
      <c r="BX93" s="1"/>
      <c r="BY93" s="1"/>
      <c r="BZ93" s="655"/>
      <c r="CB93" s="656"/>
      <c r="CC93" s="1"/>
      <c r="CD93" s="1"/>
      <c r="CE93" s="1"/>
      <c r="CF93" s="1"/>
      <c r="CG93" s="1"/>
      <c r="CH93" s="1"/>
      <c r="CI93" s="1"/>
      <c r="CJ93" s="1"/>
      <c r="CR93" s="305"/>
      <c r="CT93" s="116"/>
      <c r="DB93" s="1"/>
      <c r="DC93" s="1"/>
      <c r="DD93" s="1"/>
      <c r="DE93" s="1"/>
      <c r="DF93" s="1"/>
      <c r="DG93" s="1"/>
      <c r="DH93" s="1"/>
      <c r="DI93" s="1"/>
      <c r="DJ93" s="655"/>
      <c r="DL93" s="116"/>
    </row>
    <row r="94" spans="2:116" ht="15.75" customHeight="1" x14ac:dyDescent="0.3">
      <c r="B94" s="116"/>
      <c r="I94" s="655"/>
      <c r="K94" s="116"/>
      <c r="M94" s="214" t="s">
        <v>1038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874"/>
      <c r="AR94" s="874"/>
      <c r="AS94" s="874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43"/>
      <c r="BN94" s="116"/>
      <c r="BW94" s="1"/>
      <c r="BX94" s="1"/>
      <c r="BY94" s="1"/>
      <c r="BZ94" s="655"/>
      <c r="CB94" s="656"/>
      <c r="CC94" s="1"/>
      <c r="CD94" s="1"/>
      <c r="CE94" s="1"/>
      <c r="CF94" s="1"/>
      <c r="CG94" s="1"/>
      <c r="CH94" s="1"/>
      <c r="CI94" s="1"/>
      <c r="CJ94" s="1"/>
      <c r="CR94" s="305"/>
      <c r="CT94" s="116"/>
      <c r="DB94" s="1"/>
      <c r="DC94" s="1"/>
      <c r="DD94" s="1"/>
      <c r="DE94" s="1"/>
      <c r="DF94" s="1"/>
      <c r="DG94" s="1"/>
      <c r="DH94" s="1"/>
      <c r="DI94" s="1"/>
      <c r="DJ94" s="655"/>
      <c r="DL94" s="116"/>
    </row>
    <row r="95" spans="2:116" ht="15.75" customHeight="1" x14ac:dyDescent="0.3">
      <c r="B95" s="116"/>
      <c r="I95" s="655"/>
      <c r="K95" s="116"/>
      <c r="M95" s="214" t="s">
        <v>1038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874"/>
      <c r="AR95" s="874"/>
      <c r="AS95" s="874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43"/>
      <c r="BN95" s="116"/>
      <c r="BW95" s="1"/>
      <c r="BX95" s="1"/>
      <c r="BY95" s="1"/>
      <c r="BZ95" s="655"/>
      <c r="CB95" s="656"/>
      <c r="CC95" s="1"/>
      <c r="CD95" s="1"/>
      <c r="CE95" s="1"/>
      <c r="CF95" s="1"/>
      <c r="CG95" s="1"/>
      <c r="CH95" s="1"/>
      <c r="CI95" s="1"/>
      <c r="CJ95" s="1"/>
      <c r="CR95" s="305"/>
      <c r="CT95" s="116"/>
      <c r="DB95" s="1"/>
      <c r="DC95" s="1"/>
      <c r="DD95" s="1"/>
      <c r="DE95" s="1"/>
      <c r="DF95" s="1"/>
      <c r="DG95" s="1"/>
      <c r="DH95" s="1"/>
      <c r="DI95" s="1"/>
      <c r="DJ95" s="655"/>
      <c r="DL95" s="116"/>
    </row>
    <row r="96" spans="2:116" ht="15.75" customHeight="1" x14ac:dyDescent="0.3">
      <c r="B96" s="116"/>
      <c r="I96" s="655"/>
      <c r="K96" s="116"/>
      <c r="M96" s="214" t="s">
        <v>1038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874"/>
      <c r="AR96" s="874"/>
      <c r="AS96" s="874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43"/>
      <c r="BN96" s="116"/>
      <c r="BW96" s="1"/>
      <c r="BX96" s="1"/>
      <c r="BY96" s="1"/>
      <c r="BZ96" s="655"/>
      <c r="CB96" s="656"/>
      <c r="CC96" s="1"/>
      <c r="CD96" s="1"/>
      <c r="CE96" s="1"/>
      <c r="CF96" s="1"/>
      <c r="CG96" s="1"/>
      <c r="CH96" s="1"/>
      <c r="CI96" s="1"/>
      <c r="CJ96" s="1"/>
      <c r="CR96" s="305"/>
      <c r="CT96" s="116"/>
      <c r="DB96" s="1"/>
      <c r="DC96" s="1"/>
      <c r="DD96" s="1"/>
      <c r="DE96" s="1"/>
      <c r="DF96" s="1"/>
      <c r="DG96" s="1"/>
      <c r="DH96" s="1"/>
      <c r="DI96" s="1"/>
      <c r="DJ96" s="655"/>
      <c r="DL96" s="116"/>
    </row>
    <row r="97" spans="2:116" ht="15.75" customHeight="1" x14ac:dyDescent="0.3">
      <c r="B97" s="116"/>
      <c r="I97" s="655"/>
      <c r="K97" s="116"/>
      <c r="M97" s="214" t="s">
        <v>1038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874"/>
      <c r="AR97" s="874"/>
      <c r="AS97" s="874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43"/>
      <c r="BN97" s="116"/>
      <c r="BW97" s="1"/>
      <c r="BX97" s="1"/>
      <c r="BY97" s="1"/>
      <c r="BZ97" s="655"/>
      <c r="CB97" s="656"/>
      <c r="CC97" s="1"/>
      <c r="CD97" s="1"/>
      <c r="CE97" s="1"/>
      <c r="CF97" s="1"/>
      <c r="CG97" s="1"/>
      <c r="CH97" s="1"/>
      <c r="CI97" s="1"/>
      <c r="CJ97" s="1"/>
      <c r="CR97" s="305"/>
      <c r="CT97" s="116"/>
      <c r="DB97" s="1"/>
      <c r="DC97" s="1"/>
      <c r="DD97" s="1"/>
      <c r="DE97" s="1"/>
      <c r="DF97" s="1"/>
      <c r="DG97" s="1"/>
      <c r="DH97" s="1"/>
      <c r="DI97" s="1"/>
      <c r="DJ97" s="655"/>
      <c r="DL97" s="116"/>
    </row>
    <row r="98" spans="2:116" ht="15.75" customHeight="1" x14ac:dyDescent="0.3">
      <c r="B98" s="116"/>
      <c r="I98" s="655"/>
      <c r="K98" s="116"/>
      <c r="M98" s="214" t="s">
        <v>1038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874"/>
      <c r="AR98" s="874"/>
      <c r="AS98" s="874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43"/>
      <c r="BN98" s="116"/>
      <c r="BW98" s="1"/>
      <c r="BX98" s="1"/>
      <c r="BY98" s="1"/>
      <c r="BZ98" s="655"/>
      <c r="CB98" s="656"/>
      <c r="CC98" s="1"/>
      <c r="CD98" s="1"/>
      <c r="CE98" s="1"/>
      <c r="CF98" s="1"/>
      <c r="CG98" s="1"/>
      <c r="CH98" s="1"/>
      <c r="CI98" s="1"/>
      <c r="CJ98" s="1"/>
      <c r="CR98" s="305"/>
      <c r="CT98" s="116"/>
      <c r="DB98" s="1"/>
      <c r="DC98" s="1"/>
      <c r="DD98" s="1"/>
      <c r="DE98" s="1"/>
      <c r="DF98" s="1"/>
      <c r="DG98" s="1"/>
      <c r="DH98" s="1"/>
      <c r="DI98" s="1"/>
      <c r="DJ98" s="655"/>
      <c r="DL98" s="116"/>
    </row>
    <row r="99" spans="2:116" ht="15.75" customHeight="1" x14ac:dyDescent="0.3">
      <c r="B99" s="116"/>
      <c r="I99" s="655"/>
      <c r="K99" s="116"/>
      <c r="M99" s="214" t="s">
        <v>1038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874"/>
      <c r="AR99" s="874"/>
      <c r="AS99" s="874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43"/>
      <c r="BN99" s="116"/>
      <c r="BW99" s="1"/>
      <c r="BX99" s="1"/>
      <c r="BY99" s="1"/>
      <c r="BZ99" s="655"/>
      <c r="CB99" s="656"/>
      <c r="CC99" s="1"/>
      <c r="CD99" s="1"/>
      <c r="CE99" s="1"/>
      <c r="CF99" s="1"/>
      <c r="CG99" s="1"/>
      <c r="CH99" s="1"/>
      <c r="CI99" s="1"/>
      <c r="CJ99" s="1"/>
      <c r="CR99" s="305"/>
      <c r="CT99" s="116"/>
      <c r="DB99" s="1"/>
      <c r="DC99" s="1"/>
      <c r="DD99" s="1"/>
      <c r="DE99" s="1"/>
      <c r="DF99" s="1"/>
      <c r="DG99" s="1"/>
      <c r="DH99" s="1"/>
      <c r="DI99" s="1"/>
      <c r="DJ99" s="655"/>
      <c r="DL99" s="116"/>
    </row>
    <row r="100" spans="2:116" ht="15.75" customHeight="1" x14ac:dyDescent="0.3">
      <c r="B100" s="116"/>
      <c r="I100" s="655"/>
      <c r="K100" s="116"/>
      <c r="M100" s="214" t="s">
        <v>1038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874"/>
      <c r="AR100" s="874"/>
      <c r="AS100" s="874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43"/>
      <c r="BN100" s="116"/>
      <c r="BW100" s="1"/>
      <c r="BX100" s="1"/>
      <c r="BY100" s="1"/>
      <c r="BZ100" s="655"/>
      <c r="CB100" s="656"/>
      <c r="CC100" s="1"/>
      <c r="CD100" s="1"/>
      <c r="CE100" s="1"/>
      <c r="CF100" s="1"/>
      <c r="CG100" s="1"/>
      <c r="CH100" s="1"/>
      <c r="CI100" s="1"/>
      <c r="CJ100" s="1"/>
      <c r="CR100" s="305"/>
      <c r="CT100" s="116"/>
      <c r="DB100" s="1"/>
      <c r="DC100" s="1"/>
      <c r="DD100" s="1"/>
      <c r="DE100" s="1"/>
      <c r="DF100" s="1"/>
      <c r="DG100" s="1"/>
      <c r="DH100" s="1"/>
      <c r="DI100" s="1"/>
      <c r="DJ100" s="655"/>
      <c r="DL100" s="116"/>
    </row>
    <row r="101" spans="2:116" ht="15.75" customHeight="1" x14ac:dyDescent="0.3">
      <c r="B101" s="116"/>
      <c r="I101" s="655"/>
      <c r="K101" s="116"/>
      <c r="M101" s="214" t="s">
        <v>1038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874"/>
      <c r="AR101" s="874"/>
      <c r="AS101" s="874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43"/>
      <c r="BN101" s="116"/>
      <c r="BW101" s="1"/>
      <c r="BX101" s="1"/>
      <c r="BY101" s="1"/>
      <c r="BZ101" s="655"/>
      <c r="CB101" s="656"/>
      <c r="CC101" s="1"/>
      <c r="CD101" s="1"/>
      <c r="CE101" s="1"/>
      <c r="CF101" s="1"/>
      <c r="CG101" s="1"/>
      <c r="CH101" s="1"/>
      <c r="CI101" s="1"/>
      <c r="CJ101" s="1"/>
      <c r="CR101" s="305"/>
      <c r="CT101" s="116"/>
      <c r="DB101" s="1"/>
      <c r="DC101" s="1"/>
      <c r="DD101" s="1"/>
      <c r="DE101" s="1"/>
      <c r="DF101" s="1"/>
      <c r="DG101" s="1"/>
      <c r="DH101" s="1"/>
      <c r="DI101" s="1"/>
      <c r="DJ101" s="655"/>
      <c r="DL101" s="116"/>
    </row>
    <row r="102" spans="2:116" ht="15.75" customHeight="1" x14ac:dyDescent="0.3">
      <c r="B102" s="116"/>
      <c r="I102" s="655"/>
      <c r="K102" s="116"/>
      <c r="M102" s="214" t="s">
        <v>1038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874"/>
      <c r="AR102" s="874"/>
      <c r="AS102" s="874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43"/>
      <c r="BN102" s="116"/>
      <c r="BW102" s="1"/>
      <c r="BX102" s="1"/>
      <c r="BY102" s="1"/>
      <c r="BZ102" s="655"/>
      <c r="CB102" s="656"/>
      <c r="CC102" s="1"/>
      <c r="CD102" s="1"/>
      <c r="CE102" s="1"/>
      <c r="CF102" s="1"/>
      <c r="CG102" s="1"/>
      <c r="CH102" s="1"/>
      <c r="CI102" s="1"/>
      <c r="CJ102" s="1"/>
      <c r="CR102" s="305"/>
      <c r="CT102" s="116"/>
      <c r="DB102" s="1"/>
      <c r="DC102" s="1"/>
      <c r="DD102" s="1"/>
      <c r="DE102" s="1"/>
      <c r="DF102" s="1"/>
      <c r="DG102" s="1"/>
      <c r="DH102" s="1"/>
      <c r="DI102" s="1"/>
      <c r="DJ102" s="655"/>
      <c r="DL102" s="116"/>
    </row>
    <row r="103" spans="2:116" ht="15.75" customHeight="1" x14ac:dyDescent="0.3">
      <c r="B103" s="116"/>
      <c r="I103" s="655"/>
      <c r="K103" s="116"/>
      <c r="M103" s="214" t="s">
        <v>1038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874"/>
      <c r="AR103" s="874"/>
      <c r="AS103" s="874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43"/>
      <c r="BN103" s="116"/>
      <c r="BW103" s="1"/>
      <c r="BX103" s="1"/>
      <c r="BY103" s="1"/>
      <c r="BZ103" s="655"/>
      <c r="CB103" s="656"/>
      <c r="CC103" s="1"/>
      <c r="CD103" s="1"/>
      <c r="CE103" s="1"/>
      <c r="CF103" s="1"/>
      <c r="CG103" s="1"/>
      <c r="CH103" s="1"/>
      <c r="CI103" s="1"/>
      <c r="CJ103" s="1"/>
      <c r="CR103" s="305"/>
      <c r="CT103" s="116"/>
      <c r="DB103" s="1"/>
      <c r="DC103" s="1"/>
      <c r="DD103" s="1"/>
      <c r="DE103" s="1"/>
      <c r="DF103" s="1"/>
      <c r="DG103" s="1"/>
      <c r="DH103" s="1"/>
      <c r="DI103" s="1"/>
      <c r="DJ103" s="655"/>
      <c r="DL103" s="116"/>
    </row>
    <row r="104" spans="2:116" ht="15.75" customHeight="1" x14ac:dyDescent="0.3">
      <c r="B104" s="116"/>
      <c r="I104" s="655"/>
      <c r="K104" s="116"/>
      <c r="M104" s="214" t="s">
        <v>1038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874"/>
      <c r="AR104" s="874"/>
      <c r="AS104" s="874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43"/>
      <c r="BN104" s="116"/>
      <c r="BW104" s="1"/>
      <c r="BX104" s="1"/>
      <c r="BY104" s="1"/>
      <c r="BZ104" s="655"/>
      <c r="CB104" s="656"/>
      <c r="CC104" s="1"/>
      <c r="CD104" s="1"/>
      <c r="CE104" s="1"/>
      <c r="CF104" s="1"/>
      <c r="CG104" s="1"/>
      <c r="CH104" s="1"/>
      <c r="CI104" s="1"/>
      <c r="CJ104" s="1"/>
      <c r="CR104" s="305"/>
      <c r="CT104" s="116"/>
      <c r="DB104" s="1"/>
      <c r="DC104" s="1"/>
      <c r="DD104" s="1"/>
      <c r="DE104" s="1"/>
      <c r="DF104" s="1"/>
      <c r="DG104" s="1"/>
      <c r="DH104" s="1"/>
      <c r="DI104" s="1"/>
      <c r="DJ104" s="655"/>
      <c r="DL104" s="116"/>
    </row>
    <row r="105" spans="2:116" ht="15.75" customHeight="1" x14ac:dyDescent="0.3">
      <c r="B105" s="116"/>
      <c r="I105" s="655"/>
      <c r="K105" s="116"/>
      <c r="M105" s="214" t="s">
        <v>1038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874"/>
      <c r="AR105" s="874"/>
      <c r="AS105" s="874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43"/>
      <c r="BN105" s="116"/>
      <c r="BW105" s="1"/>
      <c r="BX105" s="1"/>
      <c r="BY105" s="1"/>
      <c r="BZ105" s="655"/>
      <c r="CB105" s="656"/>
      <c r="CC105" s="1"/>
      <c r="CD105" s="1"/>
      <c r="CE105" s="1"/>
      <c r="CF105" s="1"/>
      <c r="CG105" s="1"/>
      <c r="CH105" s="1"/>
      <c r="CI105" s="1"/>
      <c r="CJ105" s="1"/>
      <c r="CR105" s="305"/>
      <c r="CT105" s="116"/>
      <c r="DB105" s="1"/>
      <c r="DC105" s="1"/>
      <c r="DD105" s="1"/>
      <c r="DE105" s="1"/>
      <c r="DF105" s="1"/>
      <c r="DG105" s="1"/>
      <c r="DH105" s="1"/>
      <c r="DI105" s="1"/>
      <c r="DJ105" s="655"/>
      <c r="DL105" s="116"/>
    </row>
    <row r="106" spans="2:116" ht="15.75" customHeight="1" x14ac:dyDescent="0.3">
      <c r="B106" s="116"/>
      <c r="I106" s="655"/>
      <c r="K106" s="116"/>
      <c r="M106" s="214" t="s">
        <v>1038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874"/>
      <c r="AR106" s="874"/>
      <c r="AS106" s="874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43"/>
      <c r="BN106" s="116"/>
      <c r="BW106" s="1"/>
      <c r="BX106" s="1"/>
      <c r="BY106" s="1"/>
      <c r="BZ106" s="655"/>
      <c r="CB106" s="656"/>
      <c r="CC106" s="1"/>
      <c r="CD106" s="1"/>
      <c r="CE106" s="1"/>
      <c r="CF106" s="1"/>
      <c r="CG106" s="1"/>
      <c r="CH106" s="1"/>
      <c r="CI106" s="1"/>
      <c r="CJ106" s="1"/>
      <c r="CR106" s="305"/>
      <c r="CT106" s="116"/>
      <c r="DB106" s="1"/>
      <c r="DC106" s="1"/>
      <c r="DD106" s="1"/>
      <c r="DE106" s="1"/>
      <c r="DF106" s="1"/>
      <c r="DG106" s="1"/>
      <c r="DH106" s="1"/>
      <c r="DI106" s="1"/>
      <c r="DJ106" s="655"/>
      <c r="DL106" s="116"/>
    </row>
    <row r="107" spans="2:116" ht="15.75" customHeight="1" x14ac:dyDescent="0.3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874"/>
      <c r="AR107" s="874"/>
      <c r="AS107" s="874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43"/>
      <c r="BN107" s="116"/>
      <c r="BW107" s="1"/>
      <c r="BX107" s="1"/>
      <c r="BY107" s="1"/>
      <c r="BZ107" s="655"/>
      <c r="CB107" s="656"/>
      <c r="CC107" s="1"/>
      <c r="CD107" s="1"/>
      <c r="CE107" s="1"/>
      <c r="CF107" s="1"/>
      <c r="CG107" s="1"/>
      <c r="CH107" s="1"/>
      <c r="CI107" s="1"/>
      <c r="CJ107" s="1"/>
      <c r="CR107" s="305"/>
      <c r="CT107" s="116"/>
      <c r="DB107" s="1"/>
      <c r="DC107" s="1"/>
      <c r="DD107" s="1"/>
      <c r="DE107" s="1"/>
      <c r="DF107" s="1"/>
      <c r="DG107" s="1"/>
      <c r="DH107" s="1"/>
      <c r="DI107" s="1"/>
      <c r="DJ107" s="655"/>
      <c r="DL107" s="116"/>
    </row>
    <row r="108" spans="2:116" ht="15.75" customHeight="1" x14ac:dyDescent="0.3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874"/>
      <c r="AR108" s="874"/>
      <c r="AS108" s="874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43"/>
      <c r="BN108" s="116"/>
      <c r="BW108" s="1"/>
      <c r="BX108" s="1"/>
      <c r="BY108" s="1"/>
      <c r="BZ108" s="655"/>
      <c r="CB108" s="656"/>
      <c r="CC108" s="1"/>
      <c r="CD108" s="1"/>
      <c r="CE108" s="1"/>
      <c r="CF108" s="1"/>
      <c r="CG108" s="1"/>
      <c r="CH108" s="1"/>
      <c r="CI108" s="1"/>
      <c r="CJ108" s="1"/>
      <c r="CR108" s="305"/>
      <c r="CT108" s="116"/>
      <c r="DB108" s="1"/>
      <c r="DC108" s="1"/>
      <c r="DD108" s="1"/>
      <c r="DE108" s="1"/>
      <c r="DF108" s="1"/>
      <c r="DG108" s="1"/>
      <c r="DH108" s="1"/>
      <c r="DI108" s="1"/>
      <c r="DJ108" s="655"/>
      <c r="DL108" s="116"/>
    </row>
    <row r="109" spans="2:116" ht="15.75" customHeight="1" x14ac:dyDescent="0.3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874"/>
      <c r="AR109" s="874"/>
      <c r="AS109" s="874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43"/>
      <c r="BN109" s="116"/>
      <c r="BW109" s="1"/>
      <c r="BX109" s="1"/>
      <c r="BY109" s="1"/>
      <c r="BZ109" s="655"/>
      <c r="CB109" s="656"/>
      <c r="CC109" s="1"/>
      <c r="CD109" s="1"/>
      <c r="CE109" s="1"/>
      <c r="CF109" s="1"/>
      <c r="CG109" s="1"/>
      <c r="CH109" s="1"/>
      <c r="CI109" s="1"/>
      <c r="CJ109" s="1"/>
      <c r="CR109" s="305"/>
      <c r="CT109" s="116"/>
      <c r="DB109" s="1"/>
      <c r="DC109" s="1"/>
      <c r="DD109" s="1"/>
      <c r="DE109" s="1"/>
      <c r="DF109" s="1"/>
      <c r="DG109" s="1"/>
      <c r="DH109" s="1"/>
      <c r="DI109" s="1"/>
      <c r="DJ109" s="655"/>
      <c r="DL109" s="116"/>
    </row>
    <row r="110" spans="2:116" ht="15.75" customHeight="1" x14ac:dyDescent="0.3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874"/>
      <c r="AR110" s="874"/>
      <c r="AS110" s="874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43"/>
      <c r="BN110" s="116"/>
      <c r="BW110" s="1"/>
      <c r="BX110" s="1"/>
      <c r="BY110" s="1"/>
      <c r="BZ110" s="655"/>
      <c r="CB110" s="656"/>
      <c r="CC110" s="1"/>
      <c r="CD110" s="1"/>
      <c r="CE110" s="1"/>
      <c r="CF110" s="1"/>
      <c r="CG110" s="1"/>
      <c r="CH110" s="1"/>
      <c r="CI110" s="1"/>
      <c r="CJ110" s="1"/>
      <c r="CR110" s="305"/>
      <c r="CT110" s="116"/>
      <c r="DB110" s="1"/>
      <c r="DC110" s="1"/>
      <c r="DD110" s="1"/>
      <c r="DE110" s="1"/>
      <c r="DF110" s="1"/>
      <c r="DG110" s="1"/>
      <c r="DH110" s="1"/>
      <c r="DI110" s="1"/>
      <c r="DJ110" s="655"/>
      <c r="DL110" s="116"/>
    </row>
    <row r="111" spans="2:116" ht="15.75" customHeight="1" x14ac:dyDescent="0.3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874"/>
      <c r="AR111" s="874"/>
      <c r="AS111" s="874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43"/>
      <c r="BN111" s="116"/>
      <c r="BW111" s="1"/>
      <c r="BX111" s="1"/>
      <c r="BY111" s="1"/>
      <c r="BZ111" s="655"/>
      <c r="CB111" s="656"/>
      <c r="CC111" s="1"/>
      <c r="CD111" s="1"/>
      <c r="CE111" s="1"/>
      <c r="CF111" s="1"/>
      <c r="CG111" s="1"/>
      <c r="CH111" s="1"/>
      <c r="CI111" s="1"/>
      <c r="CJ111" s="1"/>
      <c r="CR111" s="305"/>
      <c r="CT111" s="116"/>
      <c r="DB111" s="1"/>
      <c r="DC111" s="1"/>
      <c r="DD111" s="1"/>
      <c r="DE111" s="1"/>
      <c r="DF111" s="1"/>
      <c r="DG111" s="1"/>
      <c r="DH111" s="1"/>
      <c r="DI111" s="1"/>
      <c r="DJ111" s="655"/>
      <c r="DL111" s="116"/>
    </row>
    <row r="112" spans="2:116" ht="15.75" customHeight="1" x14ac:dyDescent="0.3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874"/>
      <c r="AR112" s="874"/>
      <c r="AS112" s="874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43"/>
      <c r="BN112" s="116"/>
      <c r="BW112" s="1"/>
      <c r="BX112" s="1"/>
      <c r="BY112" s="1"/>
      <c r="BZ112" s="655"/>
      <c r="CB112" s="656"/>
      <c r="CC112" s="1"/>
      <c r="CD112" s="1"/>
      <c r="CE112" s="1"/>
      <c r="CF112" s="1"/>
      <c r="CG112" s="1"/>
      <c r="CH112" s="1"/>
      <c r="CI112" s="1"/>
      <c r="CJ112" s="1"/>
      <c r="CR112" s="305"/>
      <c r="CT112" s="116"/>
      <c r="DB112" s="1"/>
      <c r="DC112" s="1"/>
      <c r="DD112" s="1"/>
      <c r="DE112" s="1"/>
      <c r="DF112" s="1"/>
      <c r="DG112" s="1"/>
      <c r="DH112" s="1"/>
      <c r="DI112" s="1"/>
      <c r="DJ112" s="655"/>
      <c r="DL112" s="116"/>
    </row>
    <row r="113" spans="2:116" ht="15.75" customHeight="1" x14ac:dyDescent="0.3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874"/>
      <c r="AR113" s="874"/>
      <c r="AS113" s="874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43"/>
      <c r="BN113" s="116"/>
      <c r="BW113" s="1"/>
      <c r="BX113" s="1"/>
      <c r="BY113" s="1"/>
      <c r="BZ113" s="655"/>
      <c r="CB113" s="656"/>
      <c r="CC113" s="1"/>
      <c r="CD113" s="1"/>
      <c r="CE113" s="1"/>
      <c r="CF113" s="1"/>
      <c r="CG113" s="1"/>
      <c r="CH113" s="1"/>
      <c r="CI113" s="1"/>
      <c r="CJ113" s="1"/>
      <c r="CR113" s="305"/>
      <c r="CT113" s="116"/>
      <c r="DB113" s="1"/>
      <c r="DC113" s="1"/>
      <c r="DD113" s="1"/>
      <c r="DE113" s="1"/>
      <c r="DF113" s="1"/>
      <c r="DG113" s="1"/>
      <c r="DH113" s="1"/>
      <c r="DI113" s="1"/>
      <c r="DJ113" s="655"/>
      <c r="DL113" s="116"/>
    </row>
    <row r="114" spans="2:116" ht="15.75" customHeight="1" x14ac:dyDescent="0.3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874"/>
      <c r="AR114" s="874"/>
      <c r="AS114" s="874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43"/>
      <c r="BN114" s="116"/>
      <c r="BW114" s="1"/>
      <c r="BX114" s="1"/>
      <c r="BY114" s="1"/>
      <c r="BZ114" s="655"/>
      <c r="CB114" s="656"/>
      <c r="CC114" s="1"/>
      <c r="CD114" s="1"/>
      <c r="CE114" s="1"/>
      <c r="CF114" s="1"/>
      <c r="CG114" s="1"/>
      <c r="CH114" s="1"/>
      <c r="CI114" s="1"/>
      <c r="CJ114" s="1"/>
      <c r="CR114" s="305"/>
      <c r="CT114" s="116"/>
      <c r="DB114" s="1"/>
      <c r="DC114" s="1"/>
      <c r="DD114" s="1"/>
      <c r="DE114" s="1"/>
      <c r="DF114" s="1"/>
      <c r="DG114" s="1"/>
      <c r="DH114" s="1"/>
      <c r="DI114" s="1"/>
      <c r="DJ114" s="655"/>
      <c r="DL114" s="116"/>
    </row>
    <row r="115" spans="2:116" ht="15.75" customHeight="1" x14ac:dyDescent="0.3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874"/>
      <c r="AR115" s="874"/>
      <c r="AS115" s="874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43"/>
      <c r="BN115" s="116"/>
      <c r="BW115" s="1"/>
      <c r="BX115" s="1"/>
      <c r="BY115" s="1"/>
      <c r="BZ115" s="655"/>
      <c r="CB115" s="656"/>
      <c r="CC115" s="1"/>
      <c r="CD115" s="1"/>
      <c r="CE115" s="1"/>
      <c r="CF115" s="1"/>
      <c r="CG115" s="1"/>
      <c r="CH115" s="1"/>
      <c r="CI115" s="1"/>
      <c r="CJ115" s="1"/>
      <c r="CR115" s="305"/>
      <c r="CT115" s="116"/>
      <c r="DB115" s="1"/>
      <c r="DC115" s="1"/>
      <c r="DD115" s="1"/>
      <c r="DE115" s="1"/>
      <c r="DF115" s="1"/>
      <c r="DG115" s="1"/>
      <c r="DH115" s="1"/>
      <c r="DI115" s="1"/>
      <c r="DJ115" s="655"/>
      <c r="DL115" s="116"/>
    </row>
    <row r="116" spans="2:116" ht="15.75" customHeight="1" x14ac:dyDescent="0.3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874"/>
      <c r="AR116" s="874"/>
      <c r="AS116" s="874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43"/>
      <c r="BN116" s="116"/>
      <c r="BW116" s="1"/>
      <c r="BX116" s="1"/>
      <c r="BY116" s="1"/>
      <c r="BZ116" s="655"/>
      <c r="CB116" s="656"/>
      <c r="CC116" s="1"/>
      <c r="CD116" s="1"/>
      <c r="CE116" s="1"/>
      <c r="CF116" s="1"/>
      <c r="CG116" s="1"/>
      <c r="CH116" s="1"/>
      <c r="CI116" s="1"/>
      <c r="CJ116" s="1"/>
      <c r="CR116" s="305"/>
      <c r="CT116" s="116"/>
      <c r="DB116" s="1"/>
      <c r="DC116" s="1"/>
      <c r="DD116" s="1"/>
      <c r="DE116" s="1"/>
      <c r="DF116" s="1"/>
      <c r="DG116" s="1"/>
      <c r="DH116" s="1"/>
      <c r="DI116" s="1"/>
      <c r="DJ116" s="655"/>
      <c r="DL116" s="116"/>
    </row>
    <row r="117" spans="2:116" ht="15.75" customHeight="1" x14ac:dyDescent="0.3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874"/>
      <c r="AR117" s="874"/>
      <c r="AS117" s="874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43"/>
      <c r="BN117" s="116"/>
      <c r="BW117" s="1"/>
      <c r="BX117" s="1"/>
      <c r="BY117" s="1"/>
      <c r="BZ117" s="655"/>
      <c r="CB117" s="656"/>
      <c r="CC117" s="1"/>
      <c r="CD117" s="1"/>
      <c r="CE117" s="1"/>
      <c r="CF117" s="1"/>
      <c r="CG117" s="1"/>
      <c r="CH117" s="1"/>
      <c r="CI117" s="1"/>
      <c r="CJ117" s="1"/>
      <c r="CR117" s="305"/>
      <c r="CT117" s="116"/>
      <c r="DB117" s="1"/>
      <c r="DC117" s="1"/>
      <c r="DD117" s="1"/>
      <c r="DE117" s="1"/>
      <c r="DF117" s="1"/>
      <c r="DG117" s="1"/>
      <c r="DH117" s="1"/>
      <c r="DI117" s="1"/>
      <c r="DJ117" s="655"/>
      <c r="DL117" s="116"/>
    </row>
    <row r="118" spans="2:116" ht="15.75" customHeight="1" x14ac:dyDescent="0.3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874"/>
      <c r="AR118" s="874"/>
      <c r="AS118" s="874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43"/>
      <c r="BN118" s="116"/>
      <c r="BW118" s="1"/>
      <c r="BX118" s="1"/>
      <c r="BY118" s="1"/>
      <c r="BZ118" s="655"/>
      <c r="CB118" s="656"/>
      <c r="CC118" s="1"/>
      <c r="CD118" s="1"/>
      <c r="CE118" s="1"/>
      <c r="CF118" s="1"/>
      <c r="CG118" s="1"/>
      <c r="CH118" s="1"/>
      <c r="CI118" s="1"/>
      <c r="CJ118" s="1"/>
      <c r="CR118" s="305"/>
      <c r="CT118" s="116"/>
      <c r="DB118" s="1"/>
      <c r="DC118" s="1"/>
      <c r="DD118" s="1"/>
      <c r="DE118" s="1"/>
      <c r="DF118" s="1"/>
      <c r="DG118" s="1"/>
      <c r="DH118" s="1"/>
      <c r="DI118" s="1"/>
      <c r="DJ118" s="655"/>
      <c r="DL118" s="116"/>
    </row>
    <row r="119" spans="2:116" ht="15.75" customHeight="1" x14ac:dyDescent="0.3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874"/>
      <c r="AR119" s="874"/>
      <c r="AS119" s="874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43"/>
      <c r="BN119" s="116"/>
      <c r="BW119" s="1"/>
      <c r="BX119" s="1"/>
      <c r="BY119" s="1"/>
      <c r="BZ119" s="655"/>
      <c r="CB119" s="656"/>
      <c r="CC119" s="1"/>
      <c r="CD119" s="1"/>
      <c r="CE119" s="1"/>
      <c r="CF119" s="1"/>
      <c r="CG119" s="1"/>
      <c r="CH119" s="1"/>
      <c r="CI119" s="1"/>
      <c r="CJ119" s="1"/>
      <c r="CR119" s="305"/>
      <c r="CT119" s="116"/>
      <c r="DB119" s="1"/>
      <c r="DC119" s="1"/>
      <c r="DD119" s="1"/>
      <c r="DE119" s="1"/>
      <c r="DF119" s="1"/>
      <c r="DG119" s="1"/>
      <c r="DH119" s="1"/>
      <c r="DI119" s="1"/>
      <c r="DJ119" s="655"/>
      <c r="DL119" s="116"/>
    </row>
    <row r="120" spans="2:116" ht="15.75" customHeight="1" x14ac:dyDescent="0.3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874"/>
      <c r="AR120" s="874"/>
      <c r="AS120" s="874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43"/>
      <c r="BN120" s="116"/>
      <c r="BW120" s="1"/>
      <c r="BX120" s="1"/>
      <c r="BY120" s="1"/>
      <c r="BZ120" s="655"/>
      <c r="CB120" s="656"/>
      <c r="CC120" s="1"/>
      <c r="CD120" s="1"/>
      <c r="CE120" s="1"/>
      <c r="CF120" s="1"/>
      <c r="CG120" s="1"/>
      <c r="CH120" s="1"/>
      <c r="CI120" s="1"/>
      <c r="CJ120" s="1"/>
      <c r="CR120" s="305"/>
      <c r="CT120" s="116"/>
      <c r="DB120" s="1"/>
      <c r="DC120" s="1"/>
      <c r="DD120" s="1"/>
      <c r="DE120" s="1"/>
      <c r="DF120" s="1"/>
      <c r="DG120" s="1"/>
      <c r="DH120" s="1"/>
      <c r="DI120" s="1"/>
      <c r="DJ120" s="655"/>
      <c r="DL120" s="116"/>
    </row>
    <row r="121" spans="2:116" ht="15.75" customHeight="1" x14ac:dyDescent="0.3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874"/>
      <c r="AR121" s="874"/>
      <c r="AS121" s="874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43"/>
      <c r="BN121" s="116"/>
      <c r="BW121" s="1"/>
      <c r="BX121" s="1"/>
      <c r="BY121" s="1"/>
      <c r="BZ121" s="655"/>
      <c r="CB121" s="656"/>
      <c r="CC121" s="1"/>
      <c r="CD121" s="1"/>
      <c r="CE121" s="1"/>
      <c r="CF121" s="1"/>
      <c r="CG121" s="1"/>
      <c r="CH121" s="1"/>
      <c r="CI121" s="1"/>
      <c r="CJ121" s="1"/>
      <c r="CR121" s="305"/>
      <c r="CT121" s="116"/>
      <c r="DB121" s="1"/>
      <c r="DC121" s="1"/>
      <c r="DD121" s="1"/>
      <c r="DE121" s="1"/>
      <c r="DF121" s="1"/>
      <c r="DG121" s="1"/>
      <c r="DH121" s="1"/>
      <c r="DI121" s="1"/>
      <c r="DJ121" s="655"/>
      <c r="DL121" s="116"/>
    </row>
    <row r="122" spans="2:116" ht="15.75" customHeight="1" x14ac:dyDescent="0.3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874"/>
      <c r="AR122" s="874"/>
      <c r="AS122" s="874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43"/>
      <c r="BN122" s="116"/>
      <c r="BW122" s="1"/>
      <c r="BX122" s="1"/>
      <c r="BY122" s="1"/>
      <c r="BZ122" s="655"/>
      <c r="CB122" s="656"/>
      <c r="CC122" s="1"/>
      <c r="CD122" s="1"/>
      <c r="CE122" s="1"/>
      <c r="CF122" s="1"/>
      <c r="CG122" s="1"/>
      <c r="CH122" s="1"/>
      <c r="CI122" s="1"/>
      <c r="CJ122" s="1"/>
      <c r="CR122" s="305"/>
      <c r="CT122" s="116"/>
      <c r="DB122" s="1"/>
      <c r="DC122" s="1"/>
      <c r="DD122" s="1"/>
      <c r="DE122" s="1"/>
      <c r="DF122" s="1"/>
      <c r="DG122" s="1"/>
      <c r="DH122" s="1"/>
      <c r="DI122" s="1"/>
      <c r="DJ122" s="655"/>
      <c r="DL122" s="116"/>
    </row>
    <row r="123" spans="2:116" ht="15.75" customHeight="1" x14ac:dyDescent="0.3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874"/>
      <c r="AR123" s="874"/>
      <c r="AS123" s="874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43"/>
      <c r="BN123" s="116"/>
      <c r="BW123" s="1"/>
      <c r="BX123" s="1"/>
      <c r="BY123" s="1"/>
      <c r="BZ123" s="655"/>
      <c r="CB123" s="656"/>
      <c r="CC123" s="1"/>
      <c r="CD123" s="1"/>
      <c r="CE123" s="1"/>
      <c r="CF123" s="1"/>
      <c r="CG123" s="1"/>
      <c r="CH123" s="1"/>
      <c r="CI123" s="1"/>
      <c r="CJ123" s="1"/>
      <c r="CR123" s="305"/>
      <c r="CT123" s="116"/>
      <c r="DB123" s="1"/>
      <c r="DC123" s="1"/>
      <c r="DD123" s="1"/>
      <c r="DE123" s="1"/>
      <c r="DF123" s="1"/>
      <c r="DG123" s="1"/>
      <c r="DH123" s="1"/>
      <c r="DI123" s="1"/>
      <c r="DJ123" s="655"/>
      <c r="DL123" s="116"/>
    </row>
    <row r="124" spans="2:116" ht="15.75" customHeight="1" x14ac:dyDescent="0.3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874"/>
      <c r="AR124" s="874"/>
      <c r="AS124" s="874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43"/>
      <c r="BN124" s="116"/>
      <c r="BW124" s="1"/>
      <c r="BX124" s="1"/>
      <c r="BY124" s="1"/>
      <c r="BZ124" s="655"/>
      <c r="CB124" s="656"/>
      <c r="CC124" s="1"/>
      <c r="CD124" s="1"/>
      <c r="CE124" s="1"/>
      <c r="CF124" s="1"/>
      <c r="CG124" s="1"/>
      <c r="CH124" s="1"/>
      <c r="CI124" s="1"/>
      <c r="CJ124" s="1"/>
      <c r="CR124" s="305"/>
      <c r="CT124" s="116"/>
      <c r="DB124" s="1"/>
      <c r="DC124" s="1"/>
      <c r="DD124" s="1"/>
      <c r="DE124" s="1"/>
      <c r="DF124" s="1"/>
      <c r="DG124" s="1"/>
      <c r="DH124" s="1"/>
      <c r="DI124" s="1"/>
      <c r="DJ124" s="655"/>
      <c r="DL124" s="116"/>
    </row>
    <row r="125" spans="2:116" ht="15.75" customHeight="1" x14ac:dyDescent="0.3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874"/>
      <c r="AR125" s="874"/>
      <c r="AS125" s="874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43"/>
      <c r="BN125" s="116"/>
      <c r="BW125" s="1"/>
      <c r="BX125" s="1"/>
      <c r="BY125" s="1"/>
      <c r="BZ125" s="655"/>
      <c r="CB125" s="656"/>
      <c r="CC125" s="1"/>
      <c r="CD125" s="1"/>
      <c r="CE125" s="1"/>
      <c r="CF125" s="1"/>
      <c r="CG125" s="1"/>
      <c r="CH125" s="1"/>
      <c r="CI125" s="1"/>
      <c r="CJ125" s="1"/>
      <c r="CR125" s="305"/>
      <c r="CT125" s="116"/>
      <c r="DB125" s="1"/>
      <c r="DC125" s="1"/>
      <c r="DD125" s="1"/>
      <c r="DE125" s="1"/>
      <c r="DF125" s="1"/>
      <c r="DG125" s="1"/>
      <c r="DH125" s="1"/>
      <c r="DI125" s="1"/>
      <c r="DJ125" s="655"/>
      <c r="DL125" s="116"/>
    </row>
    <row r="126" spans="2:116" ht="15.75" customHeight="1" x14ac:dyDescent="0.3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874"/>
      <c r="AR126" s="874"/>
      <c r="AS126" s="874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43"/>
      <c r="BN126" s="116"/>
      <c r="BW126" s="1"/>
      <c r="BX126" s="1"/>
      <c r="BY126" s="1"/>
      <c r="BZ126" s="655"/>
      <c r="CB126" s="656"/>
      <c r="CC126" s="1"/>
      <c r="CD126" s="1"/>
      <c r="CE126" s="1"/>
      <c r="CF126" s="1"/>
      <c r="CG126" s="1"/>
      <c r="CH126" s="1"/>
      <c r="CI126" s="1"/>
      <c r="CJ126" s="1"/>
      <c r="CR126" s="305"/>
      <c r="CT126" s="116"/>
      <c r="DB126" s="1"/>
      <c r="DC126" s="1"/>
      <c r="DD126" s="1"/>
      <c r="DE126" s="1"/>
      <c r="DF126" s="1"/>
      <c r="DG126" s="1"/>
      <c r="DH126" s="1"/>
      <c r="DI126" s="1"/>
      <c r="DJ126" s="655"/>
      <c r="DL126" s="116"/>
    </row>
    <row r="127" spans="2:116" ht="15.75" customHeight="1" x14ac:dyDescent="0.3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874"/>
      <c r="AR127" s="874"/>
      <c r="AS127" s="874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43"/>
      <c r="BN127" s="116"/>
      <c r="BW127" s="1"/>
      <c r="BX127" s="1"/>
      <c r="BY127" s="1"/>
      <c r="BZ127" s="655"/>
      <c r="CB127" s="656"/>
      <c r="CC127" s="1"/>
      <c r="CD127" s="1"/>
      <c r="CE127" s="1"/>
      <c r="CF127" s="1"/>
      <c r="CG127" s="1"/>
      <c r="CH127" s="1"/>
      <c r="CI127" s="1"/>
      <c r="CJ127" s="1"/>
      <c r="CR127" s="305"/>
      <c r="CT127" s="116"/>
      <c r="DB127" s="1"/>
      <c r="DC127" s="1"/>
      <c r="DD127" s="1"/>
      <c r="DE127" s="1"/>
      <c r="DF127" s="1"/>
      <c r="DG127" s="1"/>
      <c r="DH127" s="1"/>
      <c r="DI127" s="1"/>
      <c r="DJ127" s="655"/>
      <c r="DL127" s="116"/>
    </row>
    <row r="128" spans="2:116" ht="15.75" customHeight="1" x14ac:dyDescent="0.3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874"/>
      <c r="AR128" s="874"/>
      <c r="AS128" s="874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43"/>
      <c r="BN128" s="116"/>
      <c r="BW128" s="1"/>
      <c r="BX128" s="1"/>
      <c r="BY128" s="1"/>
      <c r="BZ128" s="655"/>
      <c r="CB128" s="656"/>
      <c r="CC128" s="1"/>
      <c r="CD128" s="1"/>
      <c r="CE128" s="1"/>
      <c r="CF128" s="1"/>
      <c r="CG128" s="1"/>
      <c r="CH128" s="1"/>
      <c r="CI128" s="1"/>
      <c r="CJ128" s="1"/>
      <c r="CR128" s="305"/>
      <c r="CT128" s="116"/>
      <c r="DB128" s="1"/>
      <c r="DC128" s="1"/>
      <c r="DD128" s="1"/>
      <c r="DE128" s="1"/>
      <c r="DF128" s="1"/>
      <c r="DG128" s="1"/>
      <c r="DH128" s="1"/>
      <c r="DI128" s="1"/>
      <c r="DJ128" s="655"/>
      <c r="DL128" s="116"/>
    </row>
    <row r="129" spans="2:116" ht="15.75" customHeight="1" x14ac:dyDescent="0.3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874"/>
      <c r="AR129" s="874"/>
      <c r="AS129" s="874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43"/>
      <c r="BN129" s="116"/>
      <c r="BW129" s="1"/>
      <c r="BX129" s="1"/>
      <c r="BY129" s="1"/>
      <c r="BZ129" s="655"/>
      <c r="CB129" s="656"/>
      <c r="CC129" s="1"/>
      <c r="CD129" s="1"/>
      <c r="CE129" s="1"/>
      <c r="CF129" s="1"/>
      <c r="CG129" s="1"/>
      <c r="CH129" s="1"/>
      <c r="CI129" s="1"/>
      <c r="CJ129" s="1"/>
      <c r="CR129" s="305"/>
      <c r="CT129" s="116"/>
      <c r="DB129" s="1"/>
      <c r="DC129" s="1"/>
      <c r="DD129" s="1"/>
      <c r="DE129" s="1"/>
      <c r="DF129" s="1"/>
      <c r="DG129" s="1"/>
      <c r="DH129" s="1"/>
      <c r="DI129" s="1"/>
      <c r="DJ129" s="655"/>
      <c r="DL129" s="116"/>
    </row>
    <row r="130" spans="2:116" ht="15.75" customHeight="1" x14ac:dyDescent="0.3">
      <c r="B130" s="116"/>
      <c r="I130" s="655"/>
      <c r="K130" s="116"/>
      <c r="N130" s="306"/>
      <c r="O130" s="306" t="s">
        <v>1497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874"/>
      <c r="AR130" s="874"/>
      <c r="AS130" s="874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43"/>
      <c r="BN130" s="116"/>
      <c r="BW130" s="1"/>
      <c r="BX130" s="1"/>
      <c r="BY130" s="1"/>
      <c r="BZ130" s="655"/>
      <c r="CB130" s="656"/>
      <c r="CC130" s="1"/>
      <c r="CD130" s="1"/>
      <c r="CE130" s="1"/>
      <c r="CF130" s="1"/>
      <c r="CG130" s="1"/>
      <c r="CH130" s="1"/>
      <c r="CI130" s="1"/>
      <c r="CJ130" s="1"/>
      <c r="CR130" s="305"/>
      <c r="CT130" s="116"/>
      <c r="DB130" s="1"/>
      <c r="DC130" s="1"/>
      <c r="DD130" s="1"/>
      <c r="DE130" s="1"/>
      <c r="DF130" s="1"/>
      <c r="DG130" s="1"/>
      <c r="DH130" s="1"/>
      <c r="DI130" s="1"/>
      <c r="DJ130" s="655"/>
      <c r="DL130" s="116"/>
    </row>
    <row r="131" spans="2:116" ht="15.75" customHeight="1" x14ac:dyDescent="0.3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874"/>
      <c r="AR131" s="874"/>
      <c r="AS131" s="874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43"/>
      <c r="BN131" s="116"/>
      <c r="BW131" s="1"/>
      <c r="BX131" s="1"/>
      <c r="BY131" s="1"/>
      <c r="BZ131" s="655"/>
      <c r="CB131" s="656"/>
      <c r="CC131" s="1"/>
      <c r="CD131" s="1"/>
      <c r="CE131" s="1"/>
      <c r="CF131" s="1"/>
      <c r="CG131" s="1"/>
      <c r="CH131" s="1"/>
      <c r="CI131" s="1"/>
      <c r="CJ131" s="1"/>
      <c r="CR131" s="305"/>
      <c r="CT131" s="116"/>
      <c r="DB131" s="1"/>
      <c r="DC131" s="1"/>
      <c r="DD131" s="1"/>
      <c r="DE131" s="1"/>
      <c r="DF131" s="1"/>
      <c r="DG131" s="1"/>
      <c r="DH131" s="1"/>
      <c r="DI131" s="1"/>
      <c r="DJ131" s="655"/>
      <c r="DL131" s="116"/>
    </row>
    <row r="132" spans="2:116" ht="15.75" customHeight="1" x14ac:dyDescent="0.3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874"/>
      <c r="AR132" s="874"/>
      <c r="AS132" s="874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43"/>
      <c r="BN132" s="116"/>
      <c r="BW132" s="1"/>
      <c r="BX132" s="1"/>
      <c r="BY132" s="1"/>
      <c r="BZ132" s="655"/>
      <c r="CB132" s="656"/>
      <c r="CC132" s="1"/>
      <c r="CD132" s="1"/>
      <c r="CE132" s="1"/>
      <c r="CF132" s="1"/>
      <c r="CG132" s="1"/>
      <c r="CH132" s="1"/>
      <c r="CI132" s="1"/>
      <c r="CJ132" s="1"/>
      <c r="CR132" s="305"/>
      <c r="CT132" s="116"/>
      <c r="DB132" s="1"/>
      <c r="DC132" s="1"/>
      <c r="DD132" s="1"/>
      <c r="DE132" s="1"/>
      <c r="DF132" s="1"/>
      <c r="DG132" s="1"/>
      <c r="DH132" s="1"/>
      <c r="DI132" s="1"/>
      <c r="DJ132" s="655"/>
      <c r="DL132" s="116"/>
    </row>
    <row r="133" spans="2:116" ht="15.75" customHeight="1" x14ac:dyDescent="0.3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874"/>
      <c r="AR133" s="874"/>
      <c r="AS133" s="874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43"/>
      <c r="BN133" s="116"/>
      <c r="BW133" s="1"/>
      <c r="BX133" s="1"/>
      <c r="BY133" s="1"/>
      <c r="BZ133" s="655"/>
      <c r="CB133" s="656"/>
      <c r="CC133" s="1"/>
      <c r="CD133" s="1"/>
      <c r="CE133" s="1"/>
      <c r="CF133" s="1"/>
      <c r="CG133" s="1"/>
      <c r="CH133" s="1"/>
      <c r="CI133" s="1"/>
      <c r="CJ133" s="1"/>
      <c r="CR133" s="305"/>
      <c r="CT133" s="116"/>
      <c r="DB133" s="1"/>
      <c r="DC133" s="1"/>
      <c r="DD133" s="1"/>
      <c r="DE133" s="1"/>
      <c r="DF133" s="1"/>
      <c r="DG133" s="1"/>
      <c r="DH133" s="1"/>
      <c r="DI133" s="1"/>
      <c r="DJ133" s="655"/>
      <c r="DL133" s="116"/>
    </row>
    <row r="134" spans="2:116" ht="15.75" customHeight="1" x14ac:dyDescent="0.3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874"/>
      <c r="AR134" s="874"/>
      <c r="AS134" s="874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43"/>
      <c r="BN134" s="116"/>
      <c r="BW134" s="1"/>
      <c r="BX134" s="1"/>
      <c r="BY134" s="1"/>
      <c r="BZ134" s="655"/>
      <c r="CB134" s="656"/>
      <c r="CC134" s="1"/>
      <c r="CD134" s="1"/>
      <c r="CE134" s="1"/>
      <c r="CF134" s="1"/>
      <c r="CG134" s="1"/>
      <c r="CH134" s="1"/>
      <c r="CI134" s="1"/>
      <c r="CJ134" s="1"/>
      <c r="CR134" s="305"/>
      <c r="CT134" s="116"/>
      <c r="DB134" s="1"/>
      <c r="DC134" s="1"/>
      <c r="DD134" s="1"/>
      <c r="DE134" s="1"/>
      <c r="DF134" s="1"/>
      <c r="DG134" s="1"/>
      <c r="DH134" s="1"/>
      <c r="DI134" s="1"/>
      <c r="DJ134" s="655"/>
      <c r="DL134" s="116"/>
    </row>
    <row r="135" spans="2:116" ht="15.75" customHeight="1" x14ac:dyDescent="0.3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874"/>
      <c r="AR135" s="874"/>
      <c r="AS135" s="874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43"/>
      <c r="BN135" s="116"/>
      <c r="BW135" s="1"/>
      <c r="BX135" s="1"/>
      <c r="BY135" s="1"/>
      <c r="BZ135" s="655"/>
      <c r="CB135" s="656"/>
      <c r="CC135" s="1"/>
      <c r="CD135" s="1"/>
      <c r="CE135" s="1"/>
      <c r="CF135" s="1"/>
      <c r="CG135" s="1"/>
      <c r="CH135" s="1"/>
      <c r="CI135" s="1"/>
      <c r="CJ135" s="1"/>
      <c r="CR135" s="305"/>
      <c r="CT135" s="116"/>
      <c r="DB135" s="1"/>
      <c r="DC135" s="1"/>
      <c r="DD135" s="1"/>
      <c r="DE135" s="1"/>
      <c r="DF135" s="1"/>
      <c r="DG135" s="1"/>
      <c r="DH135" s="1"/>
      <c r="DI135" s="1"/>
      <c r="DJ135" s="655"/>
      <c r="DL135" s="116"/>
    </row>
    <row r="136" spans="2:116" ht="15.75" customHeight="1" x14ac:dyDescent="0.3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874"/>
      <c r="AR136" s="874"/>
      <c r="AS136" s="874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43"/>
      <c r="BN136" s="116"/>
      <c r="BW136" s="1"/>
      <c r="BX136" s="1"/>
      <c r="BY136" s="1"/>
      <c r="BZ136" s="655"/>
      <c r="CB136" s="656"/>
      <c r="CC136" s="1"/>
      <c r="CD136" s="1"/>
      <c r="CE136" s="1"/>
      <c r="CF136" s="1"/>
      <c r="CG136" s="1"/>
      <c r="CH136" s="1"/>
      <c r="CI136" s="1"/>
      <c r="CJ136" s="1"/>
      <c r="CR136" s="305"/>
      <c r="CT136" s="116"/>
      <c r="DB136" s="1"/>
      <c r="DC136" s="1"/>
      <c r="DD136" s="1"/>
      <c r="DE136" s="1"/>
      <c r="DF136" s="1"/>
      <c r="DG136" s="1"/>
      <c r="DH136" s="1"/>
      <c r="DI136" s="1"/>
      <c r="DJ136" s="655"/>
      <c r="DL136" s="116"/>
    </row>
    <row r="137" spans="2:116" ht="15.75" customHeight="1" x14ac:dyDescent="0.3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874"/>
      <c r="AR137" s="874"/>
      <c r="AS137" s="874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43"/>
      <c r="BN137" s="116"/>
      <c r="BW137" s="1"/>
      <c r="BX137" s="1"/>
      <c r="BY137" s="1"/>
      <c r="BZ137" s="655"/>
      <c r="CB137" s="656"/>
      <c r="CC137" s="1"/>
      <c r="CD137" s="1"/>
      <c r="CE137" s="1"/>
      <c r="CF137" s="1"/>
      <c r="CG137" s="1"/>
      <c r="CH137" s="1"/>
      <c r="CI137" s="1"/>
      <c r="CJ137" s="1"/>
      <c r="CR137" s="305"/>
      <c r="CT137" s="116"/>
      <c r="DB137" s="1"/>
      <c r="DC137" s="1"/>
      <c r="DD137" s="1"/>
      <c r="DE137" s="1"/>
      <c r="DF137" s="1"/>
      <c r="DG137" s="1"/>
      <c r="DH137" s="1"/>
      <c r="DI137" s="1"/>
      <c r="DJ137" s="655"/>
      <c r="DL137" s="116"/>
    </row>
    <row r="138" spans="2:116" ht="15.75" customHeight="1" x14ac:dyDescent="0.3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874"/>
      <c r="AR138" s="874"/>
      <c r="AS138" s="874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43"/>
      <c r="BN138" s="116"/>
      <c r="BW138" s="1"/>
      <c r="BX138" s="1"/>
      <c r="BY138" s="1"/>
      <c r="BZ138" s="655"/>
      <c r="CB138" s="656"/>
      <c r="CC138" s="1"/>
      <c r="CD138" s="1"/>
      <c r="CE138" s="1"/>
      <c r="CF138" s="1"/>
      <c r="CG138" s="1"/>
      <c r="CH138" s="1"/>
      <c r="CI138" s="1"/>
      <c r="CJ138" s="1"/>
      <c r="CR138" s="305"/>
      <c r="CT138" s="116"/>
      <c r="DB138" s="1"/>
      <c r="DC138" s="1"/>
      <c r="DD138" s="1"/>
      <c r="DE138" s="1"/>
      <c r="DF138" s="1"/>
      <c r="DG138" s="1"/>
      <c r="DH138" s="1"/>
      <c r="DI138" s="1"/>
      <c r="DJ138" s="655"/>
      <c r="DL138" s="116"/>
    </row>
    <row r="139" spans="2:116" ht="15.75" customHeight="1" x14ac:dyDescent="0.3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874"/>
      <c r="AR139" s="874"/>
      <c r="AS139" s="874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43"/>
      <c r="BN139" s="116"/>
      <c r="BW139" s="1"/>
      <c r="BX139" s="1"/>
      <c r="BY139" s="1"/>
      <c r="BZ139" s="655"/>
      <c r="CB139" s="656"/>
      <c r="CC139" s="1"/>
      <c r="CD139" s="1"/>
      <c r="CE139" s="1"/>
      <c r="CF139" s="1"/>
      <c r="CG139" s="1"/>
      <c r="CH139" s="1"/>
      <c r="CI139" s="1"/>
      <c r="CJ139" s="1"/>
      <c r="CR139" s="305"/>
      <c r="CT139" s="116"/>
      <c r="DB139" s="1"/>
      <c r="DC139" s="1"/>
      <c r="DD139" s="1"/>
      <c r="DE139" s="1"/>
      <c r="DF139" s="1"/>
      <c r="DG139" s="1"/>
      <c r="DH139" s="1"/>
      <c r="DI139" s="1"/>
      <c r="DJ139" s="655"/>
      <c r="DL139" s="116"/>
    </row>
    <row r="140" spans="2:116" ht="15.75" customHeight="1" x14ac:dyDescent="0.3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874"/>
      <c r="AR140" s="874"/>
      <c r="AS140" s="874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43"/>
      <c r="BN140" s="116"/>
      <c r="BW140" s="1"/>
      <c r="BX140" s="1"/>
      <c r="BY140" s="1"/>
      <c r="BZ140" s="655"/>
      <c r="CB140" s="656"/>
      <c r="CC140" s="1"/>
      <c r="CD140" s="1"/>
      <c r="CE140" s="1"/>
      <c r="CF140" s="1"/>
      <c r="CG140" s="1"/>
      <c r="CH140" s="1"/>
      <c r="CI140" s="1"/>
      <c r="CJ140" s="1"/>
      <c r="CR140" s="305"/>
      <c r="CT140" s="116"/>
      <c r="DB140" s="1"/>
      <c r="DC140" s="1"/>
      <c r="DD140" s="1"/>
      <c r="DE140" s="1"/>
      <c r="DF140" s="1"/>
      <c r="DG140" s="1"/>
      <c r="DH140" s="1"/>
      <c r="DI140" s="1"/>
      <c r="DJ140" s="655"/>
      <c r="DL140" s="116"/>
    </row>
    <row r="141" spans="2:116" ht="15.75" customHeight="1" x14ac:dyDescent="0.3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874"/>
      <c r="AR141" s="874"/>
      <c r="AS141" s="874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43"/>
      <c r="BN141" s="116"/>
      <c r="BW141" s="1"/>
      <c r="BX141" s="1"/>
      <c r="BY141" s="1"/>
      <c r="BZ141" s="655"/>
      <c r="CB141" s="656"/>
      <c r="CC141" s="1"/>
      <c r="CD141" s="1"/>
      <c r="CE141" s="1"/>
      <c r="CF141" s="1"/>
      <c r="CG141" s="1"/>
      <c r="CH141" s="1"/>
      <c r="CI141" s="1"/>
      <c r="CJ141" s="1"/>
      <c r="CR141" s="305"/>
      <c r="CT141" s="116"/>
      <c r="DB141" s="1"/>
      <c r="DC141" s="1"/>
      <c r="DD141" s="1"/>
      <c r="DE141" s="1"/>
      <c r="DF141" s="1"/>
      <c r="DG141" s="1"/>
      <c r="DH141" s="1"/>
      <c r="DI141" s="1"/>
      <c r="DJ141" s="655"/>
      <c r="DL141" s="116"/>
    </row>
    <row r="142" spans="2:116" ht="15.75" customHeight="1" x14ac:dyDescent="0.3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874"/>
      <c r="AR142" s="874"/>
      <c r="AS142" s="874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43"/>
      <c r="BN142" s="116"/>
      <c r="BW142" s="1"/>
      <c r="BX142" s="1"/>
      <c r="BY142" s="1"/>
      <c r="BZ142" s="655"/>
      <c r="CB142" s="656"/>
      <c r="CC142" s="1"/>
      <c r="CD142" s="1"/>
      <c r="CE142" s="1"/>
      <c r="CF142" s="1"/>
      <c r="CG142" s="1"/>
      <c r="CH142" s="1"/>
      <c r="CI142" s="1"/>
      <c r="CJ142" s="1"/>
      <c r="CR142" s="305"/>
      <c r="CT142" s="116"/>
      <c r="DB142" s="1"/>
      <c r="DC142" s="1"/>
      <c r="DD142" s="1"/>
      <c r="DE142" s="1"/>
      <c r="DF142" s="1"/>
      <c r="DG142" s="1"/>
      <c r="DH142" s="1"/>
      <c r="DI142" s="1"/>
      <c r="DJ142" s="655"/>
      <c r="DL142" s="116"/>
    </row>
    <row r="143" spans="2:116" ht="15.75" customHeight="1" x14ac:dyDescent="0.3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874"/>
      <c r="AR143" s="874"/>
      <c r="AS143" s="874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43"/>
      <c r="BN143" s="116"/>
      <c r="BW143" s="1"/>
      <c r="BX143" s="1"/>
      <c r="BY143" s="1"/>
      <c r="BZ143" s="655"/>
      <c r="CB143" s="656"/>
      <c r="CC143" s="1"/>
      <c r="CD143" s="1"/>
      <c r="CE143" s="1"/>
      <c r="CF143" s="1"/>
      <c r="CG143" s="1"/>
      <c r="CH143" s="1"/>
      <c r="CI143" s="1"/>
      <c r="CJ143" s="1"/>
      <c r="CR143" s="305"/>
      <c r="CT143" s="116"/>
      <c r="DB143" s="1"/>
      <c r="DC143" s="1"/>
      <c r="DD143" s="1"/>
      <c r="DE143" s="1"/>
      <c r="DF143" s="1"/>
      <c r="DG143" s="1"/>
      <c r="DH143" s="1"/>
      <c r="DI143" s="1"/>
      <c r="DJ143" s="655"/>
      <c r="DL143" s="116"/>
    </row>
    <row r="144" spans="2:116" ht="15.75" customHeight="1" x14ac:dyDescent="0.3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874"/>
      <c r="AR144" s="874"/>
      <c r="AS144" s="874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43"/>
      <c r="BN144" s="116"/>
      <c r="BW144" s="1"/>
      <c r="BX144" s="1"/>
      <c r="BY144" s="1"/>
      <c r="BZ144" s="655"/>
      <c r="CB144" s="656"/>
      <c r="CC144" s="1"/>
      <c r="CD144" s="1"/>
      <c r="CE144" s="1"/>
      <c r="CF144" s="1"/>
      <c r="CG144" s="1"/>
      <c r="CH144" s="1"/>
      <c r="CI144" s="1"/>
      <c r="CJ144" s="1"/>
      <c r="CR144" s="305"/>
      <c r="CT144" s="116"/>
      <c r="DB144" s="1"/>
      <c r="DC144" s="1"/>
      <c r="DD144" s="1"/>
      <c r="DE144" s="1"/>
      <c r="DF144" s="1"/>
      <c r="DG144" s="1"/>
      <c r="DH144" s="1"/>
      <c r="DI144" s="1"/>
      <c r="DJ144" s="655"/>
      <c r="DL144" s="116"/>
    </row>
    <row r="145" spans="2:116" ht="15.75" customHeight="1" x14ac:dyDescent="0.3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874"/>
      <c r="AR145" s="874"/>
      <c r="AS145" s="874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43"/>
      <c r="BN145" s="116"/>
      <c r="BW145" s="1"/>
      <c r="BX145" s="1"/>
      <c r="BY145" s="1"/>
      <c r="BZ145" s="655"/>
      <c r="CB145" s="656"/>
      <c r="CC145" s="1"/>
      <c r="CD145" s="1"/>
      <c r="CE145" s="1"/>
      <c r="CF145" s="1"/>
      <c r="CG145" s="1"/>
      <c r="CH145" s="1"/>
      <c r="CI145" s="1"/>
      <c r="CJ145" s="1"/>
      <c r="CR145" s="305"/>
      <c r="CT145" s="116"/>
      <c r="DB145" s="1"/>
      <c r="DC145" s="1"/>
      <c r="DD145" s="1"/>
      <c r="DE145" s="1"/>
      <c r="DF145" s="1"/>
      <c r="DG145" s="1"/>
      <c r="DH145" s="1"/>
      <c r="DI145" s="1"/>
      <c r="DJ145" s="655"/>
      <c r="DL145" s="116"/>
    </row>
    <row r="146" spans="2:116" ht="15.75" customHeight="1" x14ac:dyDescent="0.3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874"/>
      <c r="AR146" s="874"/>
      <c r="AS146" s="874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43"/>
      <c r="BN146" s="116"/>
      <c r="BW146" s="1"/>
      <c r="BX146" s="1"/>
      <c r="BY146" s="1"/>
      <c r="BZ146" s="655"/>
      <c r="CB146" s="656"/>
      <c r="CC146" s="1"/>
      <c r="CD146" s="1"/>
      <c r="CE146" s="1"/>
      <c r="CF146" s="1"/>
      <c r="CG146" s="1"/>
      <c r="CH146" s="1"/>
      <c r="CI146" s="1"/>
      <c r="CJ146" s="1"/>
      <c r="CR146" s="305"/>
      <c r="CT146" s="116"/>
      <c r="DB146" s="1"/>
      <c r="DC146" s="1"/>
      <c r="DD146" s="1"/>
      <c r="DE146" s="1"/>
      <c r="DF146" s="1"/>
      <c r="DG146" s="1"/>
      <c r="DH146" s="1"/>
      <c r="DI146" s="1"/>
      <c r="DJ146" s="655"/>
      <c r="DL146" s="116"/>
    </row>
    <row r="147" spans="2:116" ht="15.75" customHeight="1" x14ac:dyDescent="0.3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874"/>
      <c r="AR147" s="874"/>
      <c r="AS147" s="874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43"/>
      <c r="BN147" s="116"/>
      <c r="BW147" s="1"/>
      <c r="BX147" s="1"/>
      <c r="BY147" s="1"/>
      <c r="BZ147" s="655"/>
      <c r="CB147" s="656"/>
      <c r="CC147" s="1"/>
      <c r="CD147" s="1"/>
      <c r="CE147" s="1"/>
      <c r="CF147" s="1"/>
      <c r="CG147" s="1"/>
      <c r="CH147" s="1"/>
      <c r="CI147" s="1"/>
      <c r="CJ147" s="1"/>
      <c r="CR147" s="305"/>
      <c r="CT147" s="116"/>
      <c r="DB147" s="1"/>
      <c r="DC147" s="1"/>
      <c r="DD147" s="1"/>
      <c r="DE147" s="1"/>
      <c r="DF147" s="1"/>
      <c r="DG147" s="1"/>
      <c r="DH147" s="1"/>
      <c r="DI147" s="1"/>
      <c r="DJ147" s="655"/>
      <c r="DL147" s="116"/>
    </row>
    <row r="148" spans="2:116" ht="15.75" customHeight="1" x14ac:dyDescent="0.3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874"/>
      <c r="AR148" s="874"/>
      <c r="AS148" s="874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43"/>
      <c r="BN148" s="116"/>
      <c r="BW148" s="1"/>
      <c r="BX148" s="1"/>
      <c r="BY148" s="1"/>
      <c r="BZ148" s="655"/>
      <c r="CB148" s="656"/>
      <c r="CC148" s="1"/>
      <c r="CD148" s="1"/>
      <c r="CE148" s="1"/>
      <c r="CF148" s="1"/>
      <c r="CG148" s="1"/>
      <c r="CH148" s="1"/>
      <c r="CI148" s="1"/>
      <c r="CJ148" s="1"/>
      <c r="CR148" s="305"/>
      <c r="CT148" s="116"/>
      <c r="DB148" s="1"/>
      <c r="DC148" s="1"/>
      <c r="DD148" s="1"/>
      <c r="DE148" s="1"/>
      <c r="DF148" s="1"/>
      <c r="DG148" s="1"/>
      <c r="DH148" s="1"/>
      <c r="DI148" s="1"/>
      <c r="DJ148" s="655"/>
      <c r="DL148" s="116"/>
    </row>
    <row r="149" spans="2:116" ht="15.75" customHeight="1" x14ac:dyDescent="0.3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874"/>
      <c r="AR149" s="874"/>
      <c r="AS149" s="874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43"/>
      <c r="BN149" s="116"/>
      <c r="BW149" s="1"/>
      <c r="BX149" s="1"/>
      <c r="BY149" s="1"/>
      <c r="BZ149" s="655"/>
      <c r="CB149" s="656"/>
      <c r="CC149" s="1"/>
      <c r="CD149" s="1"/>
      <c r="CE149" s="1"/>
      <c r="CF149" s="1"/>
      <c r="CG149" s="1"/>
      <c r="CH149" s="1"/>
      <c r="CI149" s="1"/>
      <c r="CJ149" s="1"/>
      <c r="CR149" s="305"/>
      <c r="CT149" s="116"/>
      <c r="DB149" s="1"/>
      <c r="DC149" s="1"/>
      <c r="DD149" s="1"/>
      <c r="DE149" s="1"/>
      <c r="DF149" s="1"/>
      <c r="DG149" s="1"/>
      <c r="DH149" s="1"/>
      <c r="DI149" s="1"/>
      <c r="DJ149" s="655"/>
      <c r="DL149" s="116"/>
    </row>
    <row r="150" spans="2:116" ht="15.75" customHeight="1" x14ac:dyDescent="0.3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874"/>
      <c r="AR150" s="874"/>
      <c r="AS150" s="874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43"/>
      <c r="BN150" s="116"/>
      <c r="BW150" s="1"/>
      <c r="BX150" s="1"/>
      <c r="BY150" s="1"/>
      <c r="BZ150" s="655"/>
      <c r="CB150" s="656"/>
      <c r="CC150" s="1"/>
      <c r="CD150" s="1"/>
      <c r="CE150" s="1"/>
      <c r="CF150" s="1"/>
      <c r="CG150" s="1"/>
      <c r="CH150" s="1"/>
      <c r="CI150" s="1"/>
      <c r="CJ150" s="1"/>
      <c r="CR150" s="305"/>
      <c r="CT150" s="116"/>
      <c r="DB150" s="1"/>
      <c r="DC150" s="1"/>
      <c r="DD150" s="1"/>
      <c r="DE150" s="1"/>
      <c r="DF150" s="1"/>
      <c r="DG150" s="1"/>
      <c r="DH150" s="1"/>
      <c r="DI150" s="1"/>
      <c r="DJ150" s="655"/>
      <c r="DL150" s="116"/>
    </row>
    <row r="151" spans="2:116" ht="15.75" customHeight="1" x14ac:dyDescent="0.3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874"/>
      <c r="AR151" s="874"/>
      <c r="AS151" s="874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43"/>
      <c r="BN151" s="116"/>
      <c r="BW151" s="1"/>
      <c r="BX151" s="1"/>
      <c r="BY151" s="1"/>
      <c r="BZ151" s="655"/>
      <c r="CB151" s="656"/>
      <c r="CC151" s="1"/>
      <c r="CD151" s="1"/>
      <c r="CE151" s="1"/>
      <c r="CF151" s="1"/>
      <c r="CG151" s="1"/>
      <c r="CH151" s="1"/>
      <c r="CI151" s="1"/>
      <c r="CJ151" s="1"/>
      <c r="CR151" s="305"/>
      <c r="CT151" s="116"/>
      <c r="DB151" s="1"/>
      <c r="DC151" s="1"/>
      <c r="DD151" s="1"/>
      <c r="DE151" s="1"/>
      <c r="DF151" s="1"/>
      <c r="DG151" s="1"/>
      <c r="DH151" s="1"/>
      <c r="DI151" s="1"/>
      <c r="DJ151" s="655"/>
      <c r="DL151" s="116"/>
    </row>
    <row r="152" spans="2:116" ht="15.75" customHeight="1" x14ac:dyDescent="0.3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874"/>
      <c r="AR152" s="874"/>
      <c r="AS152" s="874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43"/>
      <c r="BN152" s="116"/>
      <c r="BW152" s="1"/>
      <c r="BX152" s="1"/>
      <c r="BY152" s="1"/>
      <c r="BZ152" s="655"/>
      <c r="CB152" s="656"/>
      <c r="CC152" s="1"/>
      <c r="CD152" s="1"/>
      <c r="CE152" s="1"/>
      <c r="CF152" s="1"/>
      <c r="CG152" s="1"/>
      <c r="CH152" s="1"/>
      <c r="CI152" s="1"/>
      <c r="CJ152" s="1"/>
      <c r="CR152" s="305"/>
      <c r="CT152" s="116"/>
      <c r="DB152" s="1"/>
      <c r="DC152" s="1"/>
      <c r="DD152" s="1"/>
      <c r="DE152" s="1"/>
      <c r="DF152" s="1"/>
      <c r="DG152" s="1"/>
      <c r="DH152" s="1"/>
      <c r="DI152" s="1"/>
      <c r="DJ152" s="655"/>
      <c r="DL152" s="116"/>
    </row>
    <row r="153" spans="2:116" ht="15.75" customHeight="1" x14ac:dyDescent="0.3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874"/>
      <c r="AR153" s="874"/>
      <c r="AS153" s="874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43"/>
      <c r="BN153" s="116"/>
      <c r="BW153" s="1"/>
      <c r="BX153" s="1"/>
      <c r="BY153" s="1"/>
      <c r="BZ153" s="655"/>
      <c r="CB153" s="656"/>
      <c r="CC153" s="1"/>
      <c r="CD153" s="1"/>
      <c r="CE153" s="1"/>
      <c r="CF153" s="1"/>
      <c r="CG153" s="1"/>
      <c r="CH153" s="1"/>
      <c r="CI153" s="1"/>
      <c r="CJ153" s="1"/>
      <c r="CR153" s="305"/>
      <c r="CT153" s="116"/>
      <c r="DB153" s="1"/>
      <c r="DC153" s="1"/>
      <c r="DD153" s="1"/>
      <c r="DE153" s="1"/>
      <c r="DF153" s="1"/>
      <c r="DG153" s="1"/>
      <c r="DH153" s="1"/>
      <c r="DI153" s="1"/>
      <c r="DJ153" s="655"/>
      <c r="DL153" s="116"/>
    </row>
    <row r="154" spans="2:116" ht="15.75" customHeight="1" x14ac:dyDescent="0.3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874"/>
      <c r="AR154" s="874"/>
      <c r="AS154" s="874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43"/>
      <c r="BN154" s="116"/>
      <c r="BW154" s="1"/>
      <c r="BX154" s="1"/>
      <c r="BY154" s="1"/>
      <c r="BZ154" s="655"/>
      <c r="CB154" s="656"/>
      <c r="CC154" s="1"/>
      <c r="CD154" s="1"/>
      <c r="CE154" s="1"/>
      <c r="CF154" s="1"/>
      <c r="CG154" s="1"/>
      <c r="CH154" s="1"/>
      <c r="CI154" s="1"/>
      <c r="CJ154" s="1"/>
      <c r="CR154" s="305"/>
      <c r="CT154" s="116"/>
      <c r="DB154" s="1"/>
      <c r="DC154" s="1"/>
      <c r="DD154" s="1"/>
      <c r="DE154" s="1"/>
      <c r="DF154" s="1"/>
      <c r="DG154" s="1"/>
      <c r="DH154" s="1"/>
      <c r="DI154" s="1"/>
      <c r="DJ154" s="655"/>
      <c r="DL154" s="116"/>
    </row>
    <row r="155" spans="2:116" ht="15.75" customHeight="1" x14ac:dyDescent="0.3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874"/>
      <c r="AR155" s="874"/>
      <c r="AS155" s="874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43"/>
      <c r="BN155" s="116"/>
      <c r="BW155" s="1"/>
      <c r="BX155" s="1"/>
      <c r="BY155" s="1"/>
      <c r="BZ155" s="655"/>
      <c r="CB155" s="656"/>
      <c r="CC155" s="1"/>
      <c r="CD155" s="1"/>
      <c r="CE155" s="1"/>
      <c r="CF155" s="1"/>
      <c r="CG155" s="1"/>
      <c r="CH155" s="1"/>
      <c r="CI155" s="1"/>
      <c r="CJ155" s="1"/>
      <c r="CR155" s="305"/>
      <c r="CT155" s="116"/>
      <c r="DB155" s="1"/>
      <c r="DC155" s="1"/>
      <c r="DD155" s="1"/>
      <c r="DE155" s="1"/>
      <c r="DF155" s="1"/>
      <c r="DG155" s="1"/>
      <c r="DH155" s="1"/>
      <c r="DI155" s="1"/>
      <c r="DJ155" s="655"/>
      <c r="DL155" s="116"/>
    </row>
    <row r="156" spans="2:116" ht="15.75" customHeight="1" x14ac:dyDescent="0.3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874"/>
      <c r="AR156" s="874"/>
      <c r="AS156" s="874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43"/>
      <c r="BN156" s="116"/>
      <c r="BW156" s="1"/>
      <c r="BX156" s="1"/>
      <c r="BY156" s="1"/>
      <c r="BZ156" s="655"/>
      <c r="CB156" s="656"/>
      <c r="CC156" s="1"/>
      <c r="CD156" s="1"/>
      <c r="CE156" s="1"/>
      <c r="CF156" s="1"/>
      <c r="CG156" s="1"/>
      <c r="CH156" s="1"/>
      <c r="CI156" s="1"/>
      <c r="CJ156" s="1"/>
      <c r="CR156" s="305"/>
      <c r="CT156" s="116"/>
      <c r="DB156" s="1"/>
      <c r="DC156" s="1"/>
      <c r="DD156" s="1"/>
      <c r="DE156" s="1"/>
      <c r="DF156" s="1"/>
      <c r="DG156" s="1"/>
      <c r="DH156" s="1"/>
      <c r="DI156" s="1"/>
      <c r="DJ156" s="655"/>
      <c r="DL156" s="116"/>
    </row>
    <row r="157" spans="2:116" ht="15.75" customHeight="1" x14ac:dyDescent="0.3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874"/>
      <c r="AR157" s="874"/>
      <c r="AS157" s="874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43"/>
      <c r="BN157" s="116"/>
      <c r="BW157" s="1"/>
      <c r="BX157" s="1"/>
      <c r="BY157" s="1"/>
      <c r="BZ157" s="655"/>
      <c r="CB157" s="656"/>
      <c r="CC157" s="1"/>
      <c r="CD157" s="1"/>
      <c r="CE157" s="1"/>
      <c r="CF157" s="1"/>
      <c r="CG157" s="1"/>
      <c r="CH157" s="1"/>
      <c r="CI157" s="1"/>
      <c r="CJ157" s="1"/>
      <c r="CR157" s="305"/>
      <c r="CT157" s="116"/>
      <c r="DB157" s="1"/>
      <c r="DC157" s="1"/>
      <c r="DD157" s="1"/>
      <c r="DE157" s="1"/>
      <c r="DF157" s="1"/>
      <c r="DG157" s="1"/>
      <c r="DH157" s="1"/>
      <c r="DI157" s="1"/>
      <c r="DJ157" s="655"/>
      <c r="DL157" s="116"/>
    </row>
    <row r="158" spans="2:116" ht="15.75" customHeight="1" x14ac:dyDescent="0.3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874"/>
      <c r="AR158" s="874"/>
      <c r="AS158" s="874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43"/>
      <c r="BN158" s="116"/>
      <c r="BW158" s="1"/>
      <c r="BX158" s="1"/>
      <c r="BY158" s="1"/>
      <c r="BZ158" s="655"/>
      <c r="CB158" s="656"/>
      <c r="CC158" s="1"/>
      <c r="CD158" s="1"/>
      <c r="CE158" s="1"/>
      <c r="CF158" s="1"/>
      <c r="CG158" s="1"/>
      <c r="CH158" s="1"/>
      <c r="CI158" s="1"/>
      <c r="CJ158" s="1"/>
      <c r="CR158" s="305"/>
      <c r="CT158" s="116"/>
      <c r="DB158" s="1"/>
      <c r="DC158" s="1"/>
      <c r="DD158" s="1"/>
      <c r="DE158" s="1"/>
      <c r="DF158" s="1"/>
      <c r="DG158" s="1"/>
      <c r="DH158" s="1"/>
      <c r="DI158" s="1"/>
      <c r="DJ158" s="655"/>
      <c r="DL158" s="116"/>
    </row>
    <row r="159" spans="2:116" ht="15.75" customHeight="1" x14ac:dyDescent="0.3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874"/>
      <c r="AR159" s="874"/>
      <c r="AS159" s="874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43"/>
      <c r="BN159" s="116"/>
      <c r="BW159" s="1"/>
      <c r="BX159" s="1"/>
      <c r="BY159" s="1"/>
      <c r="BZ159" s="655"/>
      <c r="CB159" s="656"/>
      <c r="CC159" s="1"/>
      <c r="CD159" s="1"/>
      <c r="CE159" s="1"/>
      <c r="CF159" s="1"/>
      <c r="CG159" s="1"/>
      <c r="CH159" s="1"/>
      <c r="CI159" s="1"/>
      <c r="CJ159" s="1"/>
      <c r="CR159" s="305"/>
      <c r="CT159" s="116"/>
      <c r="DB159" s="1"/>
      <c r="DC159" s="1"/>
      <c r="DD159" s="1"/>
      <c r="DE159" s="1"/>
      <c r="DF159" s="1"/>
      <c r="DG159" s="1"/>
      <c r="DH159" s="1"/>
      <c r="DI159" s="1"/>
      <c r="DJ159" s="655"/>
      <c r="DL159" s="116"/>
    </row>
    <row r="160" spans="2:116" ht="15.75" customHeight="1" x14ac:dyDescent="0.3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874"/>
      <c r="AR160" s="874"/>
      <c r="AS160" s="874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43"/>
      <c r="BN160" s="116"/>
      <c r="BW160" s="1"/>
      <c r="BX160" s="1"/>
      <c r="BY160" s="1"/>
      <c r="BZ160" s="655"/>
      <c r="CB160" s="656"/>
      <c r="CC160" s="1"/>
      <c r="CD160" s="1"/>
      <c r="CE160" s="1"/>
      <c r="CF160" s="1"/>
      <c r="CG160" s="1"/>
      <c r="CH160" s="1"/>
      <c r="CI160" s="1"/>
      <c r="CJ160" s="1"/>
      <c r="CR160" s="305"/>
      <c r="CT160" s="116"/>
      <c r="DB160" s="1"/>
      <c r="DC160" s="1"/>
      <c r="DD160" s="1"/>
      <c r="DE160" s="1"/>
      <c r="DF160" s="1"/>
      <c r="DG160" s="1"/>
      <c r="DH160" s="1"/>
      <c r="DI160" s="1"/>
      <c r="DJ160" s="655"/>
      <c r="DL160" s="116"/>
    </row>
    <row r="161" spans="2:116" ht="15.75" customHeight="1" x14ac:dyDescent="0.3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874"/>
      <c r="AR161" s="874"/>
      <c r="AS161" s="874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43"/>
      <c r="BN161" s="116"/>
      <c r="BW161" s="1"/>
      <c r="BX161" s="1"/>
      <c r="BY161" s="1"/>
      <c r="BZ161" s="655"/>
      <c r="CB161" s="656"/>
      <c r="CC161" s="1"/>
      <c r="CD161" s="1"/>
      <c r="CE161" s="1"/>
      <c r="CF161" s="1"/>
      <c r="CG161" s="1"/>
      <c r="CH161" s="1"/>
      <c r="CI161" s="1"/>
      <c r="CJ161" s="1"/>
      <c r="CR161" s="305"/>
      <c r="CT161" s="116"/>
      <c r="DB161" s="1"/>
      <c r="DC161" s="1"/>
      <c r="DD161" s="1"/>
      <c r="DE161" s="1"/>
      <c r="DF161" s="1"/>
      <c r="DG161" s="1"/>
      <c r="DH161" s="1"/>
      <c r="DI161" s="1"/>
      <c r="DJ161" s="655"/>
      <c r="DL161" s="116"/>
    </row>
    <row r="162" spans="2:116" ht="15.75" customHeight="1" x14ac:dyDescent="0.3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874"/>
      <c r="AR162" s="874"/>
      <c r="AS162" s="874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43"/>
      <c r="BN162" s="116"/>
      <c r="BW162" s="1"/>
      <c r="BX162" s="1"/>
      <c r="BY162" s="1"/>
      <c r="BZ162" s="655"/>
      <c r="CB162" s="656"/>
      <c r="CC162" s="1"/>
      <c r="CD162" s="1"/>
      <c r="CE162" s="1"/>
      <c r="CF162" s="1"/>
      <c r="CG162" s="1"/>
      <c r="CH162" s="1"/>
      <c r="CI162" s="1"/>
      <c r="CJ162" s="1"/>
      <c r="CR162" s="305"/>
      <c r="CT162" s="116"/>
      <c r="DB162" s="1"/>
      <c r="DC162" s="1"/>
      <c r="DD162" s="1"/>
      <c r="DE162" s="1"/>
      <c r="DF162" s="1"/>
      <c r="DG162" s="1"/>
      <c r="DH162" s="1"/>
      <c r="DI162" s="1"/>
      <c r="DJ162" s="655"/>
      <c r="DL162" s="116"/>
    </row>
    <row r="163" spans="2:116" ht="15.75" customHeight="1" x14ac:dyDescent="0.3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874"/>
      <c r="AR163" s="874"/>
      <c r="AS163" s="874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43"/>
      <c r="BN163" s="116"/>
      <c r="BW163" s="1"/>
      <c r="BX163" s="1"/>
      <c r="BY163" s="1"/>
      <c r="BZ163" s="655"/>
      <c r="CB163" s="656"/>
      <c r="CC163" s="1"/>
      <c r="CD163" s="1"/>
      <c r="CE163" s="1"/>
      <c r="CF163" s="1"/>
      <c r="CG163" s="1"/>
      <c r="CH163" s="1"/>
      <c r="CI163" s="1"/>
      <c r="CJ163" s="1"/>
      <c r="CR163" s="305"/>
      <c r="CT163" s="116"/>
      <c r="DB163" s="1"/>
      <c r="DC163" s="1"/>
      <c r="DD163" s="1"/>
      <c r="DE163" s="1"/>
      <c r="DF163" s="1"/>
      <c r="DG163" s="1"/>
      <c r="DH163" s="1"/>
      <c r="DI163" s="1"/>
      <c r="DJ163" s="655"/>
      <c r="DL163" s="116"/>
    </row>
    <row r="164" spans="2:116" ht="15.75" customHeight="1" x14ac:dyDescent="0.3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874"/>
      <c r="AR164" s="874"/>
      <c r="AS164" s="874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43"/>
      <c r="BN164" s="116"/>
      <c r="BW164" s="1"/>
      <c r="BX164" s="1"/>
      <c r="BY164" s="1"/>
      <c r="BZ164" s="655"/>
      <c r="CB164" s="656"/>
      <c r="CC164" s="1"/>
      <c r="CD164" s="1"/>
      <c r="CE164" s="1"/>
      <c r="CF164" s="1"/>
      <c r="CG164" s="1"/>
      <c r="CH164" s="1"/>
      <c r="CI164" s="1"/>
      <c r="CJ164" s="1"/>
      <c r="CR164" s="305"/>
      <c r="CT164" s="116"/>
      <c r="DB164" s="1"/>
      <c r="DC164" s="1"/>
      <c r="DD164" s="1"/>
      <c r="DE164" s="1"/>
      <c r="DF164" s="1"/>
      <c r="DG164" s="1"/>
      <c r="DH164" s="1"/>
      <c r="DI164" s="1"/>
      <c r="DJ164" s="655"/>
      <c r="DL164" s="116"/>
    </row>
    <row r="165" spans="2:116" ht="15.75" customHeight="1" x14ac:dyDescent="0.3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874"/>
      <c r="AR165" s="874"/>
      <c r="AS165" s="874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43"/>
      <c r="BN165" s="116"/>
      <c r="BW165" s="1"/>
      <c r="BX165" s="1"/>
      <c r="BY165" s="1"/>
      <c r="BZ165" s="655"/>
      <c r="CB165" s="656"/>
      <c r="CC165" s="1"/>
      <c r="CD165" s="1"/>
      <c r="CE165" s="1"/>
      <c r="CF165" s="1"/>
      <c r="CG165" s="1"/>
      <c r="CH165" s="1"/>
      <c r="CI165" s="1"/>
      <c r="CJ165" s="1"/>
      <c r="CR165" s="305"/>
      <c r="CT165" s="116"/>
      <c r="DB165" s="1"/>
      <c r="DC165" s="1"/>
      <c r="DD165" s="1"/>
      <c r="DE165" s="1"/>
      <c r="DF165" s="1"/>
      <c r="DG165" s="1"/>
      <c r="DH165" s="1"/>
      <c r="DI165" s="1"/>
      <c r="DJ165" s="655"/>
      <c r="DL165" s="116"/>
    </row>
    <row r="166" spans="2:116" ht="15.75" customHeight="1" x14ac:dyDescent="0.3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874"/>
      <c r="AR166" s="874"/>
      <c r="AS166" s="874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43"/>
      <c r="BN166" s="116"/>
      <c r="BW166" s="1"/>
      <c r="BX166" s="1"/>
      <c r="BY166" s="1"/>
      <c r="BZ166" s="655"/>
      <c r="CB166" s="656"/>
      <c r="CC166" s="1"/>
      <c r="CD166" s="1"/>
      <c r="CE166" s="1"/>
      <c r="CF166" s="1"/>
      <c r="CG166" s="1"/>
      <c r="CH166" s="1"/>
      <c r="CI166" s="1"/>
      <c r="CJ166" s="1"/>
      <c r="CR166" s="305"/>
      <c r="CT166" s="116"/>
      <c r="DB166" s="1"/>
      <c r="DC166" s="1"/>
      <c r="DD166" s="1"/>
      <c r="DE166" s="1"/>
      <c r="DF166" s="1"/>
      <c r="DG166" s="1"/>
      <c r="DH166" s="1"/>
      <c r="DI166" s="1"/>
      <c r="DJ166" s="655"/>
      <c r="DL166" s="116"/>
    </row>
    <row r="167" spans="2:116" ht="15.75" customHeight="1" x14ac:dyDescent="0.3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874"/>
      <c r="AR167" s="874"/>
      <c r="AS167" s="874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43"/>
      <c r="BN167" s="116"/>
      <c r="BW167" s="1"/>
      <c r="BX167" s="1"/>
      <c r="BY167" s="1"/>
      <c r="BZ167" s="655"/>
      <c r="CB167" s="656"/>
      <c r="CC167" s="1"/>
      <c r="CD167" s="1"/>
      <c r="CE167" s="1"/>
      <c r="CF167" s="1"/>
      <c r="CG167" s="1"/>
      <c r="CH167" s="1"/>
      <c r="CI167" s="1"/>
      <c r="CJ167" s="1"/>
      <c r="CR167" s="305"/>
      <c r="CT167" s="116"/>
      <c r="DB167" s="1"/>
      <c r="DC167" s="1"/>
      <c r="DD167" s="1"/>
      <c r="DE167" s="1"/>
      <c r="DF167" s="1"/>
      <c r="DG167" s="1"/>
      <c r="DH167" s="1"/>
      <c r="DI167" s="1"/>
      <c r="DJ167" s="655"/>
      <c r="DL167" s="116"/>
    </row>
    <row r="168" spans="2:116" ht="15.75" customHeight="1" x14ac:dyDescent="0.3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874"/>
      <c r="AR168" s="874"/>
      <c r="AS168" s="874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43"/>
      <c r="BN168" s="116"/>
      <c r="BW168" s="1"/>
      <c r="BX168" s="1"/>
      <c r="BY168" s="1"/>
      <c r="BZ168" s="655"/>
      <c r="CB168" s="656"/>
      <c r="CC168" s="1"/>
      <c r="CD168" s="1"/>
      <c r="CE168" s="1"/>
      <c r="CF168" s="1"/>
      <c r="CG168" s="1"/>
      <c r="CH168" s="1"/>
      <c r="CI168" s="1"/>
      <c r="CJ168" s="1"/>
      <c r="CR168" s="305"/>
      <c r="CT168" s="116"/>
      <c r="DB168" s="1"/>
      <c r="DC168" s="1"/>
      <c r="DD168" s="1"/>
      <c r="DE168" s="1"/>
      <c r="DF168" s="1"/>
      <c r="DG168" s="1"/>
      <c r="DH168" s="1"/>
      <c r="DI168" s="1"/>
      <c r="DJ168" s="655"/>
      <c r="DL168" s="116"/>
    </row>
    <row r="169" spans="2:116" ht="15.75" customHeight="1" x14ac:dyDescent="0.3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874"/>
      <c r="AR169" s="874"/>
      <c r="AS169" s="874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43"/>
      <c r="BN169" s="116"/>
      <c r="BW169" s="1"/>
      <c r="BX169" s="1"/>
      <c r="BY169" s="1"/>
      <c r="BZ169" s="655"/>
      <c r="CB169" s="656"/>
      <c r="CC169" s="1"/>
      <c r="CD169" s="1"/>
      <c r="CE169" s="1"/>
      <c r="CF169" s="1"/>
      <c r="CG169" s="1"/>
      <c r="CH169" s="1"/>
      <c r="CI169" s="1"/>
      <c r="CJ169" s="1"/>
      <c r="CR169" s="305"/>
      <c r="CT169" s="116"/>
      <c r="DB169" s="1"/>
      <c r="DC169" s="1"/>
      <c r="DD169" s="1"/>
      <c r="DE169" s="1"/>
      <c r="DF169" s="1"/>
      <c r="DG169" s="1"/>
      <c r="DH169" s="1"/>
      <c r="DI169" s="1"/>
      <c r="DJ169" s="655"/>
      <c r="DL169" s="116"/>
    </row>
    <row r="170" spans="2:116" ht="15.75" customHeight="1" x14ac:dyDescent="0.3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874"/>
      <c r="AR170" s="874"/>
      <c r="AS170" s="874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43"/>
      <c r="BN170" s="116"/>
      <c r="BW170" s="1"/>
      <c r="BX170" s="1"/>
      <c r="BY170" s="1"/>
      <c r="BZ170" s="655"/>
      <c r="CB170" s="656"/>
      <c r="CC170" s="1"/>
      <c r="CD170" s="1"/>
      <c r="CE170" s="1"/>
      <c r="CF170" s="1"/>
      <c r="CG170" s="1"/>
      <c r="CH170" s="1"/>
      <c r="CI170" s="1"/>
      <c r="CJ170" s="1"/>
      <c r="CR170" s="305"/>
      <c r="CT170" s="116"/>
      <c r="DB170" s="1"/>
      <c r="DC170" s="1"/>
      <c r="DD170" s="1"/>
      <c r="DE170" s="1"/>
      <c r="DF170" s="1"/>
      <c r="DG170" s="1"/>
      <c r="DH170" s="1"/>
      <c r="DI170" s="1"/>
      <c r="DJ170" s="655"/>
      <c r="DL170" s="116"/>
    </row>
    <row r="171" spans="2:116" ht="15.75" customHeight="1" x14ac:dyDescent="0.3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874"/>
      <c r="AR171" s="874"/>
      <c r="AS171" s="874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43"/>
      <c r="BN171" s="116"/>
      <c r="BW171" s="1"/>
      <c r="BX171" s="1"/>
      <c r="BY171" s="1"/>
      <c r="BZ171" s="655"/>
      <c r="CB171" s="656"/>
      <c r="CC171" s="1"/>
      <c r="CD171" s="1"/>
      <c r="CE171" s="1"/>
      <c r="CF171" s="1"/>
      <c r="CG171" s="1"/>
      <c r="CH171" s="1"/>
      <c r="CI171" s="1"/>
      <c r="CJ171" s="1"/>
      <c r="CR171" s="305"/>
      <c r="CT171" s="116"/>
      <c r="DB171" s="1"/>
      <c r="DC171" s="1"/>
      <c r="DD171" s="1"/>
      <c r="DE171" s="1"/>
      <c r="DF171" s="1"/>
      <c r="DG171" s="1"/>
      <c r="DH171" s="1"/>
      <c r="DI171" s="1"/>
      <c r="DJ171" s="655"/>
      <c r="DL171" s="116"/>
    </row>
    <row r="172" spans="2:116" ht="15.75" customHeight="1" x14ac:dyDescent="0.3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874"/>
      <c r="AR172" s="874"/>
      <c r="AS172" s="874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43"/>
      <c r="BN172" s="116"/>
      <c r="BW172" s="1"/>
      <c r="BX172" s="1"/>
      <c r="BY172" s="1"/>
      <c r="BZ172" s="655"/>
      <c r="CB172" s="656"/>
      <c r="CC172" s="1"/>
      <c r="CD172" s="1"/>
      <c r="CE172" s="1"/>
      <c r="CF172" s="1"/>
      <c r="CG172" s="1"/>
      <c r="CH172" s="1"/>
      <c r="CI172" s="1"/>
      <c r="CJ172" s="1"/>
      <c r="CR172" s="305"/>
      <c r="CT172" s="116"/>
      <c r="DB172" s="1"/>
      <c r="DC172" s="1"/>
      <c r="DD172" s="1"/>
      <c r="DE172" s="1"/>
      <c r="DF172" s="1"/>
      <c r="DG172" s="1"/>
      <c r="DH172" s="1"/>
      <c r="DI172" s="1"/>
      <c r="DJ172" s="655"/>
      <c r="DL172" s="116"/>
    </row>
    <row r="173" spans="2:116" ht="15.75" customHeight="1" x14ac:dyDescent="0.3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874"/>
      <c r="AR173" s="874"/>
      <c r="AS173" s="874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43"/>
      <c r="BN173" s="116"/>
      <c r="BW173" s="1"/>
      <c r="BX173" s="1"/>
      <c r="BY173" s="1"/>
      <c r="BZ173" s="655"/>
      <c r="CB173" s="656"/>
      <c r="CC173" s="1"/>
      <c r="CD173" s="1"/>
      <c r="CE173" s="1"/>
      <c r="CF173" s="1"/>
      <c r="CG173" s="1"/>
      <c r="CH173" s="1"/>
      <c r="CI173" s="1"/>
      <c r="CJ173" s="1"/>
      <c r="CR173" s="305"/>
      <c r="CT173" s="116"/>
      <c r="DB173" s="1"/>
      <c r="DC173" s="1"/>
      <c r="DD173" s="1"/>
      <c r="DE173" s="1"/>
      <c r="DF173" s="1"/>
      <c r="DG173" s="1"/>
      <c r="DH173" s="1"/>
      <c r="DI173" s="1"/>
      <c r="DJ173" s="655"/>
      <c r="DL173" s="116"/>
    </row>
    <row r="174" spans="2:116" ht="15.75" customHeight="1" x14ac:dyDescent="0.3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874"/>
      <c r="AR174" s="874"/>
      <c r="AS174" s="874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43"/>
      <c r="BN174" s="116"/>
      <c r="BW174" s="1"/>
      <c r="BX174" s="1"/>
      <c r="BY174" s="1"/>
      <c r="BZ174" s="655"/>
      <c r="CB174" s="656"/>
      <c r="CC174" s="1"/>
      <c r="CD174" s="1"/>
      <c r="CE174" s="1"/>
      <c r="CF174" s="1"/>
      <c r="CG174" s="1"/>
      <c r="CH174" s="1"/>
      <c r="CI174" s="1"/>
      <c r="CJ174" s="1"/>
      <c r="CR174" s="305"/>
      <c r="CT174" s="116"/>
      <c r="DB174" s="1"/>
      <c r="DC174" s="1"/>
      <c r="DD174" s="1"/>
      <c r="DE174" s="1"/>
      <c r="DF174" s="1"/>
      <c r="DG174" s="1"/>
      <c r="DH174" s="1"/>
      <c r="DI174" s="1"/>
      <c r="DJ174" s="655"/>
      <c r="DL174" s="116"/>
    </row>
    <row r="175" spans="2:116" ht="15.75" customHeight="1" x14ac:dyDescent="0.3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874"/>
      <c r="AR175" s="874"/>
      <c r="AS175" s="874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43"/>
      <c r="BN175" s="116"/>
      <c r="BW175" s="1"/>
      <c r="BX175" s="1"/>
      <c r="BY175" s="1"/>
      <c r="BZ175" s="655"/>
      <c r="CB175" s="656"/>
      <c r="CC175" s="1"/>
      <c r="CD175" s="1"/>
      <c r="CE175" s="1"/>
      <c r="CF175" s="1"/>
      <c r="CG175" s="1"/>
      <c r="CH175" s="1"/>
      <c r="CI175" s="1"/>
      <c r="CJ175" s="1"/>
      <c r="CR175" s="305"/>
      <c r="CT175" s="116"/>
      <c r="DB175" s="1"/>
      <c r="DC175" s="1"/>
      <c r="DD175" s="1"/>
      <c r="DE175" s="1"/>
      <c r="DF175" s="1"/>
      <c r="DG175" s="1"/>
      <c r="DH175" s="1"/>
      <c r="DI175" s="1"/>
      <c r="DJ175" s="655"/>
      <c r="DL175" s="116"/>
    </row>
    <row r="176" spans="2:116" ht="15.75" customHeight="1" x14ac:dyDescent="0.3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874"/>
      <c r="AR176" s="874"/>
      <c r="AS176" s="874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43"/>
      <c r="BN176" s="116"/>
      <c r="BW176" s="1"/>
      <c r="BX176" s="1"/>
      <c r="BY176" s="1"/>
      <c r="BZ176" s="655"/>
      <c r="CB176" s="656"/>
      <c r="CC176" s="1"/>
      <c r="CD176" s="1"/>
      <c r="CE176" s="1"/>
      <c r="CF176" s="1"/>
      <c r="CG176" s="1"/>
      <c r="CH176" s="1"/>
      <c r="CI176" s="1"/>
      <c r="CJ176" s="1"/>
      <c r="CR176" s="305"/>
      <c r="CT176" s="116"/>
      <c r="DB176" s="1"/>
      <c r="DC176" s="1"/>
      <c r="DD176" s="1"/>
      <c r="DE176" s="1"/>
      <c r="DF176" s="1"/>
      <c r="DG176" s="1"/>
      <c r="DH176" s="1"/>
      <c r="DI176" s="1"/>
      <c r="DJ176" s="655"/>
      <c r="DL176" s="116"/>
    </row>
    <row r="177" spans="2:116" ht="15.75" customHeight="1" x14ac:dyDescent="0.3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874"/>
      <c r="AR177" s="874"/>
      <c r="AS177" s="874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43"/>
      <c r="BN177" s="116"/>
      <c r="BW177" s="1"/>
      <c r="BX177" s="1"/>
      <c r="BY177" s="1"/>
      <c r="BZ177" s="655"/>
      <c r="CB177" s="656"/>
      <c r="CC177" s="1"/>
      <c r="CD177" s="1"/>
      <c r="CE177" s="1"/>
      <c r="CF177" s="1"/>
      <c r="CG177" s="1"/>
      <c r="CH177" s="1"/>
      <c r="CI177" s="1"/>
      <c r="CJ177" s="1"/>
      <c r="CR177" s="305"/>
      <c r="CT177" s="116"/>
      <c r="DB177" s="1"/>
      <c r="DC177" s="1"/>
      <c r="DD177" s="1"/>
      <c r="DE177" s="1"/>
      <c r="DF177" s="1"/>
      <c r="DG177" s="1"/>
      <c r="DH177" s="1"/>
      <c r="DI177" s="1"/>
      <c r="DJ177" s="655"/>
      <c r="DL177" s="116"/>
    </row>
    <row r="178" spans="2:116" ht="15.75" customHeight="1" x14ac:dyDescent="0.3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874"/>
      <c r="AR178" s="874"/>
      <c r="AS178" s="874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43"/>
      <c r="BN178" s="116"/>
      <c r="BW178" s="1"/>
      <c r="BX178" s="1"/>
      <c r="BY178" s="1"/>
      <c r="BZ178" s="655"/>
      <c r="CB178" s="656"/>
      <c r="CC178" s="1"/>
      <c r="CD178" s="1"/>
      <c r="CE178" s="1"/>
      <c r="CF178" s="1"/>
      <c r="CG178" s="1"/>
      <c r="CH178" s="1"/>
      <c r="CI178" s="1"/>
      <c r="CJ178" s="1"/>
      <c r="CR178" s="305"/>
      <c r="CT178" s="116"/>
      <c r="DB178" s="1"/>
      <c r="DC178" s="1"/>
      <c r="DD178" s="1"/>
      <c r="DE178" s="1"/>
      <c r="DF178" s="1"/>
      <c r="DG178" s="1"/>
      <c r="DH178" s="1"/>
      <c r="DI178" s="1"/>
      <c r="DJ178" s="655"/>
      <c r="DL178" s="116"/>
    </row>
    <row r="179" spans="2:116" ht="15.75" customHeight="1" x14ac:dyDescent="0.3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874"/>
      <c r="AR179" s="874"/>
      <c r="AS179" s="874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43"/>
      <c r="BN179" s="116"/>
      <c r="BW179" s="1"/>
      <c r="BX179" s="1"/>
      <c r="BY179" s="1"/>
      <c r="BZ179" s="655"/>
      <c r="CB179" s="656"/>
      <c r="CC179" s="1"/>
      <c r="CD179" s="1"/>
      <c r="CE179" s="1"/>
      <c r="CF179" s="1"/>
      <c r="CG179" s="1"/>
      <c r="CH179" s="1"/>
      <c r="CI179" s="1"/>
      <c r="CJ179" s="1"/>
      <c r="CR179" s="305"/>
      <c r="CT179" s="116"/>
      <c r="DB179" s="1"/>
      <c r="DC179" s="1"/>
      <c r="DD179" s="1"/>
      <c r="DE179" s="1"/>
      <c r="DF179" s="1"/>
      <c r="DG179" s="1"/>
      <c r="DH179" s="1"/>
      <c r="DI179" s="1"/>
      <c r="DJ179" s="655"/>
      <c r="DL179" s="116"/>
    </row>
    <row r="180" spans="2:116" ht="15.75" customHeight="1" x14ac:dyDescent="0.3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874"/>
      <c r="AR180" s="874"/>
      <c r="AS180" s="874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43"/>
      <c r="BN180" s="116"/>
      <c r="BW180" s="1"/>
      <c r="BX180" s="1"/>
      <c r="BY180" s="1"/>
      <c r="BZ180" s="655"/>
      <c r="CB180" s="656"/>
      <c r="CC180" s="1"/>
      <c r="CD180" s="1"/>
      <c r="CE180" s="1"/>
      <c r="CF180" s="1"/>
      <c r="CG180" s="1"/>
      <c r="CH180" s="1"/>
      <c r="CI180" s="1"/>
      <c r="CJ180" s="1"/>
      <c r="CR180" s="305"/>
      <c r="CT180" s="116"/>
      <c r="DB180" s="1"/>
      <c r="DC180" s="1"/>
      <c r="DD180" s="1"/>
      <c r="DE180" s="1"/>
      <c r="DF180" s="1"/>
      <c r="DG180" s="1"/>
      <c r="DH180" s="1"/>
      <c r="DI180" s="1"/>
      <c r="DJ180" s="655"/>
      <c r="DL180" s="116"/>
    </row>
    <row r="181" spans="2:116" ht="15.75" customHeight="1" x14ac:dyDescent="0.3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874"/>
      <c r="AR181" s="874"/>
      <c r="AS181" s="874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43"/>
      <c r="BN181" s="116"/>
      <c r="BW181" s="1"/>
      <c r="BX181" s="1"/>
      <c r="BY181" s="1"/>
      <c r="BZ181" s="655"/>
      <c r="CB181" s="656"/>
      <c r="CC181" s="1"/>
      <c r="CD181" s="1"/>
      <c r="CE181" s="1"/>
      <c r="CF181" s="1"/>
      <c r="CG181" s="1"/>
      <c r="CH181" s="1"/>
      <c r="CI181" s="1"/>
      <c r="CJ181" s="1"/>
      <c r="CR181" s="305"/>
      <c r="CT181" s="116"/>
      <c r="DB181" s="1"/>
      <c r="DC181" s="1"/>
      <c r="DD181" s="1"/>
      <c r="DE181" s="1"/>
      <c r="DF181" s="1"/>
      <c r="DG181" s="1"/>
      <c r="DH181" s="1"/>
      <c r="DI181" s="1"/>
      <c r="DJ181" s="655"/>
      <c r="DL181" s="116"/>
    </row>
    <row r="182" spans="2:116" ht="15.75" customHeight="1" x14ac:dyDescent="0.3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874"/>
      <c r="AR182" s="874"/>
      <c r="AS182" s="874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43"/>
      <c r="BN182" s="116"/>
      <c r="BW182" s="1"/>
      <c r="BX182" s="1"/>
      <c r="BY182" s="1"/>
      <c r="BZ182" s="655"/>
      <c r="CB182" s="656"/>
      <c r="CC182" s="1"/>
      <c r="CD182" s="1"/>
      <c r="CE182" s="1"/>
      <c r="CF182" s="1"/>
      <c r="CG182" s="1"/>
      <c r="CH182" s="1"/>
      <c r="CI182" s="1"/>
      <c r="CJ182" s="1"/>
      <c r="CR182" s="305"/>
      <c r="CT182" s="116"/>
      <c r="DB182" s="1"/>
      <c r="DC182" s="1"/>
      <c r="DD182" s="1"/>
      <c r="DE182" s="1"/>
      <c r="DF182" s="1"/>
      <c r="DG182" s="1"/>
      <c r="DH182" s="1"/>
      <c r="DI182" s="1"/>
      <c r="DJ182" s="655"/>
      <c r="DL182" s="116"/>
    </row>
    <row r="183" spans="2:116" ht="15.75" customHeight="1" x14ac:dyDescent="0.3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874"/>
      <c r="AR183" s="874"/>
      <c r="AS183" s="874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43"/>
      <c r="BN183" s="116"/>
      <c r="BW183" s="1"/>
      <c r="BX183" s="1"/>
      <c r="BY183" s="1"/>
      <c r="BZ183" s="655"/>
      <c r="CB183" s="656"/>
      <c r="CC183" s="1"/>
      <c r="CD183" s="1"/>
      <c r="CE183" s="1"/>
      <c r="CF183" s="1"/>
      <c r="CG183" s="1"/>
      <c r="CH183" s="1"/>
      <c r="CI183" s="1"/>
      <c r="CJ183" s="1"/>
      <c r="CR183" s="305"/>
      <c r="CT183" s="116"/>
      <c r="DB183" s="1"/>
      <c r="DC183" s="1"/>
      <c r="DD183" s="1"/>
      <c r="DE183" s="1"/>
      <c r="DF183" s="1"/>
      <c r="DG183" s="1"/>
      <c r="DH183" s="1"/>
      <c r="DI183" s="1"/>
      <c r="DJ183" s="655"/>
      <c r="DL183" s="116"/>
    </row>
    <row r="184" spans="2:116" ht="15.75" customHeight="1" x14ac:dyDescent="0.3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874"/>
      <c r="AR184" s="874"/>
      <c r="AS184" s="874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43"/>
      <c r="BN184" s="116"/>
      <c r="BW184" s="1"/>
      <c r="BX184" s="1"/>
      <c r="BY184" s="1"/>
      <c r="BZ184" s="655"/>
      <c r="CB184" s="656"/>
      <c r="CC184" s="1"/>
      <c r="CD184" s="1"/>
      <c r="CE184" s="1"/>
      <c r="CF184" s="1"/>
      <c r="CG184" s="1"/>
      <c r="CH184" s="1"/>
      <c r="CI184" s="1"/>
      <c r="CJ184" s="1"/>
      <c r="CR184" s="305"/>
      <c r="CT184" s="116"/>
      <c r="DB184" s="1"/>
      <c r="DC184" s="1"/>
      <c r="DD184" s="1"/>
      <c r="DE184" s="1"/>
      <c r="DF184" s="1"/>
      <c r="DG184" s="1"/>
      <c r="DH184" s="1"/>
      <c r="DI184" s="1"/>
      <c r="DJ184" s="655"/>
      <c r="DL184" s="116"/>
    </row>
    <row r="185" spans="2:116" ht="15.75" customHeight="1" x14ac:dyDescent="0.3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874"/>
      <c r="AR185" s="874"/>
      <c r="AS185" s="874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43"/>
      <c r="BN185" s="116"/>
      <c r="BW185" s="1"/>
      <c r="BX185" s="1"/>
      <c r="BY185" s="1"/>
      <c r="BZ185" s="655"/>
      <c r="CB185" s="656"/>
      <c r="CC185" s="1"/>
      <c r="CD185" s="1"/>
      <c r="CE185" s="1"/>
      <c r="CF185" s="1"/>
      <c r="CG185" s="1"/>
      <c r="CH185" s="1"/>
      <c r="CI185" s="1"/>
      <c r="CJ185" s="1"/>
      <c r="CR185" s="305"/>
      <c r="CT185" s="116"/>
      <c r="DB185" s="1"/>
      <c r="DC185" s="1"/>
      <c r="DD185" s="1"/>
      <c r="DE185" s="1"/>
      <c r="DF185" s="1"/>
      <c r="DG185" s="1"/>
      <c r="DH185" s="1"/>
      <c r="DI185" s="1"/>
      <c r="DJ185" s="655"/>
      <c r="DL185" s="116"/>
    </row>
    <row r="186" spans="2:116" ht="15.75" customHeight="1" x14ac:dyDescent="0.3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874"/>
      <c r="AR186" s="874"/>
      <c r="AS186" s="874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43"/>
      <c r="BN186" s="116"/>
      <c r="BW186" s="1"/>
      <c r="BX186" s="1"/>
      <c r="BY186" s="1"/>
      <c r="BZ186" s="655"/>
      <c r="CB186" s="656"/>
      <c r="CC186" s="1"/>
      <c r="CD186" s="1"/>
      <c r="CE186" s="1"/>
      <c r="CF186" s="1"/>
      <c r="CG186" s="1"/>
      <c r="CH186" s="1"/>
      <c r="CI186" s="1"/>
      <c r="CJ186" s="1"/>
      <c r="CR186" s="305"/>
      <c r="CT186" s="116"/>
      <c r="DB186" s="1"/>
      <c r="DC186" s="1"/>
      <c r="DD186" s="1"/>
      <c r="DE186" s="1"/>
      <c r="DF186" s="1"/>
      <c r="DG186" s="1"/>
      <c r="DH186" s="1"/>
      <c r="DI186" s="1"/>
      <c r="DJ186" s="655"/>
      <c r="DL186" s="116"/>
    </row>
    <row r="187" spans="2:116" ht="15.75" customHeight="1" x14ac:dyDescent="0.3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874"/>
      <c r="AR187" s="874"/>
      <c r="AS187" s="874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43"/>
      <c r="BN187" s="116"/>
      <c r="BW187" s="1"/>
      <c r="BX187" s="1"/>
      <c r="BY187" s="1"/>
      <c r="BZ187" s="655"/>
      <c r="CB187" s="656"/>
      <c r="CC187" s="1"/>
      <c r="CD187" s="1"/>
      <c r="CE187" s="1"/>
      <c r="CF187" s="1"/>
      <c r="CG187" s="1"/>
      <c r="CH187" s="1"/>
      <c r="CI187" s="1"/>
      <c r="CJ187" s="1"/>
      <c r="CR187" s="305"/>
      <c r="CT187" s="116"/>
      <c r="DB187" s="1"/>
      <c r="DC187" s="1"/>
      <c r="DD187" s="1"/>
      <c r="DE187" s="1"/>
      <c r="DF187" s="1"/>
      <c r="DG187" s="1"/>
      <c r="DH187" s="1"/>
      <c r="DI187" s="1"/>
      <c r="DJ187" s="655"/>
      <c r="DL187" s="116"/>
    </row>
    <row r="188" spans="2:116" ht="15.75" customHeight="1" x14ac:dyDescent="0.3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874"/>
      <c r="AR188" s="874"/>
      <c r="AS188" s="874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43"/>
      <c r="BN188" s="116"/>
      <c r="BW188" s="1"/>
      <c r="BX188" s="1"/>
      <c r="BY188" s="1"/>
      <c r="BZ188" s="655"/>
      <c r="CB188" s="656"/>
      <c r="CC188" s="1"/>
      <c r="CD188" s="1"/>
      <c r="CE188" s="1"/>
      <c r="CF188" s="1"/>
      <c r="CG188" s="1"/>
      <c r="CH188" s="1"/>
      <c r="CI188" s="1"/>
      <c r="CJ188" s="1"/>
      <c r="CR188" s="305"/>
      <c r="CT188" s="116"/>
      <c r="DB188" s="1"/>
      <c r="DC188" s="1"/>
      <c r="DD188" s="1"/>
      <c r="DE188" s="1"/>
      <c r="DF188" s="1"/>
      <c r="DG188" s="1"/>
      <c r="DH188" s="1"/>
      <c r="DI188" s="1"/>
      <c r="DJ188" s="655"/>
      <c r="DL188" s="116"/>
    </row>
    <row r="189" spans="2:116" ht="15.75" customHeight="1" x14ac:dyDescent="0.3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874"/>
      <c r="AR189" s="874"/>
      <c r="AS189" s="874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43"/>
      <c r="BN189" s="116"/>
      <c r="BW189" s="1"/>
      <c r="BX189" s="1"/>
      <c r="BY189" s="1"/>
      <c r="BZ189" s="655"/>
      <c r="CB189" s="656"/>
      <c r="CC189" s="1"/>
      <c r="CD189" s="1"/>
      <c r="CE189" s="1"/>
      <c r="CF189" s="1"/>
      <c r="CG189" s="1"/>
      <c r="CH189" s="1"/>
      <c r="CI189" s="1"/>
      <c r="CJ189" s="1"/>
      <c r="CR189" s="305"/>
      <c r="CT189" s="116"/>
      <c r="DB189" s="1"/>
      <c r="DC189" s="1"/>
      <c r="DD189" s="1"/>
      <c r="DE189" s="1"/>
      <c r="DF189" s="1"/>
      <c r="DG189" s="1"/>
      <c r="DH189" s="1"/>
      <c r="DI189" s="1"/>
      <c r="DJ189" s="655"/>
      <c r="DL189" s="116"/>
    </row>
    <row r="190" spans="2:116" ht="15.75" customHeight="1" x14ac:dyDescent="0.3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874"/>
      <c r="AR190" s="874"/>
      <c r="AS190" s="874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43"/>
      <c r="BN190" s="116"/>
      <c r="BW190" s="1"/>
      <c r="BX190" s="1"/>
      <c r="BY190" s="1"/>
      <c r="BZ190" s="655"/>
      <c r="CB190" s="656"/>
      <c r="CC190" s="1"/>
      <c r="CD190" s="1"/>
      <c r="CE190" s="1"/>
      <c r="CF190" s="1"/>
      <c r="CG190" s="1"/>
      <c r="CH190" s="1"/>
      <c r="CI190" s="1"/>
      <c r="CJ190" s="1"/>
      <c r="CR190" s="305"/>
      <c r="CT190" s="116"/>
      <c r="DB190" s="1"/>
      <c r="DC190" s="1"/>
      <c r="DD190" s="1"/>
      <c r="DE190" s="1"/>
      <c r="DF190" s="1"/>
      <c r="DG190" s="1"/>
      <c r="DH190" s="1"/>
      <c r="DI190" s="1"/>
      <c r="DJ190" s="655"/>
      <c r="DL190" s="116"/>
    </row>
    <row r="191" spans="2:116" ht="15.75" customHeight="1" x14ac:dyDescent="0.3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874"/>
      <c r="AR191" s="874"/>
      <c r="AS191" s="874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43"/>
      <c r="BN191" s="116"/>
      <c r="BW191" s="1"/>
      <c r="BX191" s="1"/>
      <c r="BY191" s="1"/>
      <c r="BZ191" s="655"/>
      <c r="CB191" s="656"/>
      <c r="CC191" s="1"/>
      <c r="CD191" s="1"/>
      <c r="CE191" s="1"/>
      <c r="CF191" s="1"/>
      <c r="CG191" s="1"/>
      <c r="CH191" s="1"/>
      <c r="CI191" s="1"/>
      <c r="CJ191" s="1"/>
      <c r="CR191" s="305"/>
      <c r="CT191" s="116"/>
      <c r="DB191" s="1"/>
      <c r="DC191" s="1"/>
      <c r="DD191" s="1"/>
      <c r="DE191" s="1"/>
      <c r="DF191" s="1"/>
      <c r="DG191" s="1"/>
      <c r="DH191" s="1"/>
      <c r="DI191" s="1"/>
      <c r="DJ191" s="655"/>
      <c r="DL191" s="116"/>
    </row>
    <row r="192" spans="2:116" ht="15.75" customHeight="1" x14ac:dyDescent="0.3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874"/>
      <c r="AR192" s="874"/>
      <c r="AS192" s="874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43"/>
      <c r="BN192" s="116"/>
      <c r="BW192" s="1"/>
      <c r="BX192" s="1"/>
      <c r="BY192" s="1"/>
      <c r="BZ192" s="655"/>
      <c r="CB192" s="656"/>
      <c r="CC192" s="1"/>
      <c r="CD192" s="1"/>
      <c r="CE192" s="1"/>
      <c r="CF192" s="1"/>
      <c r="CG192" s="1"/>
      <c r="CH192" s="1"/>
      <c r="CI192" s="1"/>
      <c r="CJ192" s="1"/>
      <c r="CR192" s="305"/>
      <c r="CT192" s="116"/>
      <c r="DB192" s="1"/>
      <c r="DC192" s="1"/>
      <c r="DD192" s="1"/>
      <c r="DE192" s="1"/>
      <c r="DF192" s="1"/>
      <c r="DG192" s="1"/>
      <c r="DH192" s="1"/>
      <c r="DI192" s="1"/>
      <c r="DJ192" s="655"/>
      <c r="DL192" s="116"/>
    </row>
    <row r="193" spans="2:116" ht="15.75" customHeight="1" x14ac:dyDescent="0.3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874"/>
      <c r="AR193" s="874"/>
      <c r="AS193" s="874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43"/>
      <c r="BN193" s="116"/>
      <c r="BW193" s="1"/>
      <c r="BX193" s="1"/>
      <c r="BY193" s="1"/>
      <c r="BZ193" s="655"/>
      <c r="CB193" s="656"/>
      <c r="CC193" s="1"/>
      <c r="CD193" s="1"/>
      <c r="CE193" s="1"/>
      <c r="CF193" s="1"/>
      <c r="CG193" s="1"/>
      <c r="CH193" s="1"/>
      <c r="CI193" s="1"/>
      <c r="CJ193" s="1"/>
      <c r="CR193" s="305"/>
      <c r="CT193" s="116"/>
      <c r="DB193" s="1"/>
      <c r="DC193" s="1"/>
      <c r="DD193" s="1"/>
      <c r="DE193" s="1"/>
      <c r="DF193" s="1"/>
      <c r="DG193" s="1"/>
      <c r="DH193" s="1"/>
      <c r="DI193" s="1"/>
      <c r="DJ193" s="655"/>
      <c r="DL193" s="116"/>
    </row>
    <row r="194" spans="2:116" ht="15.75" customHeight="1" x14ac:dyDescent="0.3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874"/>
      <c r="AR194" s="874"/>
      <c r="AS194" s="874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43"/>
      <c r="BN194" s="116"/>
      <c r="BW194" s="1"/>
      <c r="BX194" s="1"/>
      <c r="BY194" s="1"/>
      <c r="BZ194" s="655"/>
      <c r="CB194" s="656"/>
      <c r="CC194" s="1"/>
      <c r="CD194" s="1"/>
      <c r="CE194" s="1"/>
      <c r="CF194" s="1"/>
      <c r="CG194" s="1"/>
      <c r="CH194" s="1"/>
      <c r="CI194" s="1"/>
      <c r="CJ194" s="1"/>
      <c r="CR194" s="305"/>
      <c r="CT194" s="116"/>
      <c r="DB194" s="1"/>
      <c r="DC194" s="1"/>
      <c r="DD194" s="1"/>
      <c r="DE194" s="1"/>
      <c r="DF194" s="1"/>
      <c r="DG194" s="1"/>
      <c r="DH194" s="1"/>
      <c r="DI194" s="1"/>
      <c r="DJ194" s="655"/>
      <c r="DL194" s="116"/>
    </row>
    <row r="195" spans="2:116" ht="15.75" customHeight="1" x14ac:dyDescent="0.3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874"/>
      <c r="AR195" s="874"/>
      <c r="AS195" s="874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43"/>
      <c r="BN195" s="116"/>
      <c r="BW195" s="1"/>
      <c r="BX195" s="1"/>
      <c r="BY195" s="1"/>
      <c r="BZ195" s="655"/>
      <c r="CB195" s="656"/>
      <c r="CC195" s="1"/>
      <c r="CD195" s="1"/>
      <c r="CE195" s="1"/>
      <c r="CF195" s="1"/>
      <c r="CG195" s="1"/>
      <c r="CH195" s="1"/>
      <c r="CI195" s="1"/>
      <c r="CJ195" s="1"/>
      <c r="CR195" s="305"/>
      <c r="CT195" s="116"/>
      <c r="DB195" s="1"/>
      <c r="DC195" s="1"/>
      <c r="DD195" s="1"/>
      <c r="DE195" s="1"/>
      <c r="DF195" s="1"/>
      <c r="DG195" s="1"/>
      <c r="DH195" s="1"/>
      <c r="DI195" s="1"/>
      <c r="DJ195" s="655"/>
      <c r="DL195" s="116"/>
    </row>
    <row r="196" spans="2:116" ht="15.75" customHeight="1" x14ac:dyDescent="0.3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874"/>
      <c r="AR196" s="874"/>
      <c r="AS196" s="874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43"/>
      <c r="BN196" s="116"/>
      <c r="BW196" s="1"/>
      <c r="BX196" s="1"/>
      <c r="BY196" s="1"/>
      <c r="BZ196" s="655"/>
      <c r="CB196" s="656"/>
      <c r="CC196" s="1"/>
      <c r="CD196" s="1"/>
      <c r="CE196" s="1"/>
      <c r="CF196" s="1"/>
      <c r="CG196" s="1"/>
      <c r="CH196" s="1"/>
      <c r="CI196" s="1"/>
      <c r="CJ196" s="1"/>
      <c r="CR196" s="305"/>
      <c r="CT196" s="116"/>
      <c r="DB196" s="1"/>
      <c r="DC196" s="1"/>
      <c r="DD196" s="1"/>
      <c r="DE196" s="1"/>
      <c r="DF196" s="1"/>
      <c r="DG196" s="1"/>
      <c r="DH196" s="1"/>
      <c r="DI196" s="1"/>
      <c r="DJ196" s="655"/>
      <c r="DL196" s="116"/>
    </row>
    <row r="197" spans="2:116" ht="15.75" customHeight="1" x14ac:dyDescent="0.3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874"/>
      <c r="AR197" s="874"/>
      <c r="AS197" s="874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43"/>
      <c r="BN197" s="116"/>
      <c r="BW197" s="1"/>
      <c r="BX197" s="1"/>
      <c r="BY197" s="1"/>
      <c r="BZ197" s="655"/>
      <c r="CB197" s="656"/>
      <c r="CC197" s="1"/>
      <c r="CD197" s="1"/>
      <c r="CE197" s="1"/>
      <c r="CF197" s="1"/>
      <c r="CG197" s="1"/>
      <c r="CH197" s="1"/>
      <c r="CI197" s="1"/>
      <c r="CJ197" s="1"/>
      <c r="CR197" s="305"/>
      <c r="CT197" s="116"/>
      <c r="DB197" s="1"/>
      <c r="DC197" s="1"/>
      <c r="DD197" s="1"/>
      <c r="DE197" s="1"/>
      <c r="DF197" s="1"/>
      <c r="DG197" s="1"/>
      <c r="DH197" s="1"/>
      <c r="DI197" s="1"/>
      <c r="DJ197" s="655"/>
      <c r="DL197" s="116"/>
    </row>
    <row r="198" spans="2:116" ht="15.75" customHeight="1" x14ac:dyDescent="0.3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874"/>
      <c r="AR198" s="874"/>
      <c r="AS198" s="874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43"/>
      <c r="BN198" s="116"/>
      <c r="BW198" s="1"/>
      <c r="BX198" s="1"/>
      <c r="BY198" s="1"/>
      <c r="BZ198" s="655"/>
      <c r="CB198" s="656"/>
      <c r="CC198" s="1"/>
      <c r="CD198" s="1"/>
      <c r="CE198" s="1"/>
      <c r="CF198" s="1"/>
      <c r="CG198" s="1"/>
      <c r="CH198" s="1"/>
      <c r="CI198" s="1"/>
      <c r="CJ198" s="1"/>
      <c r="CR198" s="305"/>
      <c r="CT198" s="116"/>
      <c r="DB198" s="1"/>
      <c r="DC198" s="1"/>
      <c r="DD198" s="1"/>
      <c r="DE198" s="1"/>
      <c r="DF198" s="1"/>
      <c r="DG198" s="1"/>
      <c r="DH198" s="1"/>
      <c r="DI198" s="1"/>
      <c r="DJ198" s="655"/>
      <c r="DL198" s="116"/>
    </row>
    <row r="199" spans="2:116" ht="15.75" customHeight="1" x14ac:dyDescent="0.3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874"/>
      <c r="AR199" s="874"/>
      <c r="AS199" s="874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43"/>
      <c r="BN199" s="116"/>
      <c r="BW199" s="1"/>
      <c r="BX199" s="1"/>
      <c r="BY199" s="1"/>
      <c r="BZ199" s="655"/>
      <c r="CB199" s="656"/>
      <c r="CC199" s="1"/>
      <c r="CD199" s="1"/>
      <c r="CE199" s="1"/>
      <c r="CF199" s="1"/>
      <c r="CG199" s="1"/>
      <c r="CH199" s="1"/>
      <c r="CI199" s="1"/>
      <c r="CJ199" s="1"/>
      <c r="CR199" s="305"/>
      <c r="CT199" s="116"/>
      <c r="DB199" s="1"/>
      <c r="DC199" s="1"/>
      <c r="DD199" s="1"/>
      <c r="DE199" s="1"/>
      <c r="DF199" s="1"/>
      <c r="DG199" s="1"/>
      <c r="DH199" s="1"/>
      <c r="DI199" s="1"/>
      <c r="DJ199" s="655"/>
      <c r="DL199" s="116"/>
    </row>
    <row r="200" spans="2:116" ht="15.75" customHeight="1" x14ac:dyDescent="0.3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874"/>
      <c r="AR200" s="874"/>
      <c r="AS200" s="874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43"/>
      <c r="BN200" s="116"/>
      <c r="BW200" s="1"/>
      <c r="BX200" s="1"/>
      <c r="BY200" s="1"/>
      <c r="BZ200" s="655"/>
      <c r="CB200" s="656"/>
      <c r="CC200" s="1"/>
      <c r="CD200" s="1"/>
      <c r="CE200" s="1"/>
      <c r="CF200" s="1"/>
      <c r="CG200" s="1"/>
      <c r="CH200" s="1"/>
      <c r="CI200" s="1"/>
      <c r="CJ200" s="1"/>
      <c r="CR200" s="305"/>
      <c r="CT200" s="116"/>
      <c r="DB200" s="1"/>
      <c r="DC200" s="1"/>
      <c r="DD200" s="1"/>
      <c r="DE200" s="1"/>
      <c r="DF200" s="1"/>
      <c r="DG200" s="1"/>
      <c r="DH200" s="1"/>
      <c r="DI200" s="1"/>
      <c r="DJ200" s="655"/>
      <c r="DL200" s="116"/>
    </row>
    <row r="201" spans="2:116" ht="15.75" customHeight="1" x14ac:dyDescent="0.3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874"/>
      <c r="AR201" s="874"/>
      <c r="AS201" s="874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43"/>
      <c r="BN201" s="116"/>
      <c r="BW201" s="1"/>
      <c r="BX201" s="1"/>
      <c r="BY201" s="1"/>
      <c r="BZ201" s="655"/>
      <c r="CB201" s="656"/>
      <c r="CC201" s="1"/>
      <c r="CD201" s="1"/>
      <c r="CE201" s="1"/>
      <c r="CF201" s="1"/>
      <c r="CG201" s="1"/>
      <c r="CH201" s="1"/>
      <c r="CI201" s="1"/>
      <c r="CJ201" s="1"/>
      <c r="CR201" s="305"/>
      <c r="CT201" s="116"/>
      <c r="DB201" s="1"/>
      <c r="DC201" s="1"/>
      <c r="DD201" s="1"/>
      <c r="DE201" s="1"/>
      <c r="DF201" s="1"/>
      <c r="DG201" s="1"/>
      <c r="DH201" s="1"/>
      <c r="DI201" s="1"/>
      <c r="DJ201" s="655"/>
      <c r="DL201" s="116"/>
    </row>
    <row r="202" spans="2:116" ht="15.75" customHeight="1" x14ac:dyDescent="0.3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874"/>
      <c r="AR202" s="874"/>
      <c r="AS202" s="874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43"/>
      <c r="BN202" s="116"/>
      <c r="BW202" s="1"/>
      <c r="BX202" s="1"/>
      <c r="BY202" s="1"/>
      <c r="BZ202" s="655"/>
      <c r="CB202" s="656"/>
      <c r="CC202" s="1"/>
      <c r="CD202" s="1"/>
      <c r="CE202" s="1"/>
      <c r="CF202" s="1"/>
      <c r="CG202" s="1"/>
      <c r="CH202" s="1"/>
      <c r="CI202" s="1"/>
      <c r="CJ202" s="1"/>
      <c r="CR202" s="305"/>
      <c r="CT202" s="116"/>
      <c r="DB202" s="1"/>
      <c r="DC202" s="1"/>
      <c r="DD202" s="1"/>
      <c r="DE202" s="1"/>
      <c r="DF202" s="1"/>
      <c r="DG202" s="1"/>
      <c r="DH202" s="1"/>
      <c r="DI202" s="1"/>
      <c r="DJ202" s="655"/>
      <c r="DL202" s="116"/>
    </row>
    <row r="203" spans="2:116" ht="15.75" customHeight="1" x14ac:dyDescent="0.3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874"/>
      <c r="AR203" s="874"/>
      <c r="AS203" s="874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43"/>
      <c r="BN203" s="116"/>
      <c r="BW203" s="1"/>
      <c r="BX203" s="1"/>
      <c r="BY203" s="1"/>
      <c r="BZ203" s="655"/>
      <c r="CB203" s="656"/>
      <c r="CC203" s="1"/>
      <c r="CD203" s="1"/>
      <c r="CE203" s="1"/>
      <c r="CF203" s="1"/>
      <c r="CG203" s="1"/>
      <c r="CH203" s="1"/>
      <c r="CI203" s="1"/>
      <c r="CJ203" s="1"/>
      <c r="CR203" s="305"/>
      <c r="CT203" s="116"/>
      <c r="DB203" s="1"/>
      <c r="DC203" s="1"/>
      <c r="DD203" s="1"/>
      <c r="DE203" s="1"/>
      <c r="DF203" s="1"/>
      <c r="DG203" s="1"/>
      <c r="DH203" s="1"/>
      <c r="DI203" s="1"/>
      <c r="DJ203" s="655"/>
      <c r="DL203" s="116"/>
    </row>
    <row r="204" spans="2:116" ht="15.75" customHeight="1" x14ac:dyDescent="0.3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874"/>
      <c r="AR204" s="874"/>
      <c r="AS204" s="874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43"/>
      <c r="BN204" s="116"/>
      <c r="BW204" s="1"/>
      <c r="BX204" s="1"/>
      <c r="BY204" s="1"/>
      <c r="BZ204" s="655"/>
      <c r="CB204" s="656"/>
      <c r="CC204" s="1"/>
      <c r="CD204" s="1"/>
      <c r="CE204" s="1"/>
      <c r="CF204" s="1"/>
      <c r="CG204" s="1"/>
      <c r="CH204" s="1"/>
      <c r="CI204" s="1"/>
      <c r="CJ204" s="1"/>
      <c r="CR204" s="305"/>
      <c r="CT204" s="116"/>
      <c r="DB204" s="1"/>
      <c r="DC204" s="1"/>
      <c r="DD204" s="1"/>
      <c r="DE204" s="1"/>
      <c r="DF204" s="1"/>
      <c r="DG204" s="1"/>
      <c r="DH204" s="1"/>
      <c r="DI204" s="1"/>
      <c r="DJ204" s="655"/>
      <c r="DL204" s="116"/>
    </row>
    <row r="205" spans="2:116" ht="15.75" customHeight="1" x14ac:dyDescent="0.3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874"/>
      <c r="AR205" s="874"/>
      <c r="AS205" s="874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43"/>
      <c r="BN205" s="116"/>
      <c r="BW205" s="1"/>
      <c r="BX205" s="1"/>
      <c r="BY205" s="1"/>
      <c r="BZ205" s="655"/>
      <c r="CB205" s="656"/>
      <c r="CC205" s="1"/>
      <c r="CD205" s="1"/>
      <c r="CE205" s="1"/>
      <c r="CF205" s="1"/>
      <c r="CG205" s="1"/>
      <c r="CH205" s="1"/>
      <c r="CI205" s="1"/>
      <c r="CJ205" s="1"/>
      <c r="CR205" s="305"/>
      <c r="CT205" s="116"/>
      <c r="DB205" s="1"/>
      <c r="DC205" s="1"/>
      <c r="DD205" s="1"/>
      <c r="DE205" s="1"/>
      <c r="DF205" s="1"/>
      <c r="DG205" s="1"/>
      <c r="DH205" s="1"/>
      <c r="DI205" s="1"/>
      <c r="DJ205" s="655"/>
      <c r="DL205" s="116"/>
    </row>
    <row r="206" spans="2:116" ht="15.75" customHeight="1" x14ac:dyDescent="0.3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874"/>
      <c r="AR206" s="874"/>
      <c r="AS206" s="874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43"/>
      <c r="BN206" s="116"/>
      <c r="BW206" s="1"/>
      <c r="BX206" s="1"/>
      <c r="BY206" s="1"/>
      <c r="BZ206" s="655"/>
      <c r="CB206" s="656"/>
      <c r="CC206" s="1"/>
      <c r="CD206" s="1"/>
      <c r="CE206" s="1"/>
      <c r="CF206" s="1"/>
      <c r="CG206" s="1"/>
      <c r="CH206" s="1"/>
      <c r="CI206" s="1"/>
      <c r="CJ206" s="1"/>
      <c r="CR206" s="305"/>
      <c r="CT206" s="116"/>
      <c r="DB206" s="1"/>
      <c r="DC206" s="1"/>
      <c r="DD206" s="1"/>
      <c r="DE206" s="1"/>
      <c r="DF206" s="1"/>
      <c r="DG206" s="1"/>
      <c r="DH206" s="1"/>
      <c r="DI206" s="1"/>
      <c r="DJ206" s="655"/>
      <c r="DL206" s="116"/>
    </row>
    <row r="207" spans="2:116" ht="15.75" customHeight="1" x14ac:dyDescent="0.3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874"/>
      <c r="AR207" s="874"/>
      <c r="AS207" s="874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43"/>
      <c r="BN207" s="116"/>
      <c r="BW207" s="1"/>
      <c r="BX207" s="1"/>
      <c r="BY207" s="1"/>
      <c r="BZ207" s="655"/>
      <c r="CB207" s="656"/>
      <c r="CC207" s="1"/>
      <c r="CD207" s="1"/>
      <c r="CE207" s="1"/>
      <c r="CF207" s="1"/>
      <c r="CG207" s="1"/>
      <c r="CH207" s="1"/>
      <c r="CI207" s="1"/>
      <c r="CJ207" s="1"/>
      <c r="CR207" s="305"/>
      <c r="CT207" s="116"/>
      <c r="DB207" s="1"/>
      <c r="DC207" s="1"/>
      <c r="DD207" s="1"/>
      <c r="DE207" s="1"/>
      <c r="DF207" s="1"/>
      <c r="DG207" s="1"/>
      <c r="DH207" s="1"/>
      <c r="DI207" s="1"/>
      <c r="DJ207" s="655"/>
      <c r="DL207" s="116"/>
    </row>
    <row r="208" spans="2:116" ht="15.75" customHeight="1" x14ac:dyDescent="0.3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874"/>
      <c r="AR208" s="874"/>
      <c r="AS208" s="874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43"/>
      <c r="BN208" s="116"/>
      <c r="BW208" s="1"/>
      <c r="BX208" s="1"/>
      <c r="BY208" s="1"/>
      <c r="BZ208" s="655"/>
      <c r="CB208" s="656"/>
      <c r="CC208" s="1"/>
      <c r="CD208" s="1"/>
      <c r="CE208" s="1"/>
      <c r="CF208" s="1"/>
      <c r="CG208" s="1"/>
      <c r="CH208" s="1"/>
      <c r="CI208" s="1"/>
      <c r="CJ208" s="1"/>
      <c r="CR208" s="305"/>
      <c r="CT208" s="116"/>
      <c r="DB208" s="1"/>
      <c r="DC208" s="1"/>
      <c r="DD208" s="1"/>
      <c r="DE208" s="1"/>
      <c r="DF208" s="1"/>
      <c r="DG208" s="1"/>
      <c r="DH208" s="1"/>
      <c r="DI208" s="1"/>
      <c r="DJ208" s="655"/>
      <c r="DL208" s="116"/>
    </row>
    <row r="209" spans="2:116" ht="15.75" customHeight="1" x14ac:dyDescent="0.3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874"/>
      <c r="AR209" s="874"/>
      <c r="AS209" s="874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43"/>
      <c r="BN209" s="116"/>
      <c r="BW209" s="1"/>
      <c r="BX209" s="1"/>
      <c r="BY209" s="1"/>
      <c r="BZ209" s="655"/>
      <c r="CB209" s="656"/>
      <c r="CC209" s="1"/>
      <c r="CD209" s="1"/>
      <c r="CE209" s="1"/>
      <c r="CF209" s="1"/>
      <c r="CG209" s="1"/>
      <c r="CH209" s="1"/>
      <c r="CI209" s="1"/>
      <c r="CJ209" s="1"/>
      <c r="CR209" s="305"/>
      <c r="CT209" s="116"/>
      <c r="DB209" s="1"/>
      <c r="DC209" s="1"/>
      <c r="DD209" s="1"/>
      <c r="DE209" s="1"/>
      <c r="DF209" s="1"/>
      <c r="DG209" s="1"/>
      <c r="DH209" s="1"/>
      <c r="DI209" s="1"/>
      <c r="DJ209" s="655"/>
      <c r="DL209" s="116"/>
    </row>
    <row r="210" spans="2:116" ht="15.75" customHeight="1" x14ac:dyDescent="0.3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874"/>
      <c r="AR210" s="874"/>
      <c r="AS210" s="874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43"/>
      <c r="BN210" s="116"/>
      <c r="BW210" s="1"/>
      <c r="BX210" s="1"/>
      <c r="BY210" s="1"/>
      <c r="BZ210" s="655"/>
      <c r="CB210" s="656"/>
      <c r="CC210" s="1"/>
      <c r="CD210" s="1"/>
      <c r="CE210" s="1"/>
      <c r="CF210" s="1"/>
      <c r="CG210" s="1"/>
      <c r="CH210" s="1"/>
      <c r="CI210" s="1"/>
      <c r="CJ210" s="1"/>
      <c r="CR210" s="305"/>
      <c r="CT210" s="116"/>
      <c r="DB210" s="1"/>
      <c r="DC210" s="1"/>
      <c r="DD210" s="1"/>
      <c r="DE210" s="1"/>
      <c r="DF210" s="1"/>
      <c r="DG210" s="1"/>
      <c r="DH210" s="1"/>
      <c r="DI210" s="1"/>
      <c r="DJ210" s="655"/>
      <c r="DL210" s="116"/>
    </row>
    <row r="211" spans="2:116" ht="15.75" customHeight="1" x14ac:dyDescent="0.3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874"/>
      <c r="AR211" s="874"/>
      <c r="AS211" s="874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43"/>
      <c r="BN211" s="116"/>
      <c r="BW211" s="1"/>
      <c r="BX211" s="1"/>
      <c r="BY211" s="1"/>
      <c r="BZ211" s="655"/>
      <c r="CB211" s="656"/>
      <c r="CC211" s="1"/>
      <c r="CD211" s="1"/>
      <c r="CE211" s="1"/>
      <c r="CF211" s="1"/>
      <c r="CG211" s="1"/>
      <c r="CH211" s="1"/>
      <c r="CI211" s="1"/>
      <c r="CJ211" s="1"/>
      <c r="CR211" s="305"/>
      <c r="CT211" s="116"/>
      <c r="DB211" s="1"/>
      <c r="DC211" s="1"/>
      <c r="DD211" s="1"/>
      <c r="DE211" s="1"/>
      <c r="DF211" s="1"/>
      <c r="DG211" s="1"/>
      <c r="DH211" s="1"/>
      <c r="DI211" s="1"/>
      <c r="DJ211" s="655"/>
      <c r="DL211" s="116"/>
    </row>
    <row r="212" spans="2:116" ht="15.75" customHeight="1" x14ac:dyDescent="0.3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874"/>
      <c r="AR212" s="874"/>
      <c r="AS212" s="874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43"/>
      <c r="BN212" s="116"/>
      <c r="BW212" s="1"/>
      <c r="BX212" s="1"/>
      <c r="BY212" s="1"/>
      <c r="BZ212" s="655"/>
      <c r="CB212" s="656"/>
      <c r="CC212" s="1"/>
      <c r="CD212" s="1"/>
      <c r="CE212" s="1"/>
      <c r="CF212" s="1"/>
      <c r="CG212" s="1"/>
      <c r="CH212" s="1"/>
      <c r="CI212" s="1"/>
      <c r="CJ212" s="1"/>
      <c r="CR212" s="305"/>
      <c r="CT212" s="116"/>
      <c r="DB212" s="1"/>
      <c r="DC212" s="1"/>
      <c r="DD212" s="1"/>
      <c r="DE212" s="1"/>
      <c r="DF212" s="1"/>
      <c r="DG212" s="1"/>
      <c r="DH212" s="1"/>
      <c r="DI212" s="1"/>
      <c r="DJ212" s="655"/>
      <c r="DL212" s="116"/>
    </row>
    <row r="213" spans="2:116" ht="15.75" customHeight="1" x14ac:dyDescent="0.3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874"/>
      <c r="AR213" s="874"/>
      <c r="AS213" s="874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43"/>
      <c r="BN213" s="116"/>
      <c r="BW213" s="1"/>
      <c r="BX213" s="1"/>
      <c r="BY213" s="1"/>
      <c r="BZ213" s="655"/>
      <c r="CB213" s="656"/>
      <c r="CC213" s="1"/>
      <c r="CD213" s="1"/>
      <c r="CE213" s="1"/>
      <c r="CF213" s="1"/>
      <c r="CG213" s="1"/>
      <c r="CH213" s="1"/>
      <c r="CI213" s="1"/>
      <c r="CJ213" s="1"/>
      <c r="CR213" s="305"/>
      <c r="CT213" s="116"/>
      <c r="DB213" s="1"/>
      <c r="DC213" s="1"/>
      <c r="DD213" s="1"/>
      <c r="DE213" s="1"/>
      <c r="DF213" s="1"/>
      <c r="DG213" s="1"/>
      <c r="DH213" s="1"/>
      <c r="DI213" s="1"/>
      <c r="DJ213" s="655"/>
      <c r="DL213" s="116"/>
    </row>
    <row r="214" spans="2:116" ht="15.75" customHeight="1" x14ac:dyDescent="0.3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874"/>
      <c r="AR214" s="874"/>
      <c r="AS214" s="874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43"/>
      <c r="BN214" s="116"/>
      <c r="BW214" s="1"/>
      <c r="BX214" s="1"/>
      <c r="BY214" s="1"/>
      <c r="BZ214" s="655"/>
      <c r="CB214" s="656"/>
      <c r="CC214" s="1"/>
      <c r="CD214" s="1"/>
      <c r="CE214" s="1"/>
      <c r="CF214" s="1"/>
      <c r="CG214" s="1"/>
      <c r="CH214" s="1"/>
      <c r="CI214" s="1"/>
      <c r="CJ214" s="1"/>
      <c r="CR214" s="305"/>
      <c r="CT214" s="116"/>
      <c r="DB214" s="1"/>
      <c r="DC214" s="1"/>
      <c r="DD214" s="1"/>
      <c r="DE214" s="1"/>
      <c r="DF214" s="1"/>
      <c r="DG214" s="1"/>
      <c r="DH214" s="1"/>
      <c r="DI214" s="1"/>
      <c r="DJ214" s="655"/>
      <c r="DL214" s="116"/>
    </row>
    <row r="215" spans="2:116" ht="15.75" customHeight="1" x14ac:dyDescent="0.3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874"/>
      <c r="AR215" s="874"/>
      <c r="AS215" s="874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43"/>
      <c r="BN215" s="116"/>
      <c r="BW215" s="1"/>
      <c r="BX215" s="1"/>
      <c r="BY215" s="1"/>
      <c r="BZ215" s="655"/>
      <c r="CB215" s="656"/>
      <c r="CC215" s="1"/>
      <c r="CD215" s="1"/>
      <c r="CE215" s="1"/>
      <c r="CF215" s="1"/>
      <c r="CG215" s="1"/>
      <c r="CH215" s="1"/>
      <c r="CI215" s="1"/>
      <c r="CJ215" s="1"/>
      <c r="CR215" s="305"/>
      <c r="CT215" s="116"/>
      <c r="DB215" s="1"/>
      <c r="DC215" s="1"/>
      <c r="DD215" s="1"/>
      <c r="DE215" s="1"/>
      <c r="DF215" s="1"/>
      <c r="DG215" s="1"/>
      <c r="DH215" s="1"/>
      <c r="DI215" s="1"/>
      <c r="DJ215" s="655"/>
      <c r="DL215" s="116"/>
    </row>
    <row r="216" spans="2:116" ht="15.75" customHeight="1" x14ac:dyDescent="0.3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874"/>
      <c r="AR216" s="874"/>
      <c r="AS216" s="874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43"/>
      <c r="BN216" s="116"/>
      <c r="BW216" s="1"/>
      <c r="BX216" s="1"/>
      <c r="BY216" s="1"/>
      <c r="BZ216" s="655"/>
      <c r="CB216" s="656"/>
      <c r="CC216" s="1"/>
      <c r="CD216" s="1"/>
      <c r="CE216" s="1"/>
      <c r="CF216" s="1"/>
      <c r="CG216" s="1"/>
      <c r="CH216" s="1"/>
      <c r="CI216" s="1"/>
      <c r="CJ216" s="1"/>
      <c r="CR216" s="305"/>
      <c r="CT216" s="116"/>
      <c r="DB216" s="1"/>
      <c r="DC216" s="1"/>
      <c r="DD216" s="1"/>
      <c r="DE216" s="1"/>
      <c r="DF216" s="1"/>
      <c r="DG216" s="1"/>
      <c r="DH216" s="1"/>
      <c r="DI216" s="1"/>
      <c r="DJ216" s="655"/>
      <c r="DL216" s="116"/>
    </row>
    <row r="217" spans="2:116" ht="15.75" customHeight="1" x14ac:dyDescent="0.3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874"/>
      <c r="AR217" s="874"/>
      <c r="AS217" s="874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43"/>
      <c r="BN217" s="116"/>
      <c r="BW217" s="1"/>
      <c r="BX217" s="1"/>
      <c r="BY217" s="1"/>
      <c r="BZ217" s="655"/>
      <c r="CB217" s="656"/>
      <c r="CC217" s="1"/>
      <c r="CD217" s="1"/>
      <c r="CE217" s="1"/>
      <c r="CF217" s="1"/>
      <c r="CG217" s="1"/>
      <c r="CH217" s="1"/>
      <c r="CI217" s="1"/>
      <c r="CJ217" s="1"/>
      <c r="CR217" s="305"/>
      <c r="CT217" s="116"/>
      <c r="DB217" s="1"/>
      <c r="DC217" s="1"/>
      <c r="DD217" s="1"/>
      <c r="DE217" s="1"/>
      <c r="DF217" s="1"/>
      <c r="DG217" s="1"/>
      <c r="DH217" s="1"/>
      <c r="DI217" s="1"/>
      <c r="DJ217" s="655"/>
      <c r="DL217" s="116"/>
    </row>
    <row r="218" spans="2:116" ht="15.75" customHeight="1" x14ac:dyDescent="0.3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874"/>
      <c r="AR218" s="874"/>
      <c r="AS218" s="874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43"/>
      <c r="BN218" s="116"/>
      <c r="BW218" s="1"/>
      <c r="BX218" s="1"/>
      <c r="BY218" s="1"/>
      <c r="BZ218" s="655"/>
      <c r="CB218" s="656"/>
      <c r="CC218" s="1"/>
      <c r="CD218" s="1"/>
      <c r="CE218" s="1"/>
      <c r="CF218" s="1"/>
      <c r="CG218" s="1"/>
      <c r="CH218" s="1"/>
      <c r="CI218" s="1"/>
      <c r="CJ218" s="1"/>
      <c r="CR218" s="305"/>
      <c r="CT218" s="116"/>
      <c r="DB218" s="1"/>
      <c r="DC218" s="1"/>
      <c r="DD218" s="1"/>
      <c r="DE218" s="1"/>
      <c r="DF218" s="1"/>
      <c r="DG218" s="1"/>
      <c r="DH218" s="1"/>
      <c r="DI218" s="1"/>
      <c r="DJ218" s="655"/>
      <c r="DL218" s="116"/>
    </row>
    <row r="219" spans="2:116" ht="15.75" customHeight="1" x14ac:dyDescent="0.3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874"/>
      <c r="AR219" s="874"/>
      <c r="AS219" s="874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43"/>
      <c r="BN219" s="116"/>
      <c r="BW219" s="1"/>
      <c r="BX219" s="1"/>
      <c r="BY219" s="1"/>
      <c r="BZ219" s="655"/>
      <c r="CB219" s="656"/>
      <c r="CC219" s="1"/>
      <c r="CD219" s="1"/>
      <c r="CE219" s="1"/>
      <c r="CF219" s="1"/>
      <c r="CG219" s="1"/>
      <c r="CH219" s="1"/>
      <c r="CI219" s="1"/>
      <c r="CJ219" s="1"/>
      <c r="CR219" s="305"/>
      <c r="CT219" s="116"/>
      <c r="DB219" s="1"/>
      <c r="DC219" s="1"/>
      <c r="DD219" s="1"/>
      <c r="DE219" s="1"/>
      <c r="DF219" s="1"/>
      <c r="DG219" s="1"/>
      <c r="DH219" s="1"/>
      <c r="DI219" s="1"/>
      <c r="DJ219" s="655"/>
      <c r="DL219" s="116"/>
    </row>
    <row r="220" spans="2:116" ht="15.75" customHeight="1" x14ac:dyDescent="0.3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874"/>
      <c r="AR220" s="874"/>
      <c r="AS220" s="874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43"/>
      <c r="BN220" s="116"/>
      <c r="BW220" s="1"/>
      <c r="BX220" s="1"/>
      <c r="BY220" s="1"/>
      <c r="BZ220" s="655"/>
      <c r="CB220" s="656"/>
      <c r="CC220" s="1"/>
      <c r="CD220" s="1"/>
      <c r="CE220" s="1"/>
      <c r="CF220" s="1"/>
      <c r="CG220" s="1"/>
      <c r="CH220" s="1"/>
      <c r="CI220" s="1"/>
      <c r="CJ220" s="1"/>
      <c r="CR220" s="305"/>
      <c r="CT220" s="116"/>
      <c r="DB220" s="1"/>
      <c r="DC220" s="1"/>
      <c r="DD220" s="1"/>
      <c r="DE220" s="1"/>
      <c r="DF220" s="1"/>
      <c r="DG220" s="1"/>
      <c r="DH220" s="1"/>
      <c r="DI220" s="1"/>
      <c r="DJ220" s="655"/>
      <c r="DL220" s="116"/>
    </row>
    <row r="221" spans="2:116" ht="15.75" customHeight="1" x14ac:dyDescent="0.3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874"/>
      <c r="AR221" s="874"/>
      <c r="AS221" s="874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43"/>
      <c r="BN221" s="116"/>
      <c r="BW221" s="1"/>
      <c r="BX221" s="1"/>
      <c r="BY221" s="1"/>
      <c r="BZ221" s="655"/>
      <c r="CB221" s="656"/>
      <c r="CC221" s="1"/>
      <c r="CD221" s="1"/>
      <c r="CE221" s="1"/>
      <c r="CF221" s="1"/>
      <c r="CG221" s="1"/>
      <c r="CH221" s="1"/>
      <c r="CI221" s="1"/>
      <c r="CJ221" s="1"/>
      <c r="CR221" s="305"/>
      <c r="CT221" s="116"/>
      <c r="DB221" s="1"/>
      <c r="DC221" s="1"/>
      <c r="DD221" s="1"/>
      <c r="DE221" s="1"/>
      <c r="DF221" s="1"/>
      <c r="DG221" s="1"/>
      <c r="DH221" s="1"/>
      <c r="DI221" s="1"/>
      <c r="DJ221" s="655"/>
      <c r="DL221" s="116"/>
    </row>
    <row r="222" spans="2:116" ht="15.75" customHeight="1" x14ac:dyDescent="0.3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874"/>
      <c r="AR222" s="874"/>
      <c r="AS222" s="874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43"/>
      <c r="BN222" s="116"/>
      <c r="BW222" s="1"/>
      <c r="BX222" s="1"/>
      <c r="BY222" s="1"/>
      <c r="BZ222" s="655"/>
      <c r="CB222" s="656"/>
      <c r="CC222" s="1"/>
      <c r="CD222" s="1"/>
      <c r="CE222" s="1"/>
      <c r="CF222" s="1"/>
      <c r="CG222" s="1"/>
      <c r="CH222" s="1"/>
      <c r="CI222" s="1"/>
      <c r="CJ222" s="1"/>
      <c r="CR222" s="305"/>
      <c r="CT222" s="116"/>
      <c r="DB222" s="1"/>
      <c r="DC222" s="1"/>
      <c r="DD222" s="1"/>
      <c r="DE222" s="1"/>
      <c r="DF222" s="1"/>
      <c r="DG222" s="1"/>
      <c r="DH222" s="1"/>
      <c r="DI222" s="1"/>
      <c r="DJ222" s="655"/>
      <c r="DL222" s="116"/>
    </row>
    <row r="223" spans="2:116" ht="15.75" customHeight="1" x14ac:dyDescent="0.3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874"/>
      <c r="AR223" s="874"/>
      <c r="AS223" s="874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43"/>
      <c r="BN223" s="116"/>
      <c r="BW223" s="1"/>
      <c r="BX223" s="1"/>
      <c r="BY223" s="1"/>
      <c r="BZ223" s="655"/>
      <c r="CB223" s="656"/>
      <c r="CC223" s="1"/>
      <c r="CD223" s="1"/>
      <c r="CE223" s="1"/>
      <c r="CF223" s="1"/>
      <c r="CG223" s="1"/>
      <c r="CH223" s="1"/>
      <c r="CI223" s="1"/>
      <c r="CJ223" s="1"/>
      <c r="CR223" s="305"/>
      <c r="CT223" s="116"/>
      <c r="DB223" s="1"/>
      <c r="DC223" s="1"/>
      <c r="DD223" s="1"/>
      <c r="DE223" s="1"/>
      <c r="DF223" s="1"/>
      <c r="DG223" s="1"/>
      <c r="DH223" s="1"/>
      <c r="DI223" s="1"/>
      <c r="DJ223" s="655"/>
      <c r="DL223" s="116"/>
    </row>
    <row r="224" spans="2:116" ht="15.75" customHeight="1" x14ac:dyDescent="0.3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874"/>
      <c r="AR224" s="874"/>
      <c r="AS224" s="874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43"/>
      <c r="BN224" s="116"/>
      <c r="BW224" s="1"/>
      <c r="BX224" s="1"/>
      <c r="BY224" s="1"/>
      <c r="BZ224" s="655"/>
      <c r="CB224" s="656"/>
      <c r="CC224" s="1"/>
      <c r="CD224" s="1"/>
      <c r="CE224" s="1"/>
      <c r="CF224" s="1"/>
      <c r="CG224" s="1"/>
      <c r="CH224" s="1"/>
      <c r="CI224" s="1"/>
      <c r="CJ224" s="1"/>
      <c r="CR224" s="305"/>
      <c r="CT224" s="116"/>
      <c r="DB224" s="1"/>
      <c r="DC224" s="1"/>
      <c r="DD224" s="1"/>
      <c r="DE224" s="1"/>
      <c r="DF224" s="1"/>
      <c r="DG224" s="1"/>
      <c r="DH224" s="1"/>
      <c r="DI224" s="1"/>
      <c r="DJ224" s="655"/>
      <c r="DL224" s="116"/>
    </row>
    <row r="225" spans="2:116" ht="15.75" customHeight="1" x14ac:dyDescent="0.3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874"/>
      <c r="AR225" s="874"/>
      <c r="AS225" s="874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43"/>
      <c r="BN225" s="116"/>
      <c r="BW225" s="1"/>
      <c r="BX225" s="1"/>
      <c r="BY225" s="1"/>
      <c r="BZ225" s="655"/>
      <c r="CB225" s="656"/>
      <c r="CC225" s="1"/>
      <c r="CD225" s="1"/>
      <c r="CE225" s="1"/>
      <c r="CF225" s="1"/>
      <c r="CG225" s="1"/>
      <c r="CH225" s="1"/>
      <c r="CI225" s="1"/>
      <c r="CJ225" s="1"/>
      <c r="CR225" s="305"/>
      <c r="CT225" s="116"/>
      <c r="DB225" s="1"/>
      <c r="DC225" s="1"/>
      <c r="DD225" s="1"/>
      <c r="DE225" s="1"/>
      <c r="DF225" s="1"/>
      <c r="DG225" s="1"/>
      <c r="DH225" s="1"/>
      <c r="DI225" s="1"/>
      <c r="DJ225" s="655"/>
      <c r="DL225" s="116"/>
    </row>
    <row r="226" spans="2:116" ht="15.75" customHeight="1" x14ac:dyDescent="0.3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874"/>
      <c r="AR226" s="874"/>
      <c r="AS226" s="874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43"/>
      <c r="BN226" s="116"/>
      <c r="BW226" s="1"/>
      <c r="BX226" s="1"/>
      <c r="BY226" s="1"/>
      <c r="BZ226" s="655"/>
      <c r="CB226" s="656"/>
      <c r="CC226" s="1"/>
      <c r="CD226" s="1"/>
      <c r="CE226" s="1"/>
      <c r="CF226" s="1"/>
      <c r="CG226" s="1"/>
      <c r="CH226" s="1"/>
      <c r="CI226" s="1"/>
      <c r="CJ226" s="1"/>
      <c r="CR226" s="305"/>
      <c r="CT226" s="116"/>
      <c r="DB226" s="1"/>
      <c r="DC226" s="1"/>
      <c r="DD226" s="1"/>
      <c r="DE226" s="1"/>
      <c r="DF226" s="1"/>
      <c r="DG226" s="1"/>
      <c r="DH226" s="1"/>
      <c r="DI226" s="1"/>
      <c r="DJ226" s="655"/>
      <c r="DL226" s="116"/>
    </row>
    <row r="227" spans="2:116" ht="15.75" customHeight="1" x14ac:dyDescent="0.3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874"/>
      <c r="AR227" s="874"/>
      <c r="AS227" s="874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43"/>
      <c r="BN227" s="116"/>
      <c r="BW227" s="1"/>
      <c r="BX227" s="1"/>
      <c r="BY227" s="1"/>
      <c r="BZ227" s="655"/>
      <c r="CB227" s="656"/>
      <c r="CC227" s="1"/>
      <c r="CD227" s="1"/>
      <c r="CE227" s="1"/>
      <c r="CF227" s="1"/>
      <c r="CG227" s="1"/>
      <c r="CH227" s="1"/>
      <c r="CI227" s="1"/>
      <c r="CJ227" s="1"/>
      <c r="CR227" s="305"/>
      <c r="CT227" s="116"/>
      <c r="DB227" s="1"/>
      <c r="DC227" s="1"/>
      <c r="DD227" s="1"/>
      <c r="DE227" s="1"/>
      <c r="DF227" s="1"/>
      <c r="DG227" s="1"/>
      <c r="DH227" s="1"/>
      <c r="DI227" s="1"/>
      <c r="DJ227" s="655"/>
      <c r="DL227" s="116"/>
    </row>
    <row r="228" spans="2:116" ht="15.75" customHeight="1" x14ac:dyDescent="0.3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874"/>
      <c r="AR228" s="874"/>
      <c r="AS228" s="874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43"/>
      <c r="BN228" s="116"/>
      <c r="BW228" s="1"/>
      <c r="BX228" s="1"/>
      <c r="BY228" s="1"/>
      <c r="BZ228" s="655"/>
      <c r="CB228" s="656"/>
      <c r="CC228" s="1"/>
      <c r="CD228" s="1"/>
      <c r="CE228" s="1"/>
      <c r="CF228" s="1"/>
      <c r="CG228" s="1"/>
      <c r="CH228" s="1"/>
      <c r="CI228" s="1"/>
      <c r="CJ228" s="1"/>
      <c r="CR228" s="305"/>
      <c r="CT228" s="116"/>
      <c r="DB228" s="1"/>
      <c r="DC228" s="1"/>
      <c r="DD228" s="1"/>
      <c r="DE228" s="1"/>
      <c r="DF228" s="1"/>
      <c r="DG228" s="1"/>
      <c r="DH228" s="1"/>
      <c r="DI228" s="1"/>
      <c r="DJ228" s="655"/>
      <c r="DL228" s="116"/>
    </row>
    <row r="229" spans="2:116" ht="15.75" customHeight="1" x14ac:dyDescent="0.3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874"/>
      <c r="AR229" s="874"/>
      <c r="AS229" s="874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43"/>
      <c r="BN229" s="116"/>
      <c r="BW229" s="1"/>
      <c r="BX229" s="1"/>
      <c r="BY229" s="1"/>
      <c r="BZ229" s="655"/>
      <c r="CB229" s="656"/>
      <c r="CC229" s="1"/>
      <c r="CD229" s="1"/>
      <c r="CE229" s="1"/>
      <c r="CF229" s="1"/>
      <c r="CG229" s="1"/>
      <c r="CH229" s="1"/>
      <c r="CI229" s="1"/>
      <c r="CJ229" s="1"/>
      <c r="CR229" s="305"/>
      <c r="CT229" s="116"/>
      <c r="DB229" s="1"/>
      <c r="DC229" s="1"/>
      <c r="DD229" s="1"/>
      <c r="DE229" s="1"/>
      <c r="DF229" s="1"/>
      <c r="DG229" s="1"/>
      <c r="DH229" s="1"/>
      <c r="DI229" s="1"/>
      <c r="DJ229" s="655"/>
      <c r="DL229" s="116"/>
    </row>
    <row r="230" spans="2:116" ht="15.75" customHeight="1" x14ac:dyDescent="0.3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874"/>
      <c r="AR230" s="874"/>
      <c r="AS230" s="874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43"/>
      <c r="BN230" s="116"/>
      <c r="BW230" s="1"/>
      <c r="BX230" s="1"/>
      <c r="BY230" s="1"/>
      <c r="BZ230" s="655"/>
      <c r="CB230" s="656"/>
      <c r="CC230" s="1"/>
      <c r="CD230" s="1"/>
      <c r="CE230" s="1"/>
      <c r="CF230" s="1"/>
      <c r="CG230" s="1"/>
      <c r="CH230" s="1"/>
      <c r="CI230" s="1"/>
      <c r="CJ230" s="1"/>
      <c r="CR230" s="305"/>
      <c r="CT230" s="116"/>
      <c r="DB230" s="1"/>
      <c r="DC230" s="1"/>
      <c r="DD230" s="1"/>
      <c r="DE230" s="1"/>
      <c r="DF230" s="1"/>
      <c r="DG230" s="1"/>
      <c r="DH230" s="1"/>
      <c r="DI230" s="1"/>
      <c r="DJ230" s="655"/>
      <c r="DL230" s="116"/>
    </row>
    <row r="231" spans="2:116" ht="15.75" customHeight="1" x14ac:dyDescent="0.3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874"/>
      <c r="AR231" s="874"/>
      <c r="AS231" s="874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43"/>
      <c r="BN231" s="116"/>
      <c r="BW231" s="1"/>
      <c r="BX231" s="1"/>
      <c r="BY231" s="1"/>
      <c r="BZ231" s="655"/>
      <c r="CB231" s="656"/>
      <c r="CC231" s="1"/>
      <c r="CD231" s="1"/>
      <c r="CE231" s="1"/>
      <c r="CF231" s="1"/>
      <c r="CG231" s="1"/>
      <c r="CH231" s="1"/>
      <c r="CI231" s="1"/>
      <c r="CJ231" s="1"/>
      <c r="CR231" s="305"/>
      <c r="CT231" s="116"/>
      <c r="DB231" s="1"/>
      <c r="DC231" s="1"/>
      <c r="DD231" s="1"/>
      <c r="DE231" s="1"/>
      <c r="DF231" s="1"/>
      <c r="DG231" s="1"/>
      <c r="DH231" s="1"/>
      <c r="DI231" s="1"/>
      <c r="DJ231" s="655"/>
      <c r="DL231" s="116"/>
    </row>
    <row r="232" spans="2:116" ht="15.75" customHeight="1" x14ac:dyDescent="0.3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874"/>
      <c r="AR232" s="874"/>
      <c r="AS232" s="874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43"/>
      <c r="BN232" s="116"/>
      <c r="BW232" s="1"/>
      <c r="BX232" s="1"/>
      <c r="BY232" s="1"/>
      <c r="BZ232" s="655"/>
      <c r="CB232" s="656"/>
      <c r="CC232" s="1"/>
      <c r="CD232" s="1"/>
      <c r="CE232" s="1"/>
      <c r="CF232" s="1"/>
      <c r="CG232" s="1"/>
      <c r="CH232" s="1"/>
      <c r="CI232" s="1"/>
      <c r="CJ232" s="1"/>
      <c r="CR232" s="305"/>
      <c r="CT232" s="116"/>
      <c r="DB232" s="1"/>
      <c r="DC232" s="1"/>
      <c r="DD232" s="1"/>
      <c r="DE232" s="1"/>
      <c r="DF232" s="1"/>
      <c r="DG232" s="1"/>
      <c r="DH232" s="1"/>
      <c r="DI232" s="1"/>
      <c r="DJ232" s="655"/>
      <c r="DL232" s="116"/>
    </row>
    <row r="233" spans="2:116" ht="15.75" customHeight="1" x14ac:dyDescent="0.3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874"/>
      <c r="AR233" s="874"/>
      <c r="AS233" s="874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43"/>
      <c r="BN233" s="116"/>
      <c r="BW233" s="1"/>
      <c r="BX233" s="1"/>
      <c r="BY233" s="1"/>
      <c r="BZ233" s="655"/>
      <c r="CB233" s="656"/>
      <c r="CC233" s="1"/>
      <c r="CD233" s="1"/>
      <c r="CE233" s="1"/>
      <c r="CF233" s="1"/>
      <c r="CG233" s="1"/>
      <c r="CH233" s="1"/>
      <c r="CI233" s="1"/>
      <c r="CJ233" s="1"/>
      <c r="CR233" s="305"/>
      <c r="CT233" s="116"/>
      <c r="DB233" s="1"/>
      <c r="DC233" s="1"/>
      <c r="DD233" s="1"/>
      <c r="DE233" s="1"/>
      <c r="DF233" s="1"/>
      <c r="DG233" s="1"/>
      <c r="DH233" s="1"/>
      <c r="DI233" s="1"/>
      <c r="DJ233" s="655"/>
      <c r="DL233" s="116"/>
    </row>
    <row r="234" spans="2:116" ht="15.75" customHeight="1" x14ac:dyDescent="0.3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874"/>
      <c r="AR234" s="874"/>
      <c r="AS234" s="874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43"/>
      <c r="BN234" s="116"/>
      <c r="BW234" s="1"/>
      <c r="BX234" s="1"/>
      <c r="BY234" s="1"/>
      <c r="BZ234" s="655"/>
      <c r="CB234" s="656"/>
      <c r="CC234" s="1"/>
      <c r="CD234" s="1"/>
      <c r="CE234" s="1"/>
      <c r="CF234" s="1"/>
      <c r="CG234" s="1"/>
      <c r="CH234" s="1"/>
      <c r="CI234" s="1"/>
      <c r="CJ234" s="1"/>
      <c r="CR234" s="305"/>
      <c r="CT234" s="116"/>
      <c r="DB234" s="1"/>
      <c r="DC234" s="1"/>
      <c r="DD234" s="1"/>
      <c r="DE234" s="1"/>
      <c r="DF234" s="1"/>
      <c r="DG234" s="1"/>
      <c r="DH234" s="1"/>
      <c r="DI234" s="1"/>
      <c r="DJ234" s="655"/>
      <c r="DL234" s="116"/>
    </row>
    <row r="235" spans="2:116" ht="15.75" customHeight="1" x14ac:dyDescent="0.3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874"/>
      <c r="AR235" s="874"/>
      <c r="AS235" s="874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43"/>
      <c r="BN235" s="116"/>
      <c r="BW235" s="1"/>
      <c r="BX235" s="1"/>
      <c r="BY235" s="1"/>
      <c r="BZ235" s="655"/>
      <c r="CB235" s="656"/>
      <c r="CC235" s="1"/>
      <c r="CD235" s="1"/>
      <c r="CE235" s="1"/>
      <c r="CF235" s="1"/>
      <c r="CG235" s="1"/>
      <c r="CH235" s="1"/>
      <c r="CI235" s="1"/>
      <c r="CJ235" s="1"/>
      <c r="CR235" s="305"/>
      <c r="CT235" s="116"/>
      <c r="DB235" s="1"/>
      <c r="DC235" s="1"/>
      <c r="DD235" s="1"/>
      <c r="DE235" s="1"/>
      <c r="DF235" s="1"/>
      <c r="DG235" s="1"/>
      <c r="DH235" s="1"/>
      <c r="DI235" s="1"/>
      <c r="DJ235" s="655"/>
      <c r="DL235" s="116"/>
    </row>
    <row r="236" spans="2:116" ht="15.75" customHeight="1" x14ac:dyDescent="0.3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874"/>
      <c r="AR236" s="874"/>
      <c r="AS236" s="874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43"/>
      <c r="BN236" s="116"/>
      <c r="BW236" s="1"/>
      <c r="BX236" s="1"/>
      <c r="BY236" s="1"/>
      <c r="BZ236" s="655"/>
      <c r="CB236" s="656"/>
      <c r="CC236" s="1"/>
      <c r="CD236" s="1"/>
      <c r="CE236" s="1"/>
      <c r="CF236" s="1"/>
      <c r="CG236" s="1"/>
      <c r="CH236" s="1"/>
      <c r="CI236" s="1"/>
      <c r="CJ236" s="1"/>
      <c r="CR236" s="305"/>
      <c r="CT236" s="116"/>
      <c r="DB236" s="1"/>
      <c r="DC236" s="1"/>
      <c r="DD236" s="1"/>
      <c r="DE236" s="1"/>
      <c r="DF236" s="1"/>
      <c r="DG236" s="1"/>
      <c r="DH236" s="1"/>
      <c r="DI236" s="1"/>
      <c r="DJ236" s="655"/>
      <c r="DL236" s="116"/>
    </row>
    <row r="237" spans="2:116" ht="15.75" customHeight="1" x14ac:dyDescent="0.3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874"/>
      <c r="AR237" s="874"/>
      <c r="AS237" s="874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43"/>
      <c r="BN237" s="116"/>
      <c r="BW237" s="1"/>
      <c r="BX237" s="1"/>
      <c r="BY237" s="1"/>
      <c r="BZ237" s="655"/>
      <c r="CB237" s="656"/>
      <c r="CC237" s="1"/>
      <c r="CD237" s="1"/>
      <c r="CE237" s="1"/>
      <c r="CF237" s="1"/>
      <c r="CG237" s="1"/>
      <c r="CH237" s="1"/>
      <c r="CI237" s="1"/>
      <c r="CJ237" s="1"/>
      <c r="CR237" s="305"/>
      <c r="CT237" s="116"/>
      <c r="DB237" s="1"/>
      <c r="DC237" s="1"/>
      <c r="DD237" s="1"/>
      <c r="DE237" s="1"/>
      <c r="DF237" s="1"/>
      <c r="DG237" s="1"/>
      <c r="DH237" s="1"/>
      <c r="DI237" s="1"/>
      <c r="DJ237" s="655"/>
      <c r="DL237" s="116"/>
    </row>
    <row r="238" spans="2:116" ht="15.75" customHeight="1" x14ac:dyDescent="0.3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874"/>
      <c r="AR238" s="874"/>
      <c r="AS238" s="874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43"/>
      <c r="BN238" s="116"/>
      <c r="BW238" s="1"/>
      <c r="BX238" s="1"/>
      <c r="BY238" s="1"/>
      <c r="BZ238" s="655"/>
      <c r="CB238" s="656"/>
      <c r="CC238" s="1"/>
      <c r="CD238" s="1"/>
      <c r="CE238" s="1"/>
      <c r="CF238" s="1"/>
      <c r="CG238" s="1"/>
      <c r="CH238" s="1"/>
      <c r="CI238" s="1"/>
      <c r="CJ238" s="1"/>
      <c r="CR238" s="305"/>
      <c r="CT238" s="116"/>
      <c r="DB238" s="1"/>
      <c r="DC238" s="1"/>
      <c r="DD238" s="1"/>
      <c r="DE238" s="1"/>
      <c r="DF238" s="1"/>
      <c r="DG238" s="1"/>
      <c r="DH238" s="1"/>
      <c r="DI238" s="1"/>
      <c r="DJ238" s="655"/>
      <c r="DL238" s="116"/>
    </row>
    <row r="239" spans="2:116" ht="15.75" customHeight="1" x14ac:dyDescent="0.3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874"/>
      <c r="AR239" s="874"/>
      <c r="AS239" s="874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43"/>
      <c r="BN239" s="116"/>
      <c r="BW239" s="1"/>
      <c r="BX239" s="1"/>
      <c r="BY239" s="1"/>
      <c r="BZ239" s="655"/>
      <c r="CB239" s="656"/>
      <c r="CC239" s="1"/>
      <c r="CD239" s="1"/>
      <c r="CE239" s="1"/>
      <c r="CF239" s="1"/>
      <c r="CG239" s="1"/>
      <c r="CH239" s="1"/>
      <c r="CI239" s="1"/>
      <c r="CJ239" s="1"/>
      <c r="CR239" s="305"/>
      <c r="CT239" s="116"/>
      <c r="DB239" s="1"/>
      <c r="DC239" s="1"/>
      <c r="DD239" s="1"/>
      <c r="DE239" s="1"/>
      <c r="DF239" s="1"/>
      <c r="DG239" s="1"/>
      <c r="DH239" s="1"/>
      <c r="DI239" s="1"/>
      <c r="DJ239" s="655"/>
      <c r="DL239" s="116"/>
    </row>
    <row r="240" spans="2:116" ht="15.75" customHeight="1" x14ac:dyDescent="0.3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874"/>
      <c r="AR240" s="874"/>
      <c r="AS240" s="874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43"/>
      <c r="BN240" s="116"/>
      <c r="BW240" s="1"/>
      <c r="BX240" s="1"/>
      <c r="BY240" s="1"/>
      <c r="BZ240" s="655"/>
      <c r="CB240" s="656"/>
      <c r="CC240" s="1"/>
      <c r="CD240" s="1"/>
      <c r="CE240" s="1"/>
      <c r="CF240" s="1"/>
      <c r="CG240" s="1"/>
      <c r="CH240" s="1"/>
      <c r="CI240" s="1"/>
      <c r="CJ240" s="1"/>
      <c r="CR240" s="305"/>
      <c r="CT240" s="116"/>
      <c r="DB240" s="1"/>
      <c r="DC240" s="1"/>
      <c r="DD240" s="1"/>
      <c r="DE240" s="1"/>
      <c r="DF240" s="1"/>
      <c r="DG240" s="1"/>
      <c r="DH240" s="1"/>
      <c r="DI240" s="1"/>
      <c r="DJ240" s="655"/>
      <c r="DL240" s="116"/>
    </row>
    <row r="241" spans="2:116" ht="15.75" customHeight="1" x14ac:dyDescent="0.3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874"/>
      <c r="AR241" s="874"/>
      <c r="AS241" s="874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43"/>
      <c r="BN241" s="116"/>
      <c r="BW241" s="1"/>
      <c r="BX241" s="1"/>
      <c r="BY241" s="1"/>
      <c r="BZ241" s="655"/>
      <c r="CB241" s="656"/>
      <c r="CC241" s="1"/>
      <c r="CD241" s="1"/>
      <c r="CE241" s="1"/>
      <c r="CF241" s="1"/>
      <c r="CG241" s="1"/>
      <c r="CH241" s="1"/>
      <c r="CI241" s="1"/>
      <c r="CJ241" s="1"/>
      <c r="CR241" s="305"/>
      <c r="CT241" s="116"/>
      <c r="DB241" s="1"/>
      <c r="DC241" s="1"/>
      <c r="DD241" s="1"/>
      <c r="DE241" s="1"/>
      <c r="DF241" s="1"/>
      <c r="DG241" s="1"/>
      <c r="DH241" s="1"/>
      <c r="DI241" s="1"/>
      <c r="DJ241" s="655"/>
      <c r="DL241" s="116"/>
    </row>
    <row r="242" spans="2:116" ht="15.75" customHeight="1" x14ac:dyDescent="0.3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874"/>
      <c r="AR242" s="874"/>
      <c r="AS242" s="874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43"/>
      <c r="BN242" s="116"/>
      <c r="BW242" s="1"/>
      <c r="BX242" s="1"/>
      <c r="BY242" s="1"/>
      <c r="BZ242" s="655"/>
      <c r="CB242" s="656"/>
      <c r="CC242" s="1"/>
      <c r="CD242" s="1"/>
      <c r="CE242" s="1"/>
      <c r="CF242" s="1"/>
      <c r="CG242" s="1"/>
      <c r="CH242" s="1"/>
      <c r="CI242" s="1"/>
      <c r="CJ242" s="1"/>
      <c r="CR242" s="305"/>
      <c r="CT242" s="116"/>
      <c r="DB242" s="1"/>
      <c r="DC242" s="1"/>
      <c r="DD242" s="1"/>
      <c r="DE242" s="1"/>
      <c r="DF242" s="1"/>
      <c r="DG242" s="1"/>
      <c r="DH242" s="1"/>
      <c r="DI242" s="1"/>
      <c r="DJ242" s="655"/>
      <c r="DL242" s="116"/>
    </row>
    <row r="243" spans="2:116" ht="15.75" customHeight="1" x14ac:dyDescent="0.3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874"/>
      <c r="AR243" s="874"/>
      <c r="AS243" s="874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43"/>
      <c r="BN243" s="116"/>
      <c r="BW243" s="1"/>
      <c r="BX243" s="1"/>
      <c r="BY243" s="1"/>
      <c r="BZ243" s="655"/>
      <c r="CB243" s="656"/>
      <c r="CC243" s="1"/>
      <c r="CD243" s="1"/>
      <c r="CE243" s="1"/>
      <c r="CF243" s="1"/>
      <c r="CG243" s="1"/>
      <c r="CH243" s="1"/>
      <c r="CI243" s="1"/>
      <c r="CJ243" s="1"/>
      <c r="CR243" s="305"/>
      <c r="CT243" s="116"/>
      <c r="DB243" s="1"/>
      <c r="DC243" s="1"/>
      <c r="DD243" s="1"/>
      <c r="DE243" s="1"/>
      <c r="DF243" s="1"/>
      <c r="DG243" s="1"/>
      <c r="DH243" s="1"/>
      <c r="DI243" s="1"/>
      <c r="DJ243" s="655"/>
      <c r="DL243" s="116"/>
    </row>
    <row r="244" spans="2:116" ht="15.75" customHeight="1" x14ac:dyDescent="0.3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874"/>
      <c r="AR244" s="874"/>
      <c r="AS244" s="874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43"/>
      <c r="BN244" s="116"/>
      <c r="BW244" s="1"/>
      <c r="BX244" s="1"/>
      <c r="BY244" s="1"/>
      <c r="BZ244" s="655"/>
      <c r="CB244" s="656"/>
      <c r="CC244" s="1"/>
      <c r="CD244" s="1"/>
      <c r="CE244" s="1"/>
      <c r="CF244" s="1"/>
      <c r="CG244" s="1"/>
      <c r="CH244" s="1"/>
      <c r="CI244" s="1"/>
      <c r="CJ244" s="1"/>
      <c r="CR244" s="305"/>
      <c r="CT244" s="116"/>
      <c r="DB244" s="1"/>
      <c r="DC244" s="1"/>
      <c r="DD244" s="1"/>
      <c r="DE244" s="1"/>
      <c r="DF244" s="1"/>
      <c r="DG244" s="1"/>
      <c r="DH244" s="1"/>
      <c r="DI244" s="1"/>
      <c r="DJ244" s="655"/>
      <c r="DL244" s="116"/>
    </row>
    <row r="245" spans="2:116" ht="15.75" customHeight="1" x14ac:dyDescent="0.3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874"/>
      <c r="AR245" s="874"/>
      <c r="AS245" s="874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43"/>
      <c r="BN245" s="116"/>
      <c r="BW245" s="1"/>
      <c r="BX245" s="1"/>
      <c r="BY245" s="1"/>
      <c r="BZ245" s="655"/>
      <c r="CB245" s="656"/>
      <c r="CC245" s="1"/>
      <c r="CD245" s="1"/>
      <c r="CE245" s="1"/>
      <c r="CF245" s="1"/>
      <c r="CG245" s="1"/>
      <c r="CH245" s="1"/>
      <c r="CI245" s="1"/>
      <c r="CJ245" s="1"/>
      <c r="CR245" s="305"/>
      <c r="CT245" s="116"/>
      <c r="DB245" s="1"/>
      <c r="DC245" s="1"/>
      <c r="DD245" s="1"/>
      <c r="DE245" s="1"/>
      <c r="DF245" s="1"/>
      <c r="DG245" s="1"/>
      <c r="DH245" s="1"/>
      <c r="DI245" s="1"/>
      <c r="DJ245" s="655"/>
      <c r="DL245" s="116"/>
    </row>
    <row r="246" spans="2:116" ht="15.75" customHeight="1" x14ac:dyDescent="0.3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874"/>
      <c r="AR246" s="874"/>
      <c r="AS246" s="874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43"/>
      <c r="BN246" s="116"/>
      <c r="BW246" s="1"/>
      <c r="BX246" s="1"/>
      <c r="BY246" s="1"/>
      <c r="BZ246" s="655"/>
      <c r="CB246" s="656"/>
      <c r="CC246" s="1"/>
      <c r="CD246" s="1"/>
      <c r="CE246" s="1"/>
      <c r="CF246" s="1"/>
      <c r="CG246" s="1"/>
      <c r="CH246" s="1"/>
      <c r="CI246" s="1"/>
      <c r="CJ246" s="1"/>
      <c r="CR246" s="305"/>
      <c r="CT246" s="116"/>
      <c r="DB246" s="1"/>
      <c r="DC246" s="1"/>
      <c r="DD246" s="1"/>
      <c r="DE246" s="1"/>
      <c r="DF246" s="1"/>
      <c r="DG246" s="1"/>
      <c r="DH246" s="1"/>
      <c r="DI246" s="1"/>
      <c r="DJ246" s="655"/>
      <c r="DL246" s="116"/>
    </row>
    <row r="247" spans="2:116" ht="15.75" customHeight="1" x14ac:dyDescent="0.3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874"/>
      <c r="AR247" s="874"/>
      <c r="AS247" s="874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43"/>
      <c r="BN247" s="116"/>
      <c r="BW247" s="1"/>
      <c r="BX247" s="1"/>
      <c r="BY247" s="1"/>
      <c r="BZ247" s="655"/>
      <c r="CB247" s="656"/>
      <c r="CC247" s="1"/>
      <c r="CD247" s="1"/>
      <c r="CE247" s="1"/>
      <c r="CF247" s="1"/>
      <c r="CG247" s="1"/>
      <c r="CH247" s="1"/>
      <c r="CI247" s="1"/>
      <c r="CJ247" s="1"/>
      <c r="CR247" s="305"/>
      <c r="CT247" s="116"/>
      <c r="DB247" s="1"/>
      <c r="DC247" s="1"/>
      <c r="DD247" s="1"/>
      <c r="DE247" s="1"/>
      <c r="DF247" s="1"/>
      <c r="DG247" s="1"/>
      <c r="DH247" s="1"/>
      <c r="DI247" s="1"/>
      <c r="DJ247" s="655"/>
      <c r="DL247" s="116"/>
    </row>
    <row r="248" spans="2:116" ht="15.75" customHeight="1" x14ac:dyDescent="0.3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874"/>
      <c r="AR248" s="874"/>
      <c r="AS248" s="874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43"/>
      <c r="BN248" s="116"/>
      <c r="BW248" s="1"/>
      <c r="BX248" s="1"/>
      <c r="BY248" s="1"/>
      <c r="BZ248" s="655"/>
      <c r="CB248" s="656"/>
      <c r="CC248" s="1"/>
      <c r="CD248" s="1"/>
      <c r="CE248" s="1"/>
      <c r="CF248" s="1"/>
      <c r="CG248" s="1"/>
      <c r="CH248" s="1"/>
      <c r="CI248" s="1"/>
      <c r="CJ248" s="1"/>
      <c r="CR248" s="305"/>
      <c r="CT248" s="116"/>
      <c r="DB248" s="1"/>
      <c r="DC248" s="1"/>
      <c r="DD248" s="1"/>
      <c r="DE248" s="1"/>
      <c r="DF248" s="1"/>
      <c r="DG248" s="1"/>
      <c r="DH248" s="1"/>
      <c r="DI248" s="1"/>
      <c r="DJ248" s="655"/>
      <c r="DL248" s="116"/>
    </row>
    <row r="249" spans="2:116" ht="15.75" customHeight="1" x14ac:dyDescent="0.3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874"/>
      <c r="AR249" s="874"/>
      <c r="AS249" s="874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43"/>
      <c r="BN249" s="116"/>
      <c r="BW249" s="1"/>
      <c r="BX249" s="1"/>
      <c r="BY249" s="1"/>
      <c r="BZ249" s="655"/>
      <c r="CB249" s="656"/>
      <c r="CC249" s="1"/>
      <c r="CD249" s="1"/>
      <c r="CE249" s="1"/>
      <c r="CF249" s="1"/>
      <c r="CG249" s="1"/>
      <c r="CH249" s="1"/>
      <c r="CI249" s="1"/>
      <c r="CJ249" s="1"/>
      <c r="CR249" s="305"/>
      <c r="CT249" s="116"/>
      <c r="DB249" s="1"/>
      <c r="DC249" s="1"/>
      <c r="DD249" s="1"/>
      <c r="DE249" s="1"/>
      <c r="DF249" s="1"/>
      <c r="DG249" s="1"/>
      <c r="DH249" s="1"/>
      <c r="DI249" s="1"/>
      <c r="DJ249" s="655"/>
      <c r="DL249" s="116"/>
    </row>
    <row r="250" spans="2:116" ht="15.75" customHeight="1" x14ac:dyDescent="0.3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874"/>
      <c r="AR250" s="874"/>
      <c r="AS250" s="874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43"/>
      <c r="BN250" s="116"/>
      <c r="BW250" s="1"/>
      <c r="BX250" s="1"/>
      <c r="BY250" s="1"/>
      <c r="BZ250" s="655"/>
      <c r="CB250" s="656"/>
      <c r="CC250" s="1"/>
      <c r="CD250" s="1"/>
      <c r="CE250" s="1"/>
      <c r="CF250" s="1"/>
      <c r="CG250" s="1"/>
      <c r="CH250" s="1"/>
      <c r="CI250" s="1"/>
      <c r="CJ250" s="1"/>
      <c r="CR250" s="305"/>
      <c r="CT250" s="116"/>
      <c r="DB250" s="1"/>
      <c r="DC250" s="1"/>
      <c r="DD250" s="1"/>
      <c r="DE250" s="1"/>
      <c r="DF250" s="1"/>
      <c r="DG250" s="1"/>
      <c r="DH250" s="1"/>
      <c r="DI250" s="1"/>
      <c r="DJ250" s="655"/>
      <c r="DL250" s="116"/>
    </row>
    <row r="251" spans="2:116" ht="15.75" customHeight="1" x14ac:dyDescent="0.3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874"/>
      <c r="AR251" s="874"/>
      <c r="AS251" s="874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43"/>
      <c r="BN251" s="116"/>
      <c r="BW251" s="1"/>
      <c r="BX251" s="1"/>
      <c r="BY251" s="1"/>
      <c r="BZ251" s="655"/>
      <c r="CB251" s="656"/>
      <c r="CC251" s="1"/>
      <c r="CD251" s="1"/>
      <c r="CE251" s="1"/>
      <c r="CF251" s="1"/>
      <c r="CG251" s="1"/>
      <c r="CH251" s="1"/>
      <c r="CI251" s="1"/>
      <c r="CJ251" s="1"/>
      <c r="CR251" s="305"/>
      <c r="CT251" s="116"/>
      <c r="DB251" s="1"/>
      <c r="DC251" s="1"/>
      <c r="DD251" s="1"/>
      <c r="DE251" s="1"/>
      <c r="DF251" s="1"/>
      <c r="DG251" s="1"/>
      <c r="DH251" s="1"/>
      <c r="DI251" s="1"/>
      <c r="DJ251" s="655"/>
      <c r="DL251" s="116"/>
    </row>
    <row r="252" spans="2:116" ht="15.75" customHeight="1" x14ac:dyDescent="0.3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874"/>
      <c r="AR252" s="874"/>
      <c r="AS252" s="874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43"/>
      <c r="BN252" s="116"/>
      <c r="BW252" s="1"/>
      <c r="BX252" s="1"/>
      <c r="BY252" s="1"/>
      <c r="BZ252" s="655"/>
      <c r="CB252" s="656"/>
      <c r="CC252" s="1"/>
      <c r="CD252" s="1"/>
      <c r="CE252" s="1"/>
      <c r="CF252" s="1"/>
      <c r="CG252" s="1"/>
      <c r="CH252" s="1"/>
      <c r="CI252" s="1"/>
      <c r="CJ252" s="1"/>
      <c r="CR252" s="305"/>
      <c r="CT252" s="116"/>
      <c r="DB252" s="1"/>
      <c r="DC252" s="1"/>
      <c r="DD252" s="1"/>
      <c r="DE252" s="1"/>
      <c r="DF252" s="1"/>
      <c r="DG252" s="1"/>
      <c r="DH252" s="1"/>
      <c r="DI252" s="1"/>
      <c r="DJ252" s="655"/>
      <c r="DL252" s="116"/>
    </row>
    <row r="253" spans="2:116" ht="15.75" customHeight="1" x14ac:dyDescent="0.3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874"/>
      <c r="AR253" s="874"/>
      <c r="AS253" s="874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43"/>
      <c r="BN253" s="116"/>
      <c r="BW253" s="1"/>
      <c r="BX253" s="1"/>
      <c r="BY253" s="1"/>
      <c r="BZ253" s="655"/>
      <c r="CB253" s="656"/>
      <c r="CC253" s="1"/>
      <c r="CD253" s="1"/>
      <c r="CE253" s="1"/>
      <c r="CF253" s="1"/>
      <c r="CG253" s="1"/>
      <c r="CH253" s="1"/>
      <c r="CI253" s="1"/>
      <c r="CJ253" s="1"/>
      <c r="CR253" s="305"/>
      <c r="CT253" s="116"/>
      <c r="DB253" s="1"/>
      <c r="DC253" s="1"/>
      <c r="DD253" s="1"/>
      <c r="DE253" s="1"/>
      <c r="DF253" s="1"/>
      <c r="DG253" s="1"/>
      <c r="DH253" s="1"/>
      <c r="DI253" s="1"/>
      <c r="DJ253" s="655"/>
      <c r="DL253" s="116"/>
    </row>
    <row r="254" spans="2:116" ht="15.75" customHeight="1" x14ac:dyDescent="0.3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874"/>
      <c r="AR254" s="874"/>
      <c r="AS254" s="874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43"/>
      <c r="BN254" s="116"/>
      <c r="BW254" s="1"/>
      <c r="BX254" s="1"/>
      <c r="BY254" s="1"/>
      <c r="BZ254" s="655"/>
      <c r="CB254" s="656"/>
      <c r="CC254" s="1"/>
      <c r="CD254" s="1"/>
      <c r="CE254" s="1"/>
      <c r="CF254" s="1"/>
      <c r="CG254" s="1"/>
      <c r="CH254" s="1"/>
      <c r="CI254" s="1"/>
      <c r="CJ254" s="1"/>
      <c r="CR254" s="305"/>
      <c r="CT254" s="116"/>
      <c r="DB254" s="1"/>
      <c r="DC254" s="1"/>
      <c r="DD254" s="1"/>
      <c r="DE254" s="1"/>
      <c r="DF254" s="1"/>
      <c r="DG254" s="1"/>
      <c r="DH254" s="1"/>
      <c r="DI254" s="1"/>
      <c r="DJ254" s="655"/>
      <c r="DL254" s="116"/>
    </row>
    <row r="255" spans="2:116" ht="15.75" customHeight="1" x14ac:dyDescent="0.3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874"/>
      <c r="AR255" s="874"/>
      <c r="AS255" s="874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43"/>
      <c r="BN255" s="116"/>
      <c r="BW255" s="1"/>
      <c r="BX255" s="1"/>
      <c r="BY255" s="1"/>
      <c r="BZ255" s="655"/>
      <c r="CB255" s="656"/>
      <c r="CC255" s="1"/>
      <c r="CD255" s="1"/>
      <c r="CE255" s="1"/>
      <c r="CF255" s="1"/>
      <c r="CG255" s="1"/>
      <c r="CH255" s="1"/>
      <c r="CI255" s="1"/>
      <c r="CJ255" s="1"/>
      <c r="CR255" s="305"/>
      <c r="CT255" s="116"/>
      <c r="DB255" s="1"/>
      <c r="DC255" s="1"/>
      <c r="DD255" s="1"/>
      <c r="DE255" s="1"/>
      <c r="DF255" s="1"/>
      <c r="DG255" s="1"/>
      <c r="DH255" s="1"/>
      <c r="DI255" s="1"/>
      <c r="DJ255" s="655"/>
      <c r="DL255" s="116"/>
    </row>
    <row r="256" spans="2:116" ht="15.75" customHeight="1" x14ac:dyDescent="0.3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874"/>
      <c r="AR256" s="874"/>
      <c r="AS256" s="874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43"/>
      <c r="BN256" s="116"/>
      <c r="BW256" s="1"/>
      <c r="BX256" s="1"/>
      <c r="BY256" s="1"/>
      <c r="BZ256" s="655"/>
      <c r="CB256" s="656"/>
      <c r="CC256" s="1"/>
      <c r="CD256" s="1"/>
      <c r="CE256" s="1"/>
      <c r="CF256" s="1"/>
      <c r="CG256" s="1"/>
      <c r="CH256" s="1"/>
      <c r="CI256" s="1"/>
      <c r="CJ256" s="1"/>
      <c r="CR256" s="305"/>
      <c r="CT256" s="116"/>
      <c r="DB256" s="1"/>
      <c r="DC256" s="1"/>
      <c r="DD256" s="1"/>
      <c r="DE256" s="1"/>
      <c r="DF256" s="1"/>
      <c r="DG256" s="1"/>
      <c r="DH256" s="1"/>
      <c r="DI256" s="1"/>
      <c r="DJ256" s="655"/>
      <c r="DL256" s="116"/>
    </row>
    <row r="257" spans="2:116" ht="15.75" customHeight="1" x14ac:dyDescent="0.3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874"/>
      <c r="AR257" s="874"/>
      <c r="AS257" s="874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43"/>
      <c r="BN257" s="116"/>
      <c r="BW257" s="1"/>
      <c r="BX257" s="1"/>
      <c r="BY257" s="1"/>
      <c r="BZ257" s="655"/>
      <c r="CB257" s="656"/>
      <c r="CC257" s="1"/>
      <c r="CD257" s="1"/>
      <c r="CE257" s="1"/>
      <c r="CF257" s="1"/>
      <c r="CG257" s="1"/>
      <c r="CH257" s="1"/>
      <c r="CI257" s="1"/>
      <c r="CJ257" s="1"/>
      <c r="CR257" s="305"/>
      <c r="CT257" s="116"/>
      <c r="DB257" s="1"/>
      <c r="DC257" s="1"/>
      <c r="DD257" s="1"/>
      <c r="DE257" s="1"/>
      <c r="DF257" s="1"/>
      <c r="DG257" s="1"/>
      <c r="DH257" s="1"/>
      <c r="DI257" s="1"/>
      <c r="DJ257" s="655"/>
      <c r="DL257" s="116"/>
    </row>
    <row r="258" spans="2:116" ht="15.75" customHeight="1" x14ac:dyDescent="0.3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874"/>
      <c r="AR258" s="874"/>
      <c r="AS258" s="874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43"/>
      <c r="BN258" s="116"/>
      <c r="BW258" s="1"/>
      <c r="BX258" s="1"/>
      <c r="BY258" s="1"/>
      <c r="BZ258" s="655"/>
      <c r="CB258" s="656"/>
      <c r="CC258" s="1"/>
      <c r="CD258" s="1"/>
      <c r="CE258" s="1"/>
      <c r="CF258" s="1"/>
      <c r="CG258" s="1"/>
      <c r="CH258" s="1"/>
      <c r="CI258" s="1"/>
      <c r="CJ258" s="1"/>
      <c r="CR258" s="305"/>
      <c r="CT258" s="116"/>
      <c r="DB258" s="1"/>
      <c r="DC258" s="1"/>
      <c r="DD258" s="1"/>
      <c r="DE258" s="1"/>
      <c r="DF258" s="1"/>
      <c r="DG258" s="1"/>
      <c r="DH258" s="1"/>
      <c r="DI258" s="1"/>
      <c r="DJ258" s="655"/>
      <c r="DL258" s="116"/>
    </row>
    <row r="259" spans="2:116" ht="15.75" customHeight="1" x14ac:dyDescent="0.3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874"/>
      <c r="AR259" s="874"/>
      <c r="AS259" s="874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43"/>
      <c r="BN259" s="116"/>
      <c r="BW259" s="1"/>
      <c r="BX259" s="1"/>
      <c r="BY259" s="1"/>
      <c r="BZ259" s="655"/>
      <c r="CB259" s="656"/>
      <c r="CC259" s="1"/>
      <c r="CD259" s="1"/>
      <c r="CE259" s="1"/>
      <c r="CF259" s="1"/>
      <c r="CG259" s="1"/>
      <c r="CH259" s="1"/>
      <c r="CI259" s="1"/>
      <c r="CJ259" s="1"/>
      <c r="CR259" s="305"/>
      <c r="CT259" s="116"/>
      <c r="DB259" s="1"/>
      <c r="DC259" s="1"/>
      <c r="DD259" s="1"/>
      <c r="DE259" s="1"/>
      <c r="DF259" s="1"/>
      <c r="DG259" s="1"/>
      <c r="DH259" s="1"/>
      <c r="DI259" s="1"/>
      <c r="DJ259" s="655"/>
      <c r="DL259" s="116"/>
    </row>
    <row r="260" spans="2:116" ht="15.75" customHeight="1" x14ac:dyDescent="0.3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874"/>
      <c r="AR260" s="874"/>
      <c r="AS260" s="874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43"/>
      <c r="BN260" s="116"/>
      <c r="BW260" s="1"/>
      <c r="BX260" s="1"/>
      <c r="BY260" s="1"/>
      <c r="BZ260" s="655"/>
      <c r="CB260" s="656"/>
      <c r="CC260" s="1"/>
      <c r="CD260" s="1"/>
      <c r="CE260" s="1"/>
      <c r="CF260" s="1"/>
      <c r="CG260" s="1"/>
      <c r="CH260" s="1"/>
      <c r="CI260" s="1"/>
      <c r="CJ260" s="1"/>
      <c r="CR260" s="305"/>
      <c r="CT260" s="116"/>
      <c r="DB260" s="1"/>
      <c r="DC260" s="1"/>
      <c r="DD260" s="1"/>
      <c r="DE260" s="1"/>
      <c r="DF260" s="1"/>
      <c r="DG260" s="1"/>
      <c r="DH260" s="1"/>
      <c r="DI260" s="1"/>
      <c r="DJ260" s="655"/>
      <c r="DL260" s="116"/>
    </row>
    <row r="261" spans="2:116" ht="15.75" customHeight="1" x14ac:dyDescent="0.3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874"/>
      <c r="AR261" s="874"/>
      <c r="AS261" s="874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43"/>
      <c r="BN261" s="116"/>
      <c r="BW261" s="1"/>
      <c r="BX261" s="1"/>
      <c r="BY261" s="1"/>
      <c r="BZ261" s="655"/>
      <c r="CB261" s="656"/>
      <c r="CC261" s="1"/>
      <c r="CD261" s="1"/>
      <c r="CE261" s="1"/>
      <c r="CF261" s="1"/>
      <c r="CG261" s="1"/>
      <c r="CH261" s="1"/>
      <c r="CI261" s="1"/>
      <c r="CJ261" s="1"/>
      <c r="CR261" s="305"/>
      <c r="CT261" s="116"/>
      <c r="DB261" s="1"/>
      <c r="DC261" s="1"/>
      <c r="DD261" s="1"/>
      <c r="DE261" s="1"/>
      <c r="DF261" s="1"/>
      <c r="DG261" s="1"/>
      <c r="DH261" s="1"/>
      <c r="DI261" s="1"/>
      <c r="DJ261" s="655"/>
      <c r="DL261" s="116"/>
    </row>
    <row r="262" spans="2:116" ht="15.75" customHeight="1" x14ac:dyDescent="0.3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874"/>
      <c r="AR262" s="874"/>
      <c r="AS262" s="874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43"/>
      <c r="BN262" s="116"/>
      <c r="BW262" s="1"/>
      <c r="BX262" s="1"/>
      <c r="BY262" s="1"/>
      <c r="BZ262" s="655"/>
      <c r="CB262" s="656"/>
      <c r="CC262" s="1"/>
      <c r="CD262" s="1"/>
      <c r="CE262" s="1"/>
      <c r="CF262" s="1"/>
      <c r="CG262" s="1"/>
      <c r="CH262" s="1"/>
      <c r="CI262" s="1"/>
      <c r="CJ262" s="1"/>
      <c r="CR262" s="305"/>
      <c r="CT262" s="116"/>
      <c r="DB262" s="1"/>
      <c r="DC262" s="1"/>
      <c r="DD262" s="1"/>
      <c r="DE262" s="1"/>
      <c r="DF262" s="1"/>
      <c r="DG262" s="1"/>
      <c r="DH262" s="1"/>
      <c r="DI262" s="1"/>
      <c r="DJ262" s="655"/>
      <c r="DL262" s="116"/>
    </row>
    <row r="263" spans="2:116" ht="15.75" customHeight="1" x14ac:dyDescent="0.3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874"/>
      <c r="AR263" s="874"/>
      <c r="AS263" s="874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43"/>
      <c r="BN263" s="116"/>
      <c r="BW263" s="1"/>
      <c r="BX263" s="1"/>
      <c r="BY263" s="1"/>
      <c r="BZ263" s="655"/>
      <c r="CB263" s="656"/>
      <c r="CC263" s="1"/>
      <c r="CD263" s="1"/>
      <c r="CE263" s="1"/>
      <c r="CF263" s="1"/>
      <c r="CG263" s="1"/>
      <c r="CH263" s="1"/>
      <c r="CI263" s="1"/>
      <c r="CJ263" s="1"/>
      <c r="CR263" s="305"/>
      <c r="CT263" s="116"/>
      <c r="DB263" s="1"/>
      <c r="DC263" s="1"/>
      <c r="DD263" s="1"/>
      <c r="DE263" s="1"/>
      <c r="DF263" s="1"/>
      <c r="DG263" s="1"/>
      <c r="DH263" s="1"/>
      <c r="DI263" s="1"/>
      <c r="DJ263" s="655"/>
      <c r="DL263" s="116"/>
    </row>
    <row r="264" spans="2:116" ht="15.75" customHeight="1" x14ac:dyDescent="0.3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874"/>
      <c r="AR264" s="874"/>
      <c r="AS264" s="874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43"/>
      <c r="BN264" s="116"/>
      <c r="BW264" s="1"/>
      <c r="BX264" s="1"/>
      <c r="BY264" s="1"/>
      <c r="BZ264" s="655"/>
      <c r="CB264" s="656"/>
      <c r="CC264" s="1"/>
      <c r="CD264" s="1"/>
      <c r="CE264" s="1"/>
      <c r="CF264" s="1"/>
      <c r="CG264" s="1"/>
      <c r="CH264" s="1"/>
      <c r="CI264" s="1"/>
      <c r="CJ264" s="1"/>
      <c r="CR264" s="305"/>
      <c r="CT264" s="116"/>
      <c r="DB264" s="1"/>
      <c r="DC264" s="1"/>
      <c r="DD264" s="1"/>
      <c r="DE264" s="1"/>
      <c r="DF264" s="1"/>
      <c r="DG264" s="1"/>
      <c r="DH264" s="1"/>
      <c r="DI264" s="1"/>
      <c r="DJ264" s="655"/>
      <c r="DL264" s="116"/>
    </row>
    <row r="265" spans="2:116" ht="15.75" customHeight="1" x14ac:dyDescent="0.3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874"/>
      <c r="AR265" s="874"/>
      <c r="AS265" s="874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43"/>
      <c r="BN265" s="116"/>
      <c r="BW265" s="1"/>
      <c r="BX265" s="1"/>
      <c r="BY265" s="1"/>
      <c r="BZ265" s="655"/>
      <c r="CB265" s="656"/>
      <c r="CC265" s="1"/>
      <c r="CD265" s="1"/>
      <c r="CE265" s="1"/>
      <c r="CF265" s="1"/>
      <c r="CG265" s="1"/>
      <c r="CH265" s="1"/>
      <c r="CI265" s="1"/>
      <c r="CJ265" s="1"/>
      <c r="CR265" s="305"/>
      <c r="CT265" s="116"/>
      <c r="DB265" s="1"/>
      <c r="DC265" s="1"/>
      <c r="DD265" s="1"/>
      <c r="DE265" s="1"/>
      <c r="DF265" s="1"/>
      <c r="DG265" s="1"/>
      <c r="DH265" s="1"/>
      <c r="DI265" s="1"/>
      <c r="DJ265" s="655"/>
      <c r="DL265" s="116"/>
    </row>
    <row r="266" spans="2:116" ht="15.75" customHeight="1" x14ac:dyDescent="0.3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874"/>
      <c r="AR266" s="874"/>
      <c r="AS266" s="874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43"/>
      <c r="BN266" s="116"/>
      <c r="BW266" s="1"/>
      <c r="BX266" s="1"/>
      <c r="BY266" s="1"/>
      <c r="BZ266" s="655"/>
      <c r="CB266" s="656"/>
      <c r="CC266" s="1"/>
      <c r="CD266" s="1"/>
      <c r="CE266" s="1"/>
      <c r="CF266" s="1"/>
      <c r="CG266" s="1"/>
      <c r="CH266" s="1"/>
      <c r="CI266" s="1"/>
      <c r="CJ266" s="1"/>
      <c r="CR266" s="305"/>
      <c r="CT266" s="116"/>
      <c r="DB266" s="1"/>
      <c r="DC266" s="1"/>
      <c r="DD266" s="1"/>
      <c r="DE266" s="1"/>
      <c r="DF266" s="1"/>
      <c r="DG266" s="1"/>
      <c r="DH266" s="1"/>
      <c r="DI266" s="1"/>
      <c r="DJ266" s="655"/>
      <c r="DL266" s="116"/>
    </row>
    <row r="267" spans="2:116" ht="15.75" customHeight="1" x14ac:dyDescent="0.3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874"/>
      <c r="AR267" s="874"/>
      <c r="AS267" s="874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43"/>
      <c r="BN267" s="116"/>
      <c r="BW267" s="1"/>
      <c r="BX267" s="1"/>
      <c r="BY267" s="1"/>
      <c r="BZ267" s="655"/>
      <c r="CB267" s="656"/>
      <c r="CC267" s="1"/>
      <c r="CD267" s="1"/>
      <c r="CE267" s="1"/>
      <c r="CF267" s="1"/>
      <c r="CG267" s="1"/>
      <c r="CH267" s="1"/>
      <c r="CI267" s="1"/>
      <c r="CJ267" s="1"/>
      <c r="CR267" s="305"/>
      <c r="CT267" s="116"/>
      <c r="DB267" s="1"/>
      <c r="DC267" s="1"/>
      <c r="DD267" s="1"/>
      <c r="DE267" s="1"/>
      <c r="DF267" s="1"/>
      <c r="DG267" s="1"/>
      <c r="DH267" s="1"/>
      <c r="DI267" s="1"/>
      <c r="DJ267" s="655"/>
      <c r="DL267" s="116"/>
    </row>
    <row r="268" spans="2:116" ht="15.75" customHeight="1" x14ac:dyDescent="0.3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874"/>
      <c r="AR268" s="874"/>
      <c r="AS268" s="874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43"/>
      <c r="BN268" s="116"/>
      <c r="BW268" s="1"/>
      <c r="BX268" s="1"/>
      <c r="BY268" s="1"/>
      <c r="BZ268" s="655"/>
      <c r="CB268" s="656"/>
      <c r="CC268" s="1"/>
      <c r="CD268" s="1"/>
      <c r="CE268" s="1"/>
      <c r="CF268" s="1"/>
      <c r="CG268" s="1"/>
      <c r="CH268" s="1"/>
      <c r="CI268" s="1"/>
      <c r="CJ268" s="1"/>
      <c r="CR268" s="305"/>
      <c r="CT268" s="116"/>
      <c r="DB268" s="1"/>
      <c r="DC268" s="1"/>
      <c r="DD268" s="1"/>
      <c r="DE268" s="1"/>
      <c r="DF268" s="1"/>
      <c r="DG268" s="1"/>
      <c r="DH268" s="1"/>
      <c r="DI268" s="1"/>
      <c r="DJ268" s="655"/>
      <c r="DL268" s="116"/>
    </row>
    <row r="269" spans="2:116" ht="15.75" customHeight="1" x14ac:dyDescent="0.3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874"/>
      <c r="AR269" s="874"/>
      <c r="AS269" s="874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43"/>
      <c r="BN269" s="116"/>
      <c r="BW269" s="1"/>
      <c r="BX269" s="1"/>
      <c r="BY269" s="1"/>
      <c r="BZ269" s="655"/>
      <c r="CB269" s="656"/>
      <c r="CC269" s="1"/>
      <c r="CD269" s="1"/>
      <c r="CE269" s="1"/>
      <c r="CF269" s="1"/>
      <c r="CG269" s="1"/>
      <c r="CH269" s="1"/>
      <c r="CI269" s="1"/>
      <c r="CJ269" s="1"/>
      <c r="CR269" s="305"/>
      <c r="CT269" s="116"/>
      <c r="DB269" s="1"/>
      <c r="DC269" s="1"/>
      <c r="DD269" s="1"/>
      <c r="DE269" s="1"/>
      <c r="DF269" s="1"/>
      <c r="DG269" s="1"/>
      <c r="DH269" s="1"/>
      <c r="DI269" s="1"/>
      <c r="DJ269" s="655"/>
      <c r="DL269" s="116"/>
    </row>
    <row r="270" spans="2:116" ht="15.75" customHeight="1" x14ac:dyDescent="0.3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874"/>
      <c r="AR270" s="874"/>
      <c r="AS270" s="874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43"/>
      <c r="BN270" s="116"/>
      <c r="BW270" s="1"/>
      <c r="BX270" s="1"/>
      <c r="BY270" s="1"/>
      <c r="BZ270" s="655"/>
      <c r="CB270" s="656"/>
      <c r="CC270" s="1"/>
      <c r="CD270" s="1"/>
      <c r="CE270" s="1"/>
      <c r="CF270" s="1"/>
      <c r="CG270" s="1"/>
      <c r="CH270" s="1"/>
      <c r="CI270" s="1"/>
      <c r="CJ270" s="1"/>
      <c r="CR270" s="305"/>
      <c r="CT270" s="116"/>
      <c r="DB270" s="1"/>
      <c r="DC270" s="1"/>
      <c r="DD270" s="1"/>
      <c r="DE270" s="1"/>
      <c r="DF270" s="1"/>
      <c r="DG270" s="1"/>
      <c r="DH270" s="1"/>
      <c r="DI270" s="1"/>
      <c r="DJ270" s="655"/>
      <c r="DL270" s="116"/>
    </row>
    <row r="271" spans="2:116" ht="15.75" customHeight="1" x14ac:dyDescent="0.3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874"/>
      <c r="AR271" s="874"/>
      <c r="AS271" s="874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43"/>
      <c r="BN271" s="116"/>
      <c r="BW271" s="1"/>
      <c r="BX271" s="1"/>
      <c r="BY271" s="1"/>
      <c r="BZ271" s="655"/>
      <c r="CB271" s="656"/>
      <c r="CC271" s="1"/>
      <c r="CD271" s="1"/>
      <c r="CE271" s="1"/>
      <c r="CF271" s="1"/>
      <c r="CG271" s="1"/>
      <c r="CH271" s="1"/>
      <c r="CI271" s="1"/>
      <c r="CJ271" s="1"/>
      <c r="CR271" s="305"/>
      <c r="CT271" s="116"/>
      <c r="DB271" s="1"/>
      <c r="DC271" s="1"/>
      <c r="DD271" s="1"/>
      <c r="DE271" s="1"/>
      <c r="DF271" s="1"/>
      <c r="DG271" s="1"/>
      <c r="DH271" s="1"/>
      <c r="DI271" s="1"/>
      <c r="DJ271" s="655"/>
      <c r="DL271" s="116"/>
    </row>
    <row r="272" spans="2:116" ht="15.75" customHeight="1" x14ac:dyDescent="0.3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874"/>
      <c r="AR272" s="874"/>
      <c r="AS272" s="874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43"/>
      <c r="BN272" s="116"/>
      <c r="BW272" s="1"/>
      <c r="BX272" s="1"/>
      <c r="BY272" s="1"/>
      <c r="BZ272" s="655"/>
      <c r="CB272" s="656"/>
      <c r="CC272" s="1"/>
      <c r="CD272" s="1"/>
      <c r="CE272" s="1"/>
      <c r="CF272" s="1"/>
      <c r="CG272" s="1"/>
      <c r="CH272" s="1"/>
      <c r="CI272" s="1"/>
      <c r="CJ272" s="1"/>
      <c r="CR272" s="305"/>
      <c r="CT272" s="116"/>
      <c r="DB272" s="1"/>
      <c r="DC272" s="1"/>
      <c r="DD272" s="1"/>
      <c r="DE272" s="1"/>
      <c r="DF272" s="1"/>
      <c r="DG272" s="1"/>
      <c r="DH272" s="1"/>
      <c r="DI272" s="1"/>
      <c r="DJ272" s="655"/>
      <c r="DL272" s="116"/>
    </row>
    <row r="273" spans="2:116" ht="15.75" customHeight="1" x14ac:dyDescent="0.3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874"/>
      <c r="AR273" s="874"/>
      <c r="AS273" s="874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43"/>
      <c r="BN273" s="116"/>
      <c r="BW273" s="1"/>
      <c r="BX273" s="1"/>
      <c r="BY273" s="1"/>
      <c r="BZ273" s="655"/>
      <c r="CB273" s="656"/>
      <c r="CC273" s="1"/>
      <c r="CD273" s="1"/>
      <c r="CE273" s="1"/>
      <c r="CF273" s="1"/>
      <c r="CG273" s="1"/>
      <c r="CH273" s="1"/>
      <c r="CI273" s="1"/>
      <c r="CJ273" s="1"/>
      <c r="CR273" s="305"/>
      <c r="CT273" s="116"/>
      <c r="DB273" s="1"/>
      <c r="DC273" s="1"/>
      <c r="DD273" s="1"/>
      <c r="DE273" s="1"/>
      <c r="DF273" s="1"/>
      <c r="DG273" s="1"/>
      <c r="DH273" s="1"/>
      <c r="DI273" s="1"/>
      <c r="DJ273" s="655"/>
      <c r="DL273" s="116"/>
    </row>
    <row r="274" spans="2:116" ht="15.75" customHeight="1" x14ac:dyDescent="0.3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874"/>
      <c r="AR274" s="874"/>
      <c r="AS274" s="874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43"/>
      <c r="BN274" s="116"/>
      <c r="BW274" s="1"/>
      <c r="BX274" s="1"/>
      <c r="BY274" s="1"/>
      <c r="BZ274" s="655"/>
      <c r="CB274" s="656"/>
      <c r="CC274" s="1"/>
      <c r="CD274" s="1"/>
      <c r="CE274" s="1"/>
      <c r="CF274" s="1"/>
      <c r="CG274" s="1"/>
      <c r="CH274" s="1"/>
      <c r="CI274" s="1"/>
      <c r="CJ274" s="1"/>
      <c r="CR274" s="305"/>
      <c r="CT274" s="116"/>
      <c r="DB274" s="1"/>
      <c r="DC274" s="1"/>
      <c r="DD274" s="1"/>
      <c r="DE274" s="1"/>
      <c r="DF274" s="1"/>
      <c r="DG274" s="1"/>
      <c r="DH274" s="1"/>
      <c r="DI274" s="1"/>
      <c r="DJ274" s="655"/>
      <c r="DL274" s="116"/>
    </row>
    <row r="275" spans="2:116" ht="15.75" customHeight="1" x14ac:dyDescent="0.3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874"/>
      <c r="AR275" s="874"/>
      <c r="AS275" s="874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43"/>
      <c r="BN275" s="116"/>
      <c r="BW275" s="1"/>
      <c r="BX275" s="1"/>
      <c r="BY275" s="1"/>
      <c r="BZ275" s="655"/>
      <c r="CB275" s="656"/>
      <c r="CC275" s="1"/>
      <c r="CD275" s="1"/>
      <c r="CE275" s="1"/>
      <c r="CF275" s="1"/>
      <c r="CG275" s="1"/>
      <c r="CH275" s="1"/>
      <c r="CI275" s="1"/>
      <c r="CJ275" s="1"/>
      <c r="CR275" s="305"/>
      <c r="CT275" s="116"/>
      <c r="DB275" s="1"/>
      <c r="DC275" s="1"/>
      <c r="DD275" s="1"/>
      <c r="DE275" s="1"/>
      <c r="DF275" s="1"/>
      <c r="DG275" s="1"/>
      <c r="DH275" s="1"/>
      <c r="DI275" s="1"/>
      <c r="DJ275" s="655"/>
      <c r="DL275" s="116"/>
    </row>
    <row r="276" spans="2:116" ht="15.75" customHeight="1" x14ac:dyDescent="0.3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874"/>
      <c r="AR276" s="874"/>
      <c r="AS276" s="874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43"/>
      <c r="BN276" s="116"/>
      <c r="BW276" s="1"/>
      <c r="BX276" s="1"/>
      <c r="BY276" s="1"/>
      <c r="BZ276" s="655"/>
      <c r="CB276" s="656"/>
      <c r="CC276" s="1"/>
      <c r="CD276" s="1"/>
      <c r="CE276" s="1"/>
      <c r="CF276" s="1"/>
      <c r="CG276" s="1"/>
      <c r="CH276" s="1"/>
      <c r="CI276" s="1"/>
      <c r="CJ276" s="1"/>
      <c r="CR276" s="305"/>
      <c r="CT276" s="116"/>
      <c r="DB276" s="1"/>
      <c r="DC276" s="1"/>
      <c r="DD276" s="1"/>
      <c r="DE276" s="1"/>
      <c r="DF276" s="1"/>
      <c r="DG276" s="1"/>
      <c r="DH276" s="1"/>
      <c r="DI276" s="1"/>
      <c r="DJ276" s="655"/>
      <c r="DL276" s="116"/>
    </row>
    <row r="277" spans="2:116" ht="15.75" customHeight="1" x14ac:dyDescent="0.3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874"/>
      <c r="AR277" s="874"/>
      <c r="AS277" s="874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43"/>
      <c r="BN277" s="116"/>
      <c r="BW277" s="1"/>
      <c r="BX277" s="1"/>
      <c r="BY277" s="1"/>
      <c r="BZ277" s="655"/>
      <c r="CB277" s="656"/>
      <c r="CC277" s="1"/>
      <c r="CD277" s="1"/>
      <c r="CE277" s="1"/>
      <c r="CF277" s="1"/>
      <c r="CG277" s="1"/>
      <c r="CH277" s="1"/>
      <c r="CI277" s="1"/>
      <c r="CJ277" s="1"/>
      <c r="CR277" s="305"/>
      <c r="CT277" s="116"/>
      <c r="DB277" s="1"/>
      <c r="DC277" s="1"/>
      <c r="DD277" s="1"/>
      <c r="DE277" s="1"/>
      <c r="DF277" s="1"/>
      <c r="DG277" s="1"/>
      <c r="DH277" s="1"/>
      <c r="DI277" s="1"/>
      <c r="DJ277" s="655"/>
      <c r="DL277" s="116"/>
    </row>
    <row r="278" spans="2:116" ht="15.75" customHeight="1" x14ac:dyDescent="0.3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874"/>
      <c r="AR278" s="874"/>
      <c r="AS278" s="874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43"/>
      <c r="BN278" s="116"/>
      <c r="BW278" s="1"/>
      <c r="BX278" s="1"/>
      <c r="BY278" s="1"/>
      <c r="BZ278" s="655"/>
      <c r="CB278" s="656"/>
      <c r="CC278" s="1"/>
      <c r="CD278" s="1"/>
      <c r="CE278" s="1"/>
      <c r="CF278" s="1"/>
      <c r="CG278" s="1"/>
      <c r="CH278" s="1"/>
      <c r="CI278" s="1"/>
      <c r="CJ278" s="1"/>
      <c r="CR278" s="305"/>
      <c r="CT278" s="116"/>
      <c r="DB278" s="1"/>
      <c r="DC278" s="1"/>
      <c r="DD278" s="1"/>
      <c r="DE278" s="1"/>
      <c r="DF278" s="1"/>
      <c r="DG278" s="1"/>
      <c r="DH278" s="1"/>
      <c r="DI278" s="1"/>
      <c r="DJ278" s="655"/>
      <c r="DL278" s="116"/>
    </row>
    <row r="279" spans="2:116" ht="15.75" customHeight="1" x14ac:dyDescent="0.3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874"/>
      <c r="AR279" s="874"/>
      <c r="AS279" s="874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43"/>
      <c r="BN279" s="116"/>
      <c r="BW279" s="1"/>
      <c r="BX279" s="1"/>
      <c r="BY279" s="1"/>
      <c r="BZ279" s="655"/>
      <c r="CB279" s="656"/>
      <c r="CC279" s="1"/>
      <c r="CD279" s="1"/>
      <c r="CE279" s="1"/>
      <c r="CF279" s="1"/>
      <c r="CG279" s="1"/>
      <c r="CH279" s="1"/>
      <c r="CI279" s="1"/>
      <c r="CJ279" s="1"/>
      <c r="CR279" s="305"/>
      <c r="CT279" s="116"/>
      <c r="DB279" s="1"/>
      <c r="DC279" s="1"/>
      <c r="DD279" s="1"/>
      <c r="DE279" s="1"/>
      <c r="DF279" s="1"/>
      <c r="DG279" s="1"/>
      <c r="DH279" s="1"/>
      <c r="DI279" s="1"/>
      <c r="DJ279" s="655"/>
      <c r="DL279" s="116"/>
    </row>
    <row r="280" spans="2:116" ht="15.75" customHeight="1" x14ac:dyDescent="0.3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874"/>
      <c r="AR280" s="874"/>
      <c r="AS280" s="874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43"/>
      <c r="BN280" s="116"/>
      <c r="BW280" s="1"/>
      <c r="BX280" s="1"/>
      <c r="BY280" s="1"/>
      <c r="BZ280" s="655"/>
      <c r="CB280" s="656"/>
      <c r="CC280" s="1"/>
      <c r="CD280" s="1"/>
      <c r="CE280" s="1"/>
      <c r="CF280" s="1"/>
      <c r="CG280" s="1"/>
      <c r="CH280" s="1"/>
      <c r="CI280" s="1"/>
      <c r="CJ280" s="1"/>
      <c r="CR280" s="305"/>
      <c r="CT280" s="116"/>
      <c r="DB280" s="1"/>
      <c r="DC280" s="1"/>
      <c r="DD280" s="1"/>
      <c r="DE280" s="1"/>
      <c r="DF280" s="1"/>
      <c r="DG280" s="1"/>
      <c r="DH280" s="1"/>
      <c r="DI280" s="1"/>
      <c r="DJ280" s="655"/>
      <c r="DL280" s="116"/>
    </row>
    <row r="281" spans="2:116" ht="15.75" customHeight="1" x14ac:dyDescent="0.3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874"/>
      <c r="AR281" s="874"/>
      <c r="AS281" s="874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43"/>
      <c r="BN281" s="116"/>
      <c r="BW281" s="1"/>
      <c r="BX281" s="1"/>
      <c r="BY281" s="1"/>
      <c r="BZ281" s="655"/>
      <c r="CB281" s="656"/>
      <c r="CC281" s="1"/>
      <c r="CD281" s="1"/>
      <c r="CE281" s="1"/>
      <c r="CF281" s="1"/>
      <c r="CG281" s="1"/>
      <c r="CH281" s="1"/>
      <c r="CI281" s="1"/>
      <c r="CJ281" s="1"/>
      <c r="CR281" s="305"/>
      <c r="CT281" s="116"/>
      <c r="DB281" s="1"/>
      <c r="DC281" s="1"/>
      <c r="DD281" s="1"/>
      <c r="DE281" s="1"/>
      <c r="DF281" s="1"/>
      <c r="DG281" s="1"/>
      <c r="DH281" s="1"/>
      <c r="DI281" s="1"/>
      <c r="DJ281" s="655"/>
      <c r="DL281" s="116"/>
    </row>
    <row r="282" spans="2:116" ht="15.75" customHeight="1" x14ac:dyDescent="0.3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874"/>
      <c r="AR282" s="874"/>
      <c r="AS282" s="874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43"/>
      <c r="BN282" s="116"/>
      <c r="BW282" s="1"/>
      <c r="BX282" s="1"/>
      <c r="BY282" s="1"/>
      <c r="BZ282" s="655"/>
      <c r="CB282" s="656"/>
      <c r="CC282" s="1"/>
      <c r="CD282" s="1"/>
      <c r="CE282" s="1"/>
      <c r="CF282" s="1"/>
      <c r="CG282" s="1"/>
      <c r="CH282" s="1"/>
      <c r="CI282" s="1"/>
      <c r="CJ282" s="1"/>
      <c r="CR282" s="305"/>
      <c r="CT282" s="116"/>
      <c r="DB282" s="1"/>
      <c r="DC282" s="1"/>
      <c r="DD282" s="1"/>
      <c r="DE282" s="1"/>
      <c r="DF282" s="1"/>
      <c r="DG282" s="1"/>
      <c r="DH282" s="1"/>
      <c r="DI282" s="1"/>
      <c r="DJ282" s="655"/>
      <c r="DL282" s="116"/>
    </row>
    <row r="283" spans="2:116" ht="15.75" customHeight="1" x14ac:dyDescent="0.3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874"/>
      <c r="AR283" s="874"/>
      <c r="AS283" s="874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43"/>
      <c r="BN283" s="116"/>
      <c r="BW283" s="1"/>
      <c r="BX283" s="1"/>
      <c r="BY283" s="1"/>
      <c r="BZ283" s="655"/>
      <c r="CB283" s="656"/>
      <c r="CC283" s="1"/>
      <c r="CD283" s="1"/>
      <c r="CE283" s="1"/>
      <c r="CF283" s="1"/>
      <c r="CG283" s="1"/>
      <c r="CH283" s="1"/>
      <c r="CI283" s="1"/>
      <c r="CJ283" s="1"/>
      <c r="CR283" s="305"/>
      <c r="CT283" s="116"/>
      <c r="DB283" s="1"/>
      <c r="DC283" s="1"/>
      <c r="DD283" s="1"/>
      <c r="DE283" s="1"/>
      <c r="DF283" s="1"/>
      <c r="DG283" s="1"/>
      <c r="DH283" s="1"/>
      <c r="DI283" s="1"/>
      <c r="DJ283" s="655"/>
      <c r="DL283" s="116"/>
    </row>
    <row r="284" spans="2:116" ht="15.75" customHeight="1" x14ac:dyDescent="0.3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874"/>
      <c r="AR284" s="874"/>
      <c r="AS284" s="874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43"/>
      <c r="BN284" s="116"/>
      <c r="BW284" s="1"/>
      <c r="BX284" s="1"/>
      <c r="BY284" s="1"/>
      <c r="BZ284" s="655"/>
      <c r="CB284" s="656"/>
      <c r="CC284" s="1"/>
      <c r="CD284" s="1"/>
      <c r="CE284" s="1"/>
      <c r="CF284" s="1"/>
      <c r="CG284" s="1"/>
      <c r="CH284" s="1"/>
      <c r="CI284" s="1"/>
      <c r="CJ284" s="1"/>
      <c r="CR284" s="305"/>
      <c r="CT284" s="116"/>
      <c r="DB284" s="1"/>
      <c r="DC284" s="1"/>
      <c r="DD284" s="1"/>
      <c r="DE284" s="1"/>
      <c r="DF284" s="1"/>
      <c r="DG284" s="1"/>
      <c r="DH284" s="1"/>
      <c r="DI284" s="1"/>
      <c r="DJ284" s="655"/>
      <c r="DL284" s="116"/>
    </row>
    <row r="285" spans="2:116" ht="15.75" customHeight="1" x14ac:dyDescent="0.3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874"/>
      <c r="AR285" s="874"/>
      <c r="AS285" s="874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43"/>
      <c r="BN285" s="116"/>
      <c r="BW285" s="1"/>
      <c r="BX285" s="1"/>
      <c r="BY285" s="1"/>
      <c r="BZ285" s="655"/>
      <c r="CB285" s="656"/>
      <c r="CC285" s="1"/>
      <c r="CD285" s="1"/>
      <c r="CE285" s="1"/>
      <c r="CF285" s="1"/>
      <c r="CG285" s="1"/>
      <c r="CH285" s="1"/>
      <c r="CI285" s="1"/>
      <c r="CJ285" s="1"/>
      <c r="CR285" s="305"/>
      <c r="CT285" s="116"/>
      <c r="DB285" s="1"/>
      <c r="DC285" s="1"/>
      <c r="DD285" s="1"/>
      <c r="DE285" s="1"/>
      <c r="DF285" s="1"/>
      <c r="DG285" s="1"/>
      <c r="DH285" s="1"/>
      <c r="DI285" s="1"/>
      <c r="DJ285" s="655"/>
      <c r="DL285" s="116"/>
    </row>
    <row r="286" spans="2:116" ht="15.75" customHeight="1" x14ac:dyDescent="0.3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874"/>
      <c r="AR286" s="874"/>
      <c r="AS286" s="874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43"/>
      <c r="BN286" s="116"/>
      <c r="BW286" s="1"/>
      <c r="BX286" s="1"/>
      <c r="BY286" s="1"/>
      <c r="BZ286" s="655"/>
      <c r="CB286" s="656"/>
      <c r="CC286" s="1"/>
      <c r="CD286" s="1"/>
      <c r="CE286" s="1"/>
      <c r="CF286" s="1"/>
      <c r="CG286" s="1"/>
      <c r="CH286" s="1"/>
      <c r="CI286" s="1"/>
      <c r="CJ286" s="1"/>
      <c r="CR286" s="305"/>
      <c r="CT286" s="116"/>
      <c r="DB286" s="1"/>
      <c r="DC286" s="1"/>
      <c r="DD286" s="1"/>
      <c r="DE286" s="1"/>
      <c r="DF286" s="1"/>
      <c r="DG286" s="1"/>
      <c r="DH286" s="1"/>
      <c r="DI286" s="1"/>
      <c r="DJ286" s="655"/>
      <c r="DL286" s="116"/>
    </row>
    <row r="287" spans="2:116" ht="15.75" customHeight="1" x14ac:dyDescent="0.3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874"/>
      <c r="AR287" s="874"/>
      <c r="AS287" s="874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43"/>
      <c r="BN287" s="116"/>
      <c r="BW287" s="1"/>
      <c r="BX287" s="1"/>
      <c r="BY287" s="1"/>
      <c r="BZ287" s="655"/>
      <c r="CB287" s="656"/>
      <c r="CC287" s="1"/>
      <c r="CD287" s="1"/>
      <c r="CE287" s="1"/>
      <c r="CF287" s="1"/>
      <c r="CG287" s="1"/>
      <c r="CH287" s="1"/>
      <c r="CI287" s="1"/>
      <c r="CJ287" s="1"/>
      <c r="CR287" s="305"/>
      <c r="CT287" s="116"/>
      <c r="DB287" s="1"/>
      <c r="DC287" s="1"/>
      <c r="DD287" s="1"/>
      <c r="DE287" s="1"/>
      <c r="DF287" s="1"/>
      <c r="DG287" s="1"/>
      <c r="DH287" s="1"/>
      <c r="DI287" s="1"/>
      <c r="DJ287" s="655"/>
      <c r="DL287" s="116"/>
    </row>
    <row r="288" spans="2:116" ht="15.75" customHeight="1" x14ac:dyDescent="0.3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874"/>
      <c r="AR288" s="874"/>
      <c r="AS288" s="874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43"/>
      <c r="BN288" s="116"/>
      <c r="BW288" s="1"/>
      <c r="BX288" s="1"/>
      <c r="BY288" s="1"/>
      <c r="BZ288" s="655"/>
      <c r="CB288" s="656"/>
      <c r="CC288" s="1"/>
      <c r="CD288" s="1"/>
      <c r="CE288" s="1"/>
      <c r="CF288" s="1"/>
      <c r="CG288" s="1"/>
      <c r="CH288" s="1"/>
      <c r="CI288" s="1"/>
      <c r="CJ288" s="1"/>
      <c r="CR288" s="305"/>
      <c r="CT288" s="116"/>
      <c r="DB288" s="1"/>
      <c r="DC288" s="1"/>
      <c r="DD288" s="1"/>
      <c r="DE288" s="1"/>
      <c r="DF288" s="1"/>
      <c r="DG288" s="1"/>
      <c r="DH288" s="1"/>
      <c r="DI288" s="1"/>
      <c r="DJ288" s="655"/>
      <c r="DL288" s="116"/>
    </row>
    <row r="289" spans="2:116" ht="15.75" customHeight="1" x14ac:dyDescent="0.3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874"/>
      <c r="AR289" s="874"/>
      <c r="AS289" s="874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43"/>
      <c r="BN289" s="116"/>
      <c r="BW289" s="1"/>
      <c r="BX289" s="1"/>
      <c r="BY289" s="1"/>
      <c r="BZ289" s="655"/>
      <c r="CB289" s="656"/>
      <c r="CC289" s="1"/>
      <c r="CD289" s="1"/>
      <c r="CE289" s="1"/>
      <c r="CF289" s="1"/>
      <c r="CG289" s="1"/>
      <c r="CH289" s="1"/>
      <c r="CI289" s="1"/>
      <c r="CJ289" s="1"/>
      <c r="CR289" s="305"/>
      <c r="CT289" s="116"/>
      <c r="DB289" s="1"/>
      <c r="DC289" s="1"/>
      <c r="DD289" s="1"/>
      <c r="DE289" s="1"/>
      <c r="DF289" s="1"/>
      <c r="DG289" s="1"/>
      <c r="DH289" s="1"/>
      <c r="DI289" s="1"/>
      <c r="DJ289" s="655"/>
      <c r="DL289" s="116"/>
    </row>
    <row r="290" spans="2:116" ht="15.75" customHeight="1" x14ac:dyDescent="0.3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874"/>
      <c r="AR290" s="874"/>
      <c r="AS290" s="874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43"/>
      <c r="BN290" s="116"/>
      <c r="BW290" s="1"/>
      <c r="BX290" s="1"/>
      <c r="BY290" s="1"/>
      <c r="BZ290" s="655"/>
      <c r="CB290" s="656"/>
      <c r="CC290" s="1"/>
      <c r="CD290" s="1"/>
      <c r="CE290" s="1"/>
      <c r="CF290" s="1"/>
      <c r="CG290" s="1"/>
      <c r="CH290" s="1"/>
      <c r="CI290" s="1"/>
      <c r="CJ290" s="1"/>
      <c r="CR290" s="305"/>
      <c r="CT290" s="116"/>
      <c r="DB290" s="1"/>
      <c r="DC290" s="1"/>
      <c r="DD290" s="1"/>
      <c r="DE290" s="1"/>
      <c r="DF290" s="1"/>
      <c r="DG290" s="1"/>
      <c r="DH290" s="1"/>
      <c r="DI290" s="1"/>
      <c r="DJ290" s="655"/>
      <c r="DL290" s="116"/>
    </row>
    <row r="291" spans="2:116" ht="15.75" customHeight="1" x14ac:dyDescent="0.3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874"/>
      <c r="AR291" s="874"/>
      <c r="AS291" s="874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43"/>
      <c r="BN291" s="116"/>
      <c r="BW291" s="1"/>
      <c r="BX291" s="1"/>
      <c r="BY291" s="1"/>
      <c r="BZ291" s="655"/>
      <c r="CB291" s="656"/>
      <c r="CC291" s="1"/>
      <c r="CD291" s="1"/>
      <c r="CE291" s="1"/>
      <c r="CF291" s="1"/>
      <c r="CG291" s="1"/>
      <c r="CH291" s="1"/>
      <c r="CI291" s="1"/>
      <c r="CJ291" s="1"/>
      <c r="CR291" s="305"/>
      <c r="CT291" s="116"/>
      <c r="DB291" s="1"/>
      <c r="DC291" s="1"/>
      <c r="DD291" s="1"/>
      <c r="DE291" s="1"/>
      <c r="DF291" s="1"/>
      <c r="DG291" s="1"/>
      <c r="DH291" s="1"/>
      <c r="DI291" s="1"/>
      <c r="DJ291" s="655"/>
      <c r="DL291" s="116"/>
    </row>
    <row r="292" spans="2:116" ht="15.75" customHeight="1" x14ac:dyDescent="0.3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874"/>
      <c r="AR292" s="874"/>
      <c r="AS292" s="874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43"/>
      <c r="BN292" s="116"/>
      <c r="BW292" s="1"/>
      <c r="BX292" s="1"/>
      <c r="BY292" s="1"/>
      <c r="BZ292" s="655"/>
      <c r="CB292" s="656"/>
      <c r="CC292" s="1"/>
      <c r="CD292" s="1"/>
      <c r="CE292" s="1"/>
      <c r="CF292" s="1"/>
      <c r="CG292" s="1"/>
      <c r="CH292" s="1"/>
      <c r="CI292" s="1"/>
      <c r="CJ292" s="1"/>
      <c r="CR292" s="305"/>
      <c r="CT292" s="116"/>
      <c r="DB292" s="1"/>
      <c r="DC292" s="1"/>
      <c r="DD292" s="1"/>
      <c r="DE292" s="1"/>
      <c r="DF292" s="1"/>
      <c r="DG292" s="1"/>
      <c r="DH292" s="1"/>
      <c r="DI292" s="1"/>
      <c r="DJ292" s="655"/>
      <c r="DL292" s="116"/>
    </row>
    <row r="293" spans="2:116" ht="15.75" customHeight="1" x14ac:dyDescent="0.3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874"/>
      <c r="AR293" s="874"/>
      <c r="AS293" s="874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43"/>
      <c r="BN293" s="116"/>
      <c r="BW293" s="1"/>
      <c r="BX293" s="1"/>
      <c r="BY293" s="1"/>
      <c r="BZ293" s="655"/>
      <c r="CB293" s="656"/>
      <c r="CC293" s="1"/>
      <c r="CD293" s="1"/>
      <c r="CE293" s="1"/>
      <c r="CF293" s="1"/>
      <c r="CG293" s="1"/>
      <c r="CH293" s="1"/>
      <c r="CI293" s="1"/>
      <c r="CJ293" s="1"/>
      <c r="CR293" s="305"/>
      <c r="CT293" s="116"/>
      <c r="DB293" s="1"/>
      <c r="DC293" s="1"/>
      <c r="DD293" s="1"/>
      <c r="DE293" s="1"/>
      <c r="DF293" s="1"/>
      <c r="DG293" s="1"/>
      <c r="DH293" s="1"/>
      <c r="DI293" s="1"/>
      <c r="DJ293" s="655"/>
      <c r="DL293" s="116"/>
    </row>
    <row r="294" spans="2:116" ht="15.75" customHeight="1" x14ac:dyDescent="0.3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874"/>
      <c r="AR294" s="874"/>
      <c r="AS294" s="874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43"/>
      <c r="BN294" s="116"/>
      <c r="BW294" s="1"/>
      <c r="BX294" s="1"/>
      <c r="BY294" s="1"/>
      <c r="BZ294" s="655"/>
      <c r="CB294" s="656"/>
      <c r="CC294" s="1"/>
      <c r="CD294" s="1"/>
      <c r="CE294" s="1"/>
      <c r="CF294" s="1"/>
      <c r="CG294" s="1"/>
      <c r="CH294" s="1"/>
      <c r="CI294" s="1"/>
      <c r="CJ294" s="1"/>
      <c r="CR294" s="305"/>
      <c r="CT294" s="116"/>
      <c r="DB294" s="1"/>
      <c r="DC294" s="1"/>
      <c r="DD294" s="1"/>
      <c r="DE294" s="1"/>
      <c r="DF294" s="1"/>
      <c r="DG294" s="1"/>
      <c r="DH294" s="1"/>
      <c r="DI294" s="1"/>
      <c r="DJ294" s="655"/>
      <c r="DL294" s="116"/>
    </row>
    <row r="295" spans="2:116" ht="15.75" customHeight="1" x14ac:dyDescent="0.3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874"/>
      <c r="AR295" s="874"/>
      <c r="AS295" s="874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43"/>
      <c r="BN295" s="116"/>
      <c r="BW295" s="1"/>
      <c r="BX295" s="1"/>
      <c r="BY295" s="1"/>
      <c r="BZ295" s="655"/>
      <c r="CB295" s="656"/>
      <c r="CC295" s="1"/>
      <c r="CD295" s="1"/>
      <c r="CE295" s="1"/>
      <c r="CF295" s="1"/>
      <c r="CG295" s="1"/>
      <c r="CH295" s="1"/>
      <c r="CI295" s="1"/>
      <c r="CJ295" s="1"/>
      <c r="CR295" s="305"/>
      <c r="CT295" s="116"/>
      <c r="DB295" s="1"/>
      <c r="DC295" s="1"/>
      <c r="DD295" s="1"/>
      <c r="DE295" s="1"/>
      <c r="DF295" s="1"/>
      <c r="DG295" s="1"/>
      <c r="DH295" s="1"/>
      <c r="DI295" s="1"/>
      <c r="DJ295" s="655"/>
      <c r="DL295" s="116"/>
    </row>
    <row r="296" spans="2:116" ht="15.75" customHeight="1" x14ac:dyDescent="0.3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874"/>
      <c r="AR296" s="874"/>
      <c r="AS296" s="874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43"/>
      <c r="BN296" s="116"/>
      <c r="BW296" s="1"/>
      <c r="BX296" s="1"/>
      <c r="BY296" s="1"/>
      <c r="BZ296" s="655"/>
      <c r="CB296" s="656"/>
      <c r="CC296" s="1"/>
      <c r="CD296" s="1"/>
      <c r="CE296" s="1"/>
      <c r="CF296" s="1"/>
      <c r="CG296" s="1"/>
      <c r="CH296" s="1"/>
      <c r="CI296" s="1"/>
      <c r="CJ296" s="1"/>
      <c r="CR296" s="305"/>
      <c r="CT296" s="116"/>
      <c r="DB296" s="1"/>
      <c r="DC296" s="1"/>
      <c r="DD296" s="1"/>
      <c r="DE296" s="1"/>
      <c r="DF296" s="1"/>
      <c r="DG296" s="1"/>
      <c r="DH296" s="1"/>
      <c r="DI296" s="1"/>
      <c r="DJ296" s="655"/>
      <c r="DL296" s="116"/>
    </row>
    <row r="297" spans="2:116" ht="15.75" customHeight="1" x14ac:dyDescent="0.3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874"/>
      <c r="AR297" s="874"/>
      <c r="AS297" s="874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43"/>
      <c r="BN297" s="116"/>
      <c r="BW297" s="1"/>
      <c r="BX297" s="1"/>
      <c r="BY297" s="1"/>
      <c r="BZ297" s="655"/>
      <c r="CB297" s="656"/>
      <c r="CC297" s="1"/>
      <c r="CD297" s="1"/>
      <c r="CE297" s="1"/>
      <c r="CF297" s="1"/>
      <c r="CG297" s="1"/>
      <c r="CH297" s="1"/>
      <c r="CI297" s="1"/>
      <c r="CJ297" s="1"/>
      <c r="CR297" s="305"/>
      <c r="CT297" s="116"/>
      <c r="DB297" s="1"/>
      <c r="DC297" s="1"/>
      <c r="DD297" s="1"/>
      <c r="DE297" s="1"/>
      <c r="DF297" s="1"/>
      <c r="DG297" s="1"/>
      <c r="DH297" s="1"/>
      <c r="DI297" s="1"/>
      <c r="DJ297" s="655"/>
      <c r="DL297" s="116"/>
    </row>
    <row r="298" spans="2:116" ht="15.75" customHeight="1" x14ac:dyDescent="0.3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874"/>
      <c r="AR298" s="874"/>
      <c r="AS298" s="874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43"/>
      <c r="BN298" s="116"/>
      <c r="BW298" s="1"/>
      <c r="BX298" s="1"/>
      <c r="BY298" s="1"/>
      <c r="BZ298" s="655"/>
      <c r="CB298" s="656"/>
      <c r="CC298" s="1"/>
      <c r="CD298" s="1"/>
      <c r="CE298" s="1"/>
      <c r="CF298" s="1"/>
      <c r="CG298" s="1"/>
      <c r="CH298" s="1"/>
      <c r="CI298" s="1"/>
      <c r="CJ298" s="1"/>
      <c r="CR298" s="305"/>
      <c r="CT298" s="116"/>
      <c r="DB298" s="1"/>
      <c r="DC298" s="1"/>
      <c r="DD298" s="1"/>
      <c r="DE298" s="1"/>
      <c r="DF298" s="1"/>
      <c r="DG298" s="1"/>
      <c r="DH298" s="1"/>
      <c r="DI298" s="1"/>
      <c r="DJ298" s="655"/>
      <c r="DL298" s="116"/>
    </row>
    <row r="299" spans="2:116" ht="15.75" customHeight="1" x14ac:dyDescent="0.3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874"/>
      <c r="AR299" s="874"/>
      <c r="AS299" s="874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43"/>
      <c r="BN299" s="116"/>
      <c r="BW299" s="1"/>
      <c r="BX299" s="1"/>
      <c r="BY299" s="1"/>
      <c r="BZ299" s="655"/>
      <c r="CB299" s="656"/>
      <c r="CC299" s="1"/>
      <c r="CD299" s="1"/>
      <c r="CE299" s="1"/>
      <c r="CF299" s="1"/>
      <c r="CG299" s="1"/>
      <c r="CH299" s="1"/>
      <c r="CI299" s="1"/>
      <c r="CJ299" s="1"/>
      <c r="CR299" s="305"/>
      <c r="CT299" s="116"/>
      <c r="DB299" s="1"/>
      <c r="DC299" s="1"/>
      <c r="DD299" s="1"/>
      <c r="DE299" s="1"/>
      <c r="DF299" s="1"/>
      <c r="DG299" s="1"/>
      <c r="DH299" s="1"/>
      <c r="DI299" s="1"/>
      <c r="DJ299" s="655"/>
      <c r="DL299" s="116"/>
    </row>
    <row r="300" spans="2:116" ht="15.75" customHeight="1" x14ac:dyDescent="0.3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874"/>
      <c r="AR300" s="874"/>
      <c r="AS300" s="874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43"/>
      <c r="BN300" s="116"/>
      <c r="BW300" s="1"/>
      <c r="BX300" s="1"/>
      <c r="BY300" s="1"/>
      <c r="BZ300" s="655"/>
      <c r="CB300" s="656"/>
      <c r="CC300" s="1"/>
      <c r="CD300" s="1"/>
      <c r="CE300" s="1"/>
      <c r="CF300" s="1"/>
      <c r="CG300" s="1"/>
      <c r="CH300" s="1"/>
      <c r="CI300" s="1"/>
      <c r="CJ300" s="1"/>
      <c r="CR300" s="305"/>
      <c r="CT300" s="116"/>
      <c r="DB300" s="1"/>
      <c r="DC300" s="1"/>
      <c r="DD300" s="1"/>
      <c r="DE300" s="1"/>
      <c r="DF300" s="1"/>
      <c r="DG300" s="1"/>
      <c r="DH300" s="1"/>
      <c r="DI300" s="1"/>
      <c r="DJ300" s="655"/>
      <c r="DL300" s="116"/>
    </row>
    <row r="301" spans="2:116" ht="15.75" customHeight="1" x14ac:dyDescent="0.3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874"/>
      <c r="AR301" s="874"/>
      <c r="AS301" s="874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43"/>
      <c r="BN301" s="116"/>
      <c r="BW301" s="1"/>
      <c r="BX301" s="1"/>
      <c r="BY301" s="1"/>
      <c r="BZ301" s="655"/>
      <c r="CB301" s="656"/>
      <c r="CC301" s="1"/>
      <c r="CD301" s="1"/>
      <c r="CE301" s="1"/>
      <c r="CF301" s="1"/>
      <c r="CG301" s="1"/>
      <c r="CH301" s="1"/>
      <c r="CI301" s="1"/>
      <c r="CJ301" s="1"/>
      <c r="CR301" s="305"/>
      <c r="CT301" s="116"/>
      <c r="DB301" s="1"/>
      <c r="DC301" s="1"/>
      <c r="DD301" s="1"/>
      <c r="DE301" s="1"/>
      <c r="DF301" s="1"/>
      <c r="DG301" s="1"/>
      <c r="DH301" s="1"/>
      <c r="DI301" s="1"/>
      <c r="DJ301" s="655"/>
      <c r="DL301" s="116"/>
    </row>
    <row r="302" spans="2:116" ht="15.75" customHeight="1" x14ac:dyDescent="0.3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874"/>
      <c r="AR302" s="874"/>
      <c r="AS302" s="874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43"/>
      <c r="BN302" s="116"/>
      <c r="BW302" s="1"/>
      <c r="BX302" s="1"/>
      <c r="BY302" s="1"/>
      <c r="BZ302" s="655"/>
      <c r="CB302" s="656"/>
      <c r="CC302" s="1"/>
      <c r="CD302" s="1"/>
      <c r="CE302" s="1"/>
      <c r="CF302" s="1"/>
      <c r="CG302" s="1"/>
      <c r="CH302" s="1"/>
      <c r="CI302" s="1"/>
      <c r="CJ302" s="1"/>
      <c r="CR302" s="305"/>
      <c r="CT302" s="116"/>
      <c r="DB302" s="1"/>
      <c r="DC302" s="1"/>
      <c r="DD302" s="1"/>
      <c r="DE302" s="1"/>
      <c r="DF302" s="1"/>
      <c r="DG302" s="1"/>
      <c r="DH302" s="1"/>
      <c r="DI302" s="1"/>
      <c r="DJ302" s="655"/>
      <c r="DL302" s="116"/>
    </row>
    <row r="303" spans="2:116" ht="15.75" customHeight="1" x14ac:dyDescent="0.3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874"/>
      <c r="AR303" s="874"/>
      <c r="AS303" s="874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43"/>
      <c r="BN303" s="116"/>
      <c r="BW303" s="1"/>
      <c r="BX303" s="1"/>
      <c r="BY303" s="1"/>
      <c r="BZ303" s="655"/>
      <c r="CB303" s="656"/>
      <c r="CC303" s="1"/>
      <c r="CD303" s="1"/>
      <c r="CE303" s="1"/>
      <c r="CF303" s="1"/>
      <c r="CG303" s="1"/>
      <c r="CH303" s="1"/>
      <c r="CI303" s="1"/>
      <c r="CJ303" s="1"/>
      <c r="CR303" s="305"/>
      <c r="CT303" s="116"/>
      <c r="DB303" s="1"/>
      <c r="DC303" s="1"/>
      <c r="DD303" s="1"/>
      <c r="DE303" s="1"/>
      <c r="DF303" s="1"/>
      <c r="DG303" s="1"/>
      <c r="DH303" s="1"/>
      <c r="DI303" s="1"/>
      <c r="DJ303" s="655"/>
      <c r="DL303" s="116"/>
    </row>
    <row r="304" spans="2:116" ht="15.75" customHeight="1" x14ac:dyDescent="0.3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874"/>
      <c r="AR304" s="874"/>
      <c r="AS304" s="874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43"/>
      <c r="BN304" s="116"/>
      <c r="BW304" s="1"/>
      <c r="BX304" s="1"/>
      <c r="BY304" s="1"/>
      <c r="BZ304" s="655"/>
      <c r="CB304" s="656"/>
      <c r="CC304" s="1"/>
      <c r="CD304" s="1"/>
      <c r="CE304" s="1"/>
      <c r="CF304" s="1"/>
      <c r="CG304" s="1"/>
      <c r="CH304" s="1"/>
      <c r="CI304" s="1"/>
      <c r="CJ304" s="1"/>
      <c r="CR304" s="305"/>
      <c r="CT304" s="116"/>
      <c r="DB304" s="1"/>
      <c r="DC304" s="1"/>
      <c r="DD304" s="1"/>
      <c r="DE304" s="1"/>
      <c r="DF304" s="1"/>
      <c r="DG304" s="1"/>
      <c r="DH304" s="1"/>
      <c r="DI304" s="1"/>
      <c r="DJ304" s="655"/>
      <c r="DL304" s="116"/>
    </row>
    <row r="305" spans="2:116" ht="15.75" customHeight="1" x14ac:dyDescent="0.3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874"/>
      <c r="AR305" s="874"/>
      <c r="AS305" s="874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43"/>
      <c r="BN305" s="116"/>
      <c r="BW305" s="1"/>
      <c r="BX305" s="1"/>
      <c r="BY305" s="1"/>
      <c r="BZ305" s="655"/>
      <c r="CB305" s="656"/>
      <c r="CC305" s="1"/>
      <c r="CD305" s="1"/>
      <c r="CE305" s="1"/>
      <c r="CF305" s="1"/>
      <c r="CG305" s="1"/>
      <c r="CH305" s="1"/>
      <c r="CI305" s="1"/>
      <c r="CJ305" s="1"/>
      <c r="CR305" s="305"/>
      <c r="CT305" s="116"/>
      <c r="DB305" s="1"/>
      <c r="DC305" s="1"/>
      <c r="DD305" s="1"/>
      <c r="DE305" s="1"/>
      <c r="DF305" s="1"/>
      <c r="DG305" s="1"/>
      <c r="DH305" s="1"/>
      <c r="DI305" s="1"/>
      <c r="DJ305" s="655"/>
      <c r="DL305" s="116"/>
    </row>
    <row r="306" spans="2:116" ht="15.75" customHeight="1" x14ac:dyDescent="0.3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874"/>
      <c r="AR306" s="874"/>
      <c r="AS306" s="874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43"/>
      <c r="BN306" s="116"/>
      <c r="BW306" s="1"/>
      <c r="BX306" s="1"/>
      <c r="BY306" s="1"/>
      <c r="BZ306" s="655"/>
      <c r="CB306" s="656"/>
      <c r="CC306" s="1"/>
      <c r="CD306" s="1"/>
      <c r="CE306" s="1"/>
      <c r="CF306" s="1"/>
      <c r="CG306" s="1"/>
      <c r="CH306" s="1"/>
      <c r="CI306" s="1"/>
      <c r="CJ306" s="1"/>
      <c r="CR306" s="305"/>
      <c r="CT306" s="116"/>
      <c r="DB306" s="1"/>
      <c r="DC306" s="1"/>
      <c r="DD306" s="1"/>
      <c r="DE306" s="1"/>
      <c r="DF306" s="1"/>
      <c r="DG306" s="1"/>
      <c r="DH306" s="1"/>
      <c r="DI306" s="1"/>
      <c r="DJ306" s="655"/>
      <c r="DL306" s="116"/>
    </row>
    <row r="307" spans="2:116" ht="15.75" customHeight="1" x14ac:dyDescent="0.3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874"/>
      <c r="AR307" s="874"/>
      <c r="AS307" s="874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43"/>
      <c r="BN307" s="116"/>
      <c r="BW307" s="1"/>
      <c r="BX307" s="1"/>
      <c r="BY307" s="1"/>
      <c r="BZ307" s="655"/>
      <c r="CB307" s="656"/>
      <c r="CC307" s="1"/>
      <c r="CD307" s="1"/>
      <c r="CE307" s="1"/>
      <c r="CF307" s="1"/>
      <c r="CG307" s="1"/>
      <c r="CH307" s="1"/>
      <c r="CI307" s="1"/>
      <c r="CJ307" s="1"/>
      <c r="CR307" s="305"/>
      <c r="CT307" s="116"/>
      <c r="DB307" s="1"/>
      <c r="DC307" s="1"/>
      <c r="DD307" s="1"/>
      <c r="DE307" s="1"/>
      <c r="DF307" s="1"/>
      <c r="DG307" s="1"/>
      <c r="DH307" s="1"/>
      <c r="DI307" s="1"/>
      <c r="DJ307" s="655"/>
      <c r="DL307" s="116"/>
    </row>
    <row r="308" spans="2:116" ht="15.75" customHeight="1" x14ac:dyDescent="0.3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874"/>
      <c r="AR308" s="874"/>
      <c r="AS308" s="874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43"/>
      <c r="BN308" s="116"/>
      <c r="BW308" s="1"/>
      <c r="BX308" s="1"/>
      <c r="BY308" s="1"/>
      <c r="BZ308" s="655"/>
      <c r="CB308" s="656"/>
      <c r="CC308" s="1"/>
      <c r="CD308" s="1"/>
      <c r="CE308" s="1"/>
      <c r="CF308" s="1"/>
      <c r="CG308" s="1"/>
      <c r="CH308" s="1"/>
      <c r="CI308" s="1"/>
      <c r="CJ308" s="1"/>
      <c r="CR308" s="305"/>
      <c r="CT308" s="116"/>
      <c r="DB308" s="1"/>
      <c r="DC308" s="1"/>
      <c r="DD308" s="1"/>
      <c r="DE308" s="1"/>
      <c r="DF308" s="1"/>
      <c r="DG308" s="1"/>
      <c r="DH308" s="1"/>
      <c r="DI308" s="1"/>
      <c r="DJ308" s="655"/>
      <c r="DL308" s="116"/>
    </row>
    <row r="309" spans="2:116" ht="15.75" customHeight="1" x14ac:dyDescent="0.3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874"/>
      <c r="AR309" s="874"/>
      <c r="AS309" s="874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43"/>
      <c r="BN309" s="116"/>
      <c r="BW309" s="1"/>
      <c r="BX309" s="1"/>
      <c r="BY309" s="1"/>
      <c r="BZ309" s="655"/>
      <c r="CB309" s="656"/>
      <c r="CC309" s="1"/>
      <c r="CD309" s="1"/>
      <c r="CE309" s="1"/>
      <c r="CF309" s="1"/>
      <c r="CG309" s="1"/>
      <c r="CH309" s="1"/>
      <c r="CI309" s="1"/>
      <c r="CJ309" s="1"/>
      <c r="CR309" s="305"/>
      <c r="CT309" s="116"/>
      <c r="DB309" s="1"/>
      <c r="DC309" s="1"/>
      <c r="DD309" s="1"/>
      <c r="DE309" s="1"/>
      <c r="DF309" s="1"/>
      <c r="DG309" s="1"/>
      <c r="DH309" s="1"/>
      <c r="DI309" s="1"/>
      <c r="DJ309" s="655"/>
      <c r="DL309" s="116"/>
    </row>
    <row r="310" spans="2:116" ht="15.75" customHeight="1" x14ac:dyDescent="0.3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874"/>
      <c r="AR310" s="874"/>
      <c r="AS310" s="874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43"/>
      <c r="BN310" s="116"/>
      <c r="BW310" s="1"/>
      <c r="BX310" s="1"/>
      <c r="BY310" s="1"/>
      <c r="BZ310" s="655"/>
      <c r="CB310" s="656"/>
      <c r="CC310" s="1"/>
      <c r="CD310" s="1"/>
      <c r="CE310" s="1"/>
      <c r="CF310" s="1"/>
      <c r="CG310" s="1"/>
      <c r="CH310" s="1"/>
      <c r="CI310" s="1"/>
      <c r="CJ310" s="1"/>
      <c r="CR310" s="305"/>
      <c r="CT310" s="116"/>
      <c r="DB310" s="1"/>
      <c r="DC310" s="1"/>
      <c r="DD310" s="1"/>
      <c r="DE310" s="1"/>
      <c r="DF310" s="1"/>
      <c r="DG310" s="1"/>
      <c r="DH310" s="1"/>
      <c r="DI310" s="1"/>
      <c r="DJ310" s="655"/>
      <c r="DL310" s="116"/>
    </row>
    <row r="311" spans="2:116" ht="15.75" customHeight="1" x14ac:dyDescent="0.3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874"/>
      <c r="AR311" s="874"/>
      <c r="AS311" s="874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43"/>
      <c r="BN311" s="116"/>
      <c r="BW311" s="1"/>
      <c r="BX311" s="1"/>
      <c r="BY311" s="1"/>
      <c r="BZ311" s="655"/>
      <c r="CB311" s="656"/>
      <c r="CC311" s="1"/>
      <c r="CD311" s="1"/>
      <c r="CE311" s="1"/>
      <c r="CF311" s="1"/>
      <c r="CG311" s="1"/>
      <c r="CH311" s="1"/>
      <c r="CI311" s="1"/>
      <c r="CJ311" s="1"/>
      <c r="CR311" s="305"/>
      <c r="CT311" s="116"/>
      <c r="DB311" s="1"/>
      <c r="DC311" s="1"/>
      <c r="DD311" s="1"/>
      <c r="DE311" s="1"/>
      <c r="DF311" s="1"/>
      <c r="DG311" s="1"/>
      <c r="DH311" s="1"/>
      <c r="DI311" s="1"/>
      <c r="DJ311" s="655"/>
      <c r="DL311" s="116"/>
    </row>
    <row r="312" spans="2:116" ht="15.75" customHeight="1" x14ac:dyDescent="0.3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874"/>
      <c r="AR312" s="874"/>
      <c r="AS312" s="874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43"/>
      <c r="BN312" s="116"/>
      <c r="BW312" s="1"/>
      <c r="BX312" s="1"/>
      <c r="BY312" s="1"/>
      <c r="BZ312" s="655"/>
      <c r="CB312" s="656"/>
      <c r="CC312" s="1"/>
      <c r="CD312" s="1"/>
      <c r="CE312" s="1"/>
      <c r="CF312" s="1"/>
      <c r="CG312" s="1"/>
      <c r="CH312" s="1"/>
      <c r="CI312" s="1"/>
      <c r="CJ312" s="1"/>
      <c r="CR312" s="305"/>
      <c r="CT312" s="116"/>
      <c r="DB312" s="1"/>
      <c r="DC312" s="1"/>
      <c r="DD312" s="1"/>
      <c r="DE312" s="1"/>
      <c r="DF312" s="1"/>
      <c r="DG312" s="1"/>
      <c r="DH312" s="1"/>
      <c r="DI312" s="1"/>
      <c r="DJ312" s="655"/>
      <c r="DL312" s="116"/>
    </row>
    <row r="313" spans="2:116" ht="15.75" customHeight="1" x14ac:dyDescent="0.3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874"/>
      <c r="AR313" s="874"/>
      <c r="AS313" s="874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43"/>
      <c r="BN313" s="116"/>
      <c r="BW313" s="1"/>
      <c r="BX313" s="1"/>
      <c r="BY313" s="1"/>
      <c r="BZ313" s="655"/>
      <c r="CB313" s="656"/>
      <c r="CC313" s="1"/>
      <c r="CD313" s="1"/>
      <c r="CE313" s="1"/>
      <c r="CF313" s="1"/>
      <c r="CG313" s="1"/>
      <c r="CH313" s="1"/>
      <c r="CI313" s="1"/>
      <c r="CJ313" s="1"/>
      <c r="CR313" s="305"/>
      <c r="CT313" s="116"/>
      <c r="DB313" s="1"/>
      <c r="DC313" s="1"/>
      <c r="DD313" s="1"/>
      <c r="DE313" s="1"/>
      <c r="DF313" s="1"/>
      <c r="DG313" s="1"/>
      <c r="DH313" s="1"/>
      <c r="DI313" s="1"/>
      <c r="DJ313" s="655"/>
      <c r="DL313" s="116"/>
    </row>
    <row r="314" spans="2:116" ht="15.75" customHeight="1" x14ac:dyDescent="0.3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874"/>
      <c r="AR314" s="874"/>
      <c r="AS314" s="874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43"/>
      <c r="BN314" s="116"/>
      <c r="BW314" s="1"/>
      <c r="BX314" s="1"/>
      <c r="BY314" s="1"/>
      <c r="BZ314" s="655"/>
      <c r="CB314" s="656"/>
      <c r="CC314" s="1"/>
      <c r="CD314" s="1"/>
      <c r="CE314" s="1"/>
      <c r="CF314" s="1"/>
      <c r="CG314" s="1"/>
      <c r="CH314" s="1"/>
      <c r="CI314" s="1"/>
      <c r="CJ314" s="1"/>
      <c r="CR314" s="305"/>
      <c r="CT314" s="116"/>
      <c r="DB314" s="1"/>
      <c r="DC314" s="1"/>
      <c r="DD314" s="1"/>
      <c r="DE314" s="1"/>
      <c r="DF314" s="1"/>
      <c r="DG314" s="1"/>
      <c r="DH314" s="1"/>
      <c r="DI314" s="1"/>
      <c r="DJ314" s="655"/>
      <c r="DL314" s="116"/>
    </row>
    <row r="315" spans="2:116" ht="15.75" customHeight="1" x14ac:dyDescent="0.3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874"/>
      <c r="AR315" s="874"/>
      <c r="AS315" s="874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43"/>
      <c r="BN315" s="116"/>
      <c r="BW315" s="1"/>
      <c r="BX315" s="1"/>
      <c r="BY315" s="1"/>
      <c r="BZ315" s="655"/>
      <c r="CB315" s="656"/>
      <c r="CC315" s="1"/>
      <c r="CD315" s="1"/>
      <c r="CE315" s="1"/>
      <c r="CF315" s="1"/>
      <c r="CG315" s="1"/>
      <c r="CH315" s="1"/>
      <c r="CI315" s="1"/>
      <c r="CJ315" s="1"/>
      <c r="CR315" s="305"/>
      <c r="CT315" s="116"/>
      <c r="DB315" s="1"/>
      <c r="DC315" s="1"/>
      <c r="DD315" s="1"/>
      <c r="DE315" s="1"/>
      <c r="DF315" s="1"/>
      <c r="DG315" s="1"/>
      <c r="DH315" s="1"/>
      <c r="DI315" s="1"/>
      <c r="DJ315" s="655"/>
      <c r="DL315" s="116"/>
    </row>
    <row r="316" spans="2:116" ht="15.75" customHeight="1" x14ac:dyDescent="0.3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874"/>
      <c r="AR316" s="874"/>
      <c r="AS316" s="874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43"/>
      <c r="BN316" s="116"/>
      <c r="BW316" s="1"/>
      <c r="BX316" s="1"/>
      <c r="BY316" s="1"/>
      <c r="BZ316" s="655"/>
      <c r="CB316" s="656"/>
      <c r="CC316" s="1"/>
      <c r="CD316" s="1"/>
      <c r="CE316" s="1"/>
      <c r="CF316" s="1"/>
      <c r="CG316" s="1"/>
      <c r="CH316" s="1"/>
      <c r="CI316" s="1"/>
      <c r="CJ316" s="1"/>
      <c r="CR316" s="305"/>
      <c r="CT316" s="116"/>
      <c r="DB316" s="1"/>
      <c r="DC316" s="1"/>
      <c r="DD316" s="1"/>
      <c r="DE316" s="1"/>
      <c r="DF316" s="1"/>
      <c r="DG316" s="1"/>
      <c r="DH316" s="1"/>
      <c r="DI316" s="1"/>
      <c r="DJ316" s="655"/>
      <c r="DL316" s="116"/>
    </row>
    <row r="317" spans="2:116" ht="15.75" customHeight="1" x14ac:dyDescent="0.3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874"/>
      <c r="AR317" s="874"/>
      <c r="AS317" s="874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43"/>
      <c r="BN317" s="116"/>
      <c r="BW317" s="1"/>
      <c r="BX317" s="1"/>
      <c r="BY317" s="1"/>
      <c r="BZ317" s="655"/>
      <c r="CB317" s="656"/>
      <c r="CC317" s="1"/>
      <c r="CD317" s="1"/>
      <c r="CE317" s="1"/>
      <c r="CF317" s="1"/>
      <c r="CG317" s="1"/>
      <c r="CH317" s="1"/>
      <c r="CI317" s="1"/>
      <c r="CJ317" s="1"/>
      <c r="CR317" s="305"/>
      <c r="CT317" s="116"/>
      <c r="DB317" s="1"/>
      <c r="DC317" s="1"/>
      <c r="DD317" s="1"/>
      <c r="DE317" s="1"/>
      <c r="DF317" s="1"/>
      <c r="DG317" s="1"/>
      <c r="DH317" s="1"/>
      <c r="DI317" s="1"/>
      <c r="DJ317" s="655"/>
      <c r="DL317" s="116"/>
    </row>
    <row r="318" spans="2:116" ht="15.75" customHeight="1" x14ac:dyDescent="0.3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874"/>
      <c r="AR318" s="874"/>
      <c r="AS318" s="874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43"/>
      <c r="BN318" s="116"/>
      <c r="BW318" s="1"/>
      <c r="BX318" s="1"/>
      <c r="BY318" s="1"/>
      <c r="BZ318" s="655"/>
      <c r="CB318" s="656"/>
      <c r="CC318" s="1"/>
      <c r="CD318" s="1"/>
      <c r="CE318" s="1"/>
      <c r="CF318" s="1"/>
      <c r="CG318" s="1"/>
      <c r="CH318" s="1"/>
      <c r="CI318" s="1"/>
      <c r="CJ318" s="1"/>
      <c r="CR318" s="305"/>
      <c r="CT318" s="116"/>
      <c r="DB318" s="1"/>
      <c r="DC318" s="1"/>
      <c r="DD318" s="1"/>
      <c r="DE318" s="1"/>
      <c r="DF318" s="1"/>
      <c r="DG318" s="1"/>
      <c r="DH318" s="1"/>
      <c r="DI318" s="1"/>
      <c r="DJ318" s="655"/>
      <c r="DL318" s="116"/>
    </row>
    <row r="319" spans="2:116" ht="15.75" customHeight="1" x14ac:dyDescent="0.3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874"/>
      <c r="AR319" s="874"/>
      <c r="AS319" s="874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43"/>
      <c r="BN319" s="116"/>
      <c r="BW319" s="1"/>
      <c r="BX319" s="1"/>
      <c r="BY319" s="1"/>
      <c r="BZ319" s="655"/>
      <c r="CB319" s="656"/>
      <c r="CC319" s="1"/>
      <c r="CD319" s="1"/>
      <c r="CE319" s="1"/>
      <c r="CF319" s="1"/>
      <c r="CG319" s="1"/>
      <c r="CH319" s="1"/>
      <c r="CI319" s="1"/>
      <c r="CJ319" s="1"/>
      <c r="CR319" s="305"/>
      <c r="CT319" s="116"/>
      <c r="DB319" s="1"/>
      <c r="DC319" s="1"/>
      <c r="DD319" s="1"/>
      <c r="DE319" s="1"/>
      <c r="DF319" s="1"/>
      <c r="DG319" s="1"/>
      <c r="DH319" s="1"/>
      <c r="DI319" s="1"/>
      <c r="DJ319" s="655"/>
      <c r="DL319" s="116"/>
    </row>
    <row r="320" spans="2:116" ht="15.75" customHeight="1" x14ac:dyDescent="0.3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874"/>
      <c r="AR320" s="874"/>
      <c r="AS320" s="874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43"/>
      <c r="BN320" s="116"/>
      <c r="BW320" s="1"/>
      <c r="BX320" s="1"/>
      <c r="BY320" s="1"/>
      <c r="BZ320" s="655"/>
      <c r="CB320" s="656"/>
      <c r="CC320" s="1"/>
      <c r="CD320" s="1"/>
      <c r="CE320" s="1"/>
      <c r="CF320" s="1"/>
      <c r="CG320" s="1"/>
      <c r="CH320" s="1"/>
      <c r="CI320" s="1"/>
      <c r="CJ320" s="1"/>
      <c r="CR320" s="305"/>
      <c r="CT320" s="116"/>
      <c r="DB320" s="1"/>
      <c r="DC320" s="1"/>
      <c r="DD320" s="1"/>
      <c r="DE320" s="1"/>
      <c r="DF320" s="1"/>
      <c r="DG320" s="1"/>
      <c r="DH320" s="1"/>
      <c r="DI320" s="1"/>
      <c r="DJ320" s="655"/>
      <c r="DL320" s="116"/>
    </row>
    <row r="321" spans="2:116" ht="15.75" customHeight="1" x14ac:dyDescent="0.3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874"/>
      <c r="AR321" s="874"/>
      <c r="AS321" s="874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43"/>
      <c r="BN321" s="116"/>
      <c r="BW321" s="1"/>
      <c r="BX321" s="1"/>
      <c r="BY321" s="1"/>
      <c r="BZ321" s="655"/>
      <c r="CB321" s="656"/>
      <c r="CC321" s="1"/>
      <c r="CD321" s="1"/>
      <c r="CE321" s="1"/>
      <c r="CF321" s="1"/>
      <c r="CG321" s="1"/>
      <c r="CH321" s="1"/>
      <c r="CI321" s="1"/>
      <c r="CJ321" s="1"/>
      <c r="CR321" s="305"/>
      <c r="CT321" s="116"/>
      <c r="DB321" s="1"/>
      <c r="DC321" s="1"/>
      <c r="DD321" s="1"/>
      <c r="DE321" s="1"/>
      <c r="DF321" s="1"/>
      <c r="DG321" s="1"/>
      <c r="DH321" s="1"/>
      <c r="DI321" s="1"/>
      <c r="DJ321" s="655"/>
      <c r="DL321" s="116"/>
    </row>
    <row r="322" spans="2:116" ht="15.75" customHeight="1" x14ac:dyDescent="0.3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874"/>
      <c r="AR322" s="874"/>
      <c r="AS322" s="874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43"/>
      <c r="BN322" s="116"/>
      <c r="BW322" s="1"/>
      <c r="BX322" s="1"/>
      <c r="BY322" s="1"/>
      <c r="BZ322" s="655"/>
      <c r="CB322" s="656"/>
      <c r="CC322" s="1"/>
      <c r="CD322" s="1"/>
      <c r="CE322" s="1"/>
      <c r="CF322" s="1"/>
      <c r="CG322" s="1"/>
      <c r="CH322" s="1"/>
      <c r="CI322" s="1"/>
      <c r="CJ322" s="1"/>
      <c r="CR322" s="305"/>
      <c r="CT322" s="116"/>
      <c r="DB322" s="1"/>
      <c r="DC322" s="1"/>
      <c r="DD322" s="1"/>
      <c r="DE322" s="1"/>
      <c r="DF322" s="1"/>
      <c r="DG322" s="1"/>
      <c r="DH322" s="1"/>
      <c r="DI322" s="1"/>
      <c r="DJ322" s="655"/>
      <c r="DL322" s="116"/>
    </row>
    <row r="323" spans="2:116" ht="15.75" customHeight="1" x14ac:dyDescent="0.3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874"/>
      <c r="AR323" s="874"/>
      <c r="AS323" s="874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43"/>
      <c r="BN323" s="116"/>
      <c r="BW323" s="1"/>
      <c r="BX323" s="1"/>
      <c r="BY323" s="1"/>
      <c r="BZ323" s="655"/>
      <c r="CB323" s="656"/>
      <c r="CC323" s="1"/>
      <c r="CD323" s="1"/>
      <c r="CE323" s="1"/>
      <c r="CF323" s="1"/>
      <c r="CG323" s="1"/>
      <c r="CH323" s="1"/>
      <c r="CI323" s="1"/>
      <c r="CJ323" s="1"/>
      <c r="CR323" s="305"/>
      <c r="CT323" s="116"/>
      <c r="DB323" s="1"/>
      <c r="DC323" s="1"/>
      <c r="DD323" s="1"/>
      <c r="DE323" s="1"/>
      <c r="DF323" s="1"/>
      <c r="DG323" s="1"/>
      <c r="DH323" s="1"/>
      <c r="DI323" s="1"/>
      <c r="DJ323" s="655"/>
      <c r="DL323" s="116"/>
    </row>
    <row r="324" spans="2:116" ht="15.75" customHeight="1" x14ac:dyDescent="0.3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874"/>
      <c r="AR324" s="874"/>
      <c r="AS324" s="874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43"/>
      <c r="BN324" s="116"/>
      <c r="BW324" s="1"/>
      <c r="BX324" s="1"/>
      <c r="BY324" s="1"/>
      <c r="BZ324" s="655"/>
      <c r="CB324" s="656"/>
      <c r="CC324" s="1"/>
      <c r="CD324" s="1"/>
      <c r="CE324" s="1"/>
      <c r="CF324" s="1"/>
      <c r="CG324" s="1"/>
      <c r="CH324" s="1"/>
      <c r="CI324" s="1"/>
      <c r="CJ324" s="1"/>
      <c r="CR324" s="305"/>
      <c r="CT324" s="116"/>
      <c r="DB324" s="1"/>
      <c r="DC324" s="1"/>
      <c r="DD324" s="1"/>
      <c r="DE324" s="1"/>
      <c r="DF324" s="1"/>
      <c r="DG324" s="1"/>
      <c r="DH324" s="1"/>
      <c r="DI324" s="1"/>
      <c r="DJ324" s="655"/>
      <c r="DL324" s="116"/>
    </row>
    <row r="325" spans="2:116" ht="15.75" customHeight="1" x14ac:dyDescent="0.3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874"/>
      <c r="AR325" s="874"/>
      <c r="AS325" s="874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43"/>
      <c r="BN325" s="116"/>
      <c r="BW325" s="1"/>
      <c r="BX325" s="1"/>
      <c r="BY325" s="1"/>
      <c r="BZ325" s="655"/>
      <c r="CB325" s="656"/>
      <c r="CC325" s="1"/>
      <c r="CD325" s="1"/>
      <c r="CE325" s="1"/>
      <c r="CF325" s="1"/>
      <c r="CG325" s="1"/>
      <c r="CH325" s="1"/>
      <c r="CI325" s="1"/>
      <c r="CJ325" s="1"/>
      <c r="CR325" s="305"/>
      <c r="CT325" s="116"/>
      <c r="DB325" s="1"/>
      <c r="DC325" s="1"/>
      <c r="DD325" s="1"/>
      <c r="DE325" s="1"/>
      <c r="DF325" s="1"/>
      <c r="DG325" s="1"/>
      <c r="DH325" s="1"/>
      <c r="DI325" s="1"/>
      <c r="DJ325" s="655"/>
      <c r="DL325" s="116"/>
    </row>
    <row r="326" spans="2:116" ht="15.75" customHeight="1" x14ac:dyDescent="0.3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874"/>
      <c r="AR326" s="874"/>
      <c r="AS326" s="874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43"/>
      <c r="BN326" s="116"/>
      <c r="BW326" s="1"/>
      <c r="BX326" s="1"/>
      <c r="BY326" s="1"/>
      <c r="BZ326" s="655"/>
      <c r="CB326" s="656"/>
      <c r="CC326" s="1"/>
      <c r="CD326" s="1"/>
      <c r="CE326" s="1"/>
      <c r="CF326" s="1"/>
      <c r="CG326" s="1"/>
      <c r="CH326" s="1"/>
      <c r="CI326" s="1"/>
      <c r="CJ326" s="1"/>
      <c r="CR326" s="305"/>
      <c r="CT326" s="116"/>
      <c r="DB326" s="1"/>
      <c r="DC326" s="1"/>
      <c r="DD326" s="1"/>
      <c r="DE326" s="1"/>
      <c r="DF326" s="1"/>
      <c r="DG326" s="1"/>
      <c r="DH326" s="1"/>
      <c r="DI326" s="1"/>
      <c r="DJ326" s="655"/>
      <c r="DL326" s="116"/>
    </row>
    <row r="327" spans="2:116" ht="15.75" customHeight="1" x14ac:dyDescent="0.3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874"/>
      <c r="AR327" s="874"/>
      <c r="AS327" s="874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43"/>
      <c r="BN327" s="116"/>
      <c r="BW327" s="1"/>
      <c r="BX327" s="1"/>
      <c r="BY327" s="1"/>
      <c r="BZ327" s="655"/>
      <c r="CB327" s="656"/>
      <c r="CC327" s="1"/>
      <c r="CD327" s="1"/>
      <c r="CE327" s="1"/>
      <c r="CF327" s="1"/>
      <c r="CG327" s="1"/>
      <c r="CH327" s="1"/>
      <c r="CI327" s="1"/>
      <c r="CJ327" s="1"/>
      <c r="CR327" s="305"/>
      <c r="CT327" s="116"/>
      <c r="DB327" s="1"/>
      <c r="DC327" s="1"/>
      <c r="DD327" s="1"/>
      <c r="DE327" s="1"/>
      <c r="DF327" s="1"/>
      <c r="DG327" s="1"/>
      <c r="DH327" s="1"/>
      <c r="DI327" s="1"/>
      <c r="DJ327" s="655"/>
      <c r="DL327" s="116"/>
    </row>
    <row r="328" spans="2:116" ht="15.75" customHeight="1" x14ac:dyDescent="0.3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874"/>
      <c r="AR328" s="874"/>
      <c r="AS328" s="874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43"/>
      <c r="BN328" s="116"/>
      <c r="BW328" s="1"/>
      <c r="BX328" s="1"/>
      <c r="BY328" s="1"/>
      <c r="BZ328" s="655"/>
      <c r="CB328" s="656"/>
      <c r="CC328" s="1"/>
      <c r="CD328" s="1"/>
      <c r="CE328" s="1"/>
      <c r="CF328" s="1"/>
      <c r="CG328" s="1"/>
      <c r="CH328" s="1"/>
      <c r="CI328" s="1"/>
      <c r="CJ328" s="1"/>
      <c r="CR328" s="305"/>
      <c r="CT328" s="116"/>
      <c r="DB328" s="1"/>
      <c r="DC328" s="1"/>
      <c r="DD328" s="1"/>
      <c r="DE328" s="1"/>
      <c r="DF328" s="1"/>
      <c r="DG328" s="1"/>
      <c r="DH328" s="1"/>
      <c r="DI328" s="1"/>
      <c r="DJ328" s="655"/>
      <c r="DL328" s="116"/>
    </row>
    <row r="329" spans="2:116" ht="15.75" customHeight="1" x14ac:dyDescent="0.3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874"/>
      <c r="AR329" s="874"/>
      <c r="AS329" s="874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43"/>
      <c r="BN329" s="116"/>
      <c r="BW329" s="1"/>
      <c r="BX329" s="1"/>
      <c r="BY329" s="1"/>
      <c r="BZ329" s="655"/>
      <c r="CB329" s="656"/>
      <c r="CC329" s="1"/>
      <c r="CD329" s="1"/>
      <c r="CE329" s="1"/>
      <c r="CF329" s="1"/>
      <c r="CG329" s="1"/>
      <c r="CH329" s="1"/>
      <c r="CI329" s="1"/>
      <c r="CJ329" s="1"/>
      <c r="CR329" s="305"/>
      <c r="CT329" s="116"/>
      <c r="DB329" s="1"/>
      <c r="DC329" s="1"/>
      <c r="DD329" s="1"/>
      <c r="DE329" s="1"/>
      <c r="DF329" s="1"/>
      <c r="DG329" s="1"/>
      <c r="DH329" s="1"/>
      <c r="DI329" s="1"/>
      <c r="DJ329" s="655"/>
      <c r="DL329" s="116"/>
    </row>
    <row r="330" spans="2:116" ht="15.75" customHeight="1" x14ac:dyDescent="0.3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874"/>
      <c r="AR330" s="874"/>
      <c r="AS330" s="874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43"/>
      <c r="BN330" s="116"/>
      <c r="BW330" s="1"/>
      <c r="BX330" s="1"/>
      <c r="BY330" s="1"/>
      <c r="BZ330" s="655"/>
      <c r="CB330" s="656"/>
      <c r="CC330" s="1"/>
      <c r="CD330" s="1"/>
      <c r="CE330" s="1"/>
      <c r="CF330" s="1"/>
      <c r="CG330" s="1"/>
      <c r="CH330" s="1"/>
      <c r="CI330" s="1"/>
      <c r="CJ330" s="1"/>
      <c r="CR330" s="305"/>
      <c r="CT330" s="116"/>
      <c r="DB330" s="1"/>
      <c r="DC330" s="1"/>
      <c r="DD330" s="1"/>
      <c r="DE330" s="1"/>
      <c r="DF330" s="1"/>
      <c r="DG330" s="1"/>
      <c r="DH330" s="1"/>
      <c r="DI330" s="1"/>
      <c r="DJ330" s="655"/>
      <c r="DL330" s="116"/>
    </row>
    <row r="331" spans="2:116" ht="15.75" customHeight="1" x14ac:dyDescent="0.3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874"/>
      <c r="AR331" s="874"/>
      <c r="AS331" s="874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43"/>
      <c r="BN331" s="116"/>
      <c r="BW331" s="1"/>
      <c r="BX331" s="1"/>
      <c r="BY331" s="1"/>
      <c r="BZ331" s="655"/>
      <c r="CB331" s="656"/>
      <c r="CC331" s="1"/>
      <c r="CD331" s="1"/>
      <c r="CE331" s="1"/>
      <c r="CF331" s="1"/>
      <c r="CG331" s="1"/>
      <c r="CH331" s="1"/>
      <c r="CI331" s="1"/>
      <c r="CJ331" s="1"/>
      <c r="CR331" s="305"/>
      <c r="CT331" s="116"/>
      <c r="DB331" s="1"/>
      <c r="DC331" s="1"/>
      <c r="DD331" s="1"/>
      <c r="DE331" s="1"/>
      <c r="DF331" s="1"/>
      <c r="DG331" s="1"/>
      <c r="DH331" s="1"/>
      <c r="DI331" s="1"/>
      <c r="DJ331" s="655"/>
      <c r="DL331" s="116"/>
    </row>
    <row r="332" spans="2:116" ht="15.75" customHeight="1" x14ac:dyDescent="0.3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874"/>
      <c r="AR332" s="874"/>
      <c r="AS332" s="874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43"/>
      <c r="BN332" s="116"/>
      <c r="BW332" s="1"/>
      <c r="BX332" s="1"/>
      <c r="BY332" s="1"/>
      <c r="BZ332" s="655"/>
      <c r="CB332" s="656"/>
      <c r="CC332" s="1"/>
      <c r="CD332" s="1"/>
      <c r="CE332" s="1"/>
      <c r="CF332" s="1"/>
      <c r="CG332" s="1"/>
      <c r="CH332" s="1"/>
      <c r="CI332" s="1"/>
      <c r="CJ332" s="1"/>
      <c r="CR332" s="305"/>
      <c r="CT332" s="116"/>
      <c r="DB332" s="1"/>
      <c r="DC332" s="1"/>
      <c r="DD332" s="1"/>
      <c r="DE332" s="1"/>
      <c r="DF332" s="1"/>
      <c r="DG332" s="1"/>
      <c r="DH332" s="1"/>
      <c r="DI332" s="1"/>
      <c r="DJ332" s="655"/>
      <c r="DL332" s="116"/>
    </row>
    <row r="333" spans="2:116" ht="15.75" customHeight="1" x14ac:dyDescent="0.3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874"/>
      <c r="AR333" s="874"/>
      <c r="AS333" s="874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43"/>
      <c r="BN333" s="116"/>
      <c r="BW333" s="1"/>
      <c r="BX333" s="1"/>
      <c r="BY333" s="1"/>
      <c r="BZ333" s="655"/>
      <c r="CB333" s="656"/>
      <c r="CC333" s="1"/>
      <c r="CD333" s="1"/>
      <c r="CE333" s="1"/>
      <c r="CF333" s="1"/>
      <c r="CG333" s="1"/>
      <c r="CH333" s="1"/>
      <c r="CI333" s="1"/>
      <c r="CJ333" s="1"/>
      <c r="CR333" s="305"/>
      <c r="CT333" s="116"/>
      <c r="DB333" s="1"/>
      <c r="DC333" s="1"/>
      <c r="DD333" s="1"/>
      <c r="DE333" s="1"/>
      <c r="DF333" s="1"/>
      <c r="DG333" s="1"/>
      <c r="DH333" s="1"/>
      <c r="DI333" s="1"/>
      <c r="DJ333" s="655"/>
      <c r="DL333" s="116"/>
    </row>
    <row r="334" spans="2:116" ht="15.75" customHeight="1" x14ac:dyDescent="0.3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874"/>
      <c r="AR334" s="874"/>
      <c r="AS334" s="874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43"/>
      <c r="BN334" s="116"/>
      <c r="BW334" s="1"/>
      <c r="BX334" s="1"/>
      <c r="BY334" s="1"/>
      <c r="BZ334" s="655"/>
      <c r="CB334" s="656"/>
      <c r="CC334" s="1"/>
      <c r="CD334" s="1"/>
      <c r="CE334" s="1"/>
      <c r="CF334" s="1"/>
      <c r="CG334" s="1"/>
      <c r="CH334" s="1"/>
      <c r="CI334" s="1"/>
      <c r="CJ334" s="1"/>
      <c r="CR334" s="305"/>
      <c r="CT334" s="116"/>
      <c r="DB334" s="1"/>
      <c r="DC334" s="1"/>
      <c r="DD334" s="1"/>
      <c r="DE334" s="1"/>
      <c r="DF334" s="1"/>
      <c r="DG334" s="1"/>
      <c r="DH334" s="1"/>
      <c r="DI334" s="1"/>
      <c r="DJ334" s="655"/>
      <c r="DL334" s="116"/>
    </row>
    <row r="335" spans="2:116" ht="15.75" customHeight="1" x14ac:dyDescent="0.3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874"/>
      <c r="AR335" s="874"/>
      <c r="AS335" s="874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43"/>
      <c r="BN335" s="116"/>
      <c r="BW335" s="1"/>
      <c r="BX335" s="1"/>
      <c r="BY335" s="1"/>
      <c r="BZ335" s="655"/>
      <c r="CB335" s="656"/>
      <c r="CC335" s="1"/>
      <c r="CD335" s="1"/>
      <c r="CE335" s="1"/>
      <c r="CF335" s="1"/>
      <c r="CG335" s="1"/>
      <c r="CH335" s="1"/>
      <c r="CI335" s="1"/>
      <c r="CJ335" s="1"/>
      <c r="CR335" s="305"/>
      <c r="CT335" s="116"/>
      <c r="DB335" s="1"/>
      <c r="DC335" s="1"/>
      <c r="DD335" s="1"/>
      <c r="DE335" s="1"/>
      <c r="DF335" s="1"/>
      <c r="DG335" s="1"/>
      <c r="DH335" s="1"/>
      <c r="DI335" s="1"/>
      <c r="DJ335" s="655"/>
      <c r="DL335" s="116"/>
    </row>
    <row r="336" spans="2:116" ht="15.75" customHeight="1" x14ac:dyDescent="0.3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874"/>
      <c r="AR336" s="874"/>
      <c r="AS336" s="874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43"/>
      <c r="BN336" s="116"/>
      <c r="BW336" s="1"/>
      <c r="BX336" s="1"/>
      <c r="BY336" s="1"/>
      <c r="BZ336" s="655"/>
      <c r="CB336" s="656"/>
      <c r="CC336" s="1"/>
      <c r="CD336" s="1"/>
      <c r="CE336" s="1"/>
      <c r="CF336" s="1"/>
      <c r="CG336" s="1"/>
      <c r="CH336" s="1"/>
      <c r="CI336" s="1"/>
      <c r="CJ336" s="1"/>
      <c r="CR336" s="305"/>
      <c r="CT336" s="116"/>
      <c r="DB336" s="1"/>
      <c r="DC336" s="1"/>
      <c r="DD336" s="1"/>
      <c r="DE336" s="1"/>
      <c r="DF336" s="1"/>
      <c r="DG336" s="1"/>
      <c r="DH336" s="1"/>
      <c r="DI336" s="1"/>
      <c r="DJ336" s="655"/>
      <c r="DL336" s="116"/>
    </row>
    <row r="337" spans="2:116" ht="15.75" customHeight="1" x14ac:dyDescent="0.3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874"/>
      <c r="AR337" s="874"/>
      <c r="AS337" s="874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43"/>
      <c r="BN337" s="116"/>
      <c r="BW337" s="1"/>
      <c r="BX337" s="1"/>
      <c r="BY337" s="1"/>
      <c r="BZ337" s="655"/>
      <c r="CB337" s="656"/>
      <c r="CC337" s="1"/>
      <c r="CD337" s="1"/>
      <c r="CE337" s="1"/>
      <c r="CF337" s="1"/>
      <c r="CG337" s="1"/>
      <c r="CH337" s="1"/>
      <c r="CI337" s="1"/>
      <c r="CJ337" s="1"/>
      <c r="CR337" s="305"/>
      <c r="CT337" s="116"/>
      <c r="DB337" s="1"/>
      <c r="DC337" s="1"/>
      <c r="DD337" s="1"/>
      <c r="DE337" s="1"/>
      <c r="DF337" s="1"/>
      <c r="DG337" s="1"/>
      <c r="DH337" s="1"/>
      <c r="DI337" s="1"/>
      <c r="DJ337" s="655"/>
      <c r="DL337" s="116"/>
    </row>
    <row r="338" spans="2:116" ht="15.75" customHeight="1" x14ac:dyDescent="0.3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874"/>
      <c r="AR338" s="874"/>
      <c r="AS338" s="874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43"/>
      <c r="BN338" s="116"/>
      <c r="BW338" s="1"/>
      <c r="BX338" s="1"/>
      <c r="BY338" s="1"/>
      <c r="BZ338" s="655"/>
      <c r="CB338" s="656"/>
      <c r="CC338" s="1"/>
      <c r="CD338" s="1"/>
      <c r="CE338" s="1"/>
      <c r="CF338" s="1"/>
      <c r="CG338" s="1"/>
      <c r="CH338" s="1"/>
      <c r="CI338" s="1"/>
      <c r="CJ338" s="1"/>
      <c r="CR338" s="305"/>
      <c r="CT338" s="116"/>
      <c r="DB338" s="1"/>
      <c r="DC338" s="1"/>
      <c r="DD338" s="1"/>
      <c r="DE338" s="1"/>
      <c r="DF338" s="1"/>
      <c r="DG338" s="1"/>
      <c r="DH338" s="1"/>
      <c r="DI338" s="1"/>
      <c r="DJ338" s="655"/>
      <c r="DL338" s="116"/>
    </row>
    <row r="339" spans="2:116" ht="15.75" customHeight="1" x14ac:dyDescent="0.3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874"/>
      <c r="AR339" s="874"/>
      <c r="AS339" s="874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43"/>
      <c r="BN339" s="116"/>
      <c r="BW339" s="1"/>
      <c r="BX339" s="1"/>
      <c r="BY339" s="1"/>
      <c r="BZ339" s="655"/>
      <c r="CB339" s="656"/>
      <c r="CC339" s="1"/>
      <c r="CD339" s="1"/>
      <c r="CE339" s="1"/>
      <c r="CF339" s="1"/>
      <c r="CG339" s="1"/>
      <c r="CH339" s="1"/>
      <c r="CI339" s="1"/>
      <c r="CJ339" s="1"/>
      <c r="CR339" s="305"/>
      <c r="CT339" s="116"/>
      <c r="DB339" s="1"/>
      <c r="DC339" s="1"/>
      <c r="DD339" s="1"/>
      <c r="DE339" s="1"/>
      <c r="DF339" s="1"/>
      <c r="DG339" s="1"/>
      <c r="DH339" s="1"/>
      <c r="DI339" s="1"/>
      <c r="DJ339" s="655"/>
      <c r="DL339" s="116"/>
    </row>
    <row r="340" spans="2:116" ht="15.75" customHeight="1" x14ac:dyDescent="0.3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874"/>
      <c r="AR340" s="874"/>
      <c r="AS340" s="874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43"/>
      <c r="BN340" s="116"/>
      <c r="BW340" s="1"/>
      <c r="BX340" s="1"/>
      <c r="BY340" s="1"/>
      <c r="BZ340" s="655"/>
      <c r="CB340" s="656"/>
      <c r="CC340" s="1"/>
      <c r="CD340" s="1"/>
      <c r="CE340" s="1"/>
      <c r="CF340" s="1"/>
      <c r="CG340" s="1"/>
      <c r="CH340" s="1"/>
      <c r="CI340" s="1"/>
      <c r="CJ340" s="1"/>
      <c r="CR340" s="305"/>
      <c r="CT340" s="116"/>
      <c r="DB340" s="1"/>
      <c r="DC340" s="1"/>
      <c r="DD340" s="1"/>
      <c r="DE340" s="1"/>
      <c r="DF340" s="1"/>
      <c r="DG340" s="1"/>
      <c r="DH340" s="1"/>
      <c r="DI340" s="1"/>
      <c r="DJ340" s="655"/>
      <c r="DL340" s="116"/>
    </row>
    <row r="341" spans="2:116" ht="15.75" customHeight="1" x14ac:dyDescent="0.3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874"/>
      <c r="AR341" s="874"/>
      <c r="AS341" s="874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43"/>
      <c r="BN341" s="116"/>
      <c r="BW341" s="1"/>
      <c r="BX341" s="1"/>
      <c r="BY341" s="1"/>
      <c r="BZ341" s="655"/>
      <c r="CB341" s="656"/>
      <c r="CC341" s="1"/>
      <c r="CD341" s="1"/>
      <c r="CE341" s="1"/>
      <c r="CF341" s="1"/>
      <c r="CG341" s="1"/>
      <c r="CH341" s="1"/>
      <c r="CI341" s="1"/>
      <c r="CJ341" s="1"/>
      <c r="CR341" s="305"/>
      <c r="CT341" s="116"/>
      <c r="DB341" s="1"/>
      <c r="DC341" s="1"/>
      <c r="DD341" s="1"/>
      <c r="DE341" s="1"/>
      <c r="DF341" s="1"/>
      <c r="DG341" s="1"/>
      <c r="DH341" s="1"/>
      <c r="DI341" s="1"/>
      <c r="DJ341" s="655"/>
      <c r="DL341" s="116"/>
    </row>
    <row r="342" spans="2:116" ht="15.75" customHeight="1" x14ac:dyDescent="0.3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874"/>
      <c r="AR342" s="874"/>
      <c r="AS342" s="874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43"/>
      <c r="BN342" s="116"/>
      <c r="BW342" s="1"/>
      <c r="BX342" s="1"/>
      <c r="BY342" s="1"/>
      <c r="BZ342" s="655"/>
      <c r="CB342" s="656"/>
      <c r="CC342" s="1"/>
      <c r="CD342" s="1"/>
      <c r="CE342" s="1"/>
      <c r="CF342" s="1"/>
      <c r="CG342" s="1"/>
      <c r="CH342" s="1"/>
      <c r="CI342" s="1"/>
      <c r="CJ342" s="1"/>
      <c r="CR342" s="305"/>
      <c r="CT342" s="116"/>
      <c r="DB342" s="1"/>
      <c r="DC342" s="1"/>
      <c r="DD342" s="1"/>
      <c r="DE342" s="1"/>
      <c r="DF342" s="1"/>
      <c r="DG342" s="1"/>
      <c r="DH342" s="1"/>
      <c r="DI342" s="1"/>
      <c r="DJ342" s="655"/>
      <c r="DL342" s="116"/>
    </row>
    <row r="343" spans="2:116" ht="15.75" customHeight="1" x14ac:dyDescent="0.3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874"/>
      <c r="AR343" s="874"/>
      <c r="AS343" s="874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43"/>
      <c r="BN343" s="116"/>
      <c r="BW343" s="1"/>
      <c r="BX343" s="1"/>
      <c r="BY343" s="1"/>
      <c r="BZ343" s="655"/>
      <c r="CB343" s="656"/>
      <c r="CC343" s="1"/>
      <c r="CD343" s="1"/>
      <c r="CE343" s="1"/>
      <c r="CF343" s="1"/>
      <c r="CG343" s="1"/>
      <c r="CH343" s="1"/>
      <c r="CI343" s="1"/>
      <c r="CJ343" s="1"/>
      <c r="CR343" s="305"/>
      <c r="CT343" s="116"/>
      <c r="DB343" s="1"/>
      <c r="DC343" s="1"/>
      <c r="DD343" s="1"/>
      <c r="DE343" s="1"/>
      <c r="DF343" s="1"/>
      <c r="DG343" s="1"/>
      <c r="DH343" s="1"/>
      <c r="DI343" s="1"/>
      <c r="DJ343" s="655"/>
      <c r="DL343" s="116"/>
    </row>
    <row r="344" spans="2:116" ht="15.75" customHeight="1" x14ac:dyDescent="0.3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874"/>
      <c r="AR344" s="874"/>
      <c r="AS344" s="874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43"/>
      <c r="BN344" s="116"/>
      <c r="BW344" s="1"/>
      <c r="BX344" s="1"/>
      <c r="BY344" s="1"/>
      <c r="BZ344" s="655"/>
      <c r="CB344" s="656"/>
      <c r="CC344" s="1"/>
      <c r="CD344" s="1"/>
      <c r="CE344" s="1"/>
      <c r="CF344" s="1"/>
      <c r="CG344" s="1"/>
      <c r="CH344" s="1"/>
      <c r="CI344" s="1"/>
      <c r="CJ344" s="1"/>
      <c r="CR344" s="305"/>
      <c r="CT344" s="116"/>
      <c r="DB344" s="1"/>
      <c r="DC344" s="1"/>
      <c r="DD344" s="1"/>
      <c r="DE344" s="1"/>
      <c r="DF344" s="1"/>
      <c r="DG344" s="1"/>
      <c r="DH344" s="1"/>
      <c r="DI344" s="1"/>
      <c r="DJ344" s="655"/>
      <c r="DL344" s="116"/>
    </row>
    <row r="345" spans="2:116" ht="15.75" customHeight="1" x14ac:dyDescent="0.3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874"/>
      <c r="AR345" s="874"/>
      <c r="AS345" s="874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43"/>
      <c r="BN345" s="116"/>
      <c r="BW345" s="1"/>
      <c r="BX345" s="1"/>
      <c r="BY345" s="1"/>
      <c r="BZ345" s="655"/>
      <c r="CB345" s="656"/>
      <c r="CC345" s="1"/>
      <c r="CD345" s="1"/>
      <c r="CE345" s="1"/>
      <c r="CF345" s="1"/>
      <c r="CG345" s="1"/>
      <c r="CH345" s="1"/>
      <c r="CI345" s="1"/>
      <c r="CJ345" s="1"/>
      <c r="CR345" s="305"/>
      <c r="CT345" s="116"/>
      <c r="DB345" s="1"/>
      <c r="DC345" s="1"/>
      <c r="DD345" s="1"/>
      <c r="DE345" s="1"/>
      <c r="DF345" s="1"/>
      <c r="DG345" s="1"/>
      <c r="DH345" s="1"/>
      <c r="DI345" s="1"/>
      <c r="DJ345" s="655"/>
      <c r="DL345" s="116"/>
    </row>
    <row r="346" spans="2:116" ht="15.75" customHeight="1" x14ac:dyDescent="0.3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874"/>
      <c r="AR346" s="874"/>
      <c r="AS346" s="874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43"/>
      <c r="BN346" s="116"/>
      <c r="BW346" s="1"/>
      <c r="BX346" s="1"/>
      <c r="BY346" s="1"/>
      <c r="BZ346" s="655"/>
      <c r="CB346" s="656"/>
      <c r="CC346" s="1"/>
      <c r="CD346" s="1"/>
      <c r="CE346" s="1"/>
      <c r="CF346" s="1"/>
      <c r="CG346" s="1"/>
      <c r="CH346" s="1"/>
      <c r="CI346" s="1"/>
      <c r="CJ346" s="1"/>
      <c r="CR346" s="305"/>
      <c r="CT346" s="116"/>
      <c r="DB346" s="1"/>
      <c r="DC346" s="1"/>
      <c r="DD346" s="1"/>
      <c r="DE346" s="1"/>
      <c r="DF346" s="1"/>
      <c r="DG346" s="1"/>
      <c r="DH346" s="1"/>
      <c r="DI346" s="1"/>
      <c r="DJ346" s="655"/>
      <c r="DL346" s="116"/>
    </row>
    <row r="347" spans="2:116" ht="15.75" customHeight="1" x14ac:dyDescent="0.3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874"/>
      <c r="AR347" s="874"/>
      <c r="AS347" s="874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43"/>
      <c r="BN347" s="116"/>
      <c r="BW347" s="1"/>
      <c r="BX347" s="1"/>
      <c r="BY347" s="1"/>
      <c r="BZ347" s="655"/>
      <c r="CB347" s="656"/>
      <c r="CC347" s="1"/>
      <c r="CD347" s="1"/>
      <c r="CE347" s="1"/>
      <c r="CF347" s="1"/>
      <c r="CG347" s="1"/>
      <c r="CH347" s="1"/>
      <c r="CI347" s="1"/>
      <c r="CJ347" s="1"/>
      <c r="CR347" s="305"/>
      <c r="CT347" s="116"/>
      <c r="DB347" s="1"/>
      <c r="DC347" s="1"/>
      <c r="DD347" s="1"/>
      <c r="DE347" s="1"/>
      <c r="DF347" s="1"/>
      <c r="DG347" s="1"/>
      <c r="DH347" s="1"/>
      <c r="DI347" s="1"/>
      <c r="DJ347" s="655"/>
      <c r="DL347" s="116"/>
    </row>
    <row r="348" spans="2:116" ht="15.75" customHeight="1" x14ac:dyDescent="0.3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874"/>
      <c r="AR348" s="874"/>
      <c r="AS348" s="874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43"/>
      <c r="BN348" s="116"/>
      <c r="BW348" s="1"/>
      <c r="BX348" s="1"/>
      <c r="BY348" s="1"/>
      <c r="BZ348" s="655"/>
      <c r="CB348" s="656"/>
      <c r="CC348" s="1"/>
      <c r="CD348" s="1"/>
      <c r="CE348" s="1"/>
      <c r="CF348" s="1"/>
      <c r="CG348" s="1"/>
      <c r="CH348" s="1"/>
      <c r="CI348" s="1"/>
      <c r="CJ348" s="1"/>
      <c r="CR348" s="305"/>
      <c r="CT348" s="116"/>
      <c r="DB348" s="1"/>
      <c r="DC348" s="1"/>
      <c r="DD348" s="1"/>
      <c r="DE348" s="1"/>
      <c r="DF348" s="1"/>
      <c r="DG348" s="1"/>
      <c r="DH348" s="1"/>
      <c r="DI348" s="1"/>
      <c r="DJ348" s="655"/>
      <c r="DL348" s="116"/>
    </row>
    <row r="349" spans="2:116" ht="15.75" customHeight="1" x14ac:dyDescent="0.3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874"/>
      <c r="AR349" s="874"/>
      <c r="AS349" s="874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43"/>
      <c r="BN349" s="116"/>
      <c r="BW349" s="1"/>
      <c r="BX349" s="1"/>
      <c r="BY349" s="1"/>
      <c r="BZ349" s="655"/>
      <c r="CB349" s="656"/>
      <c r="CC349" s="1"/>
      <c r="CD349" s="1"/>
      <c r="CE349" s="1"/>
      <c r="CF349" s="1"/>
      <c r="CG349" s="1"/>
      <c r="CH349" s="1"/>
      <c r="CI349" s="1"/>
      <c r="CJ349" s="1"/>
      <c r="CR349" s="305"/>
      <c r="CT349" s="116"/>
      <c r="DB349" s="1"/>
      <c r="DC349" s="1"/>
      <c r="DD349" s="1"/>
      <c r="DE349" s="1"/>
      <c r="DF349" s="1"/>
      <c r="DG349" s="1"/>
      <c r="DH349" s="1"/>
      <c r="DI349" s="1"/>
      <c r="DJ349" s="655"/>
      <c r="DL349" s="116"/>
    </row>
    <row r="350" spans="2:116" ht="15.75" customHeight="1" x14ac:dyDescent="0.3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874"/>
      <c r="AR350" s="874"/>
      <c r="AS350" s="874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43"/>
      <c r="BN350" s="116"/>
      <c r="BW350" s="1"/>
      <c r="BX350" s="1"/>
      <c r="BY350" s="1"/>
      <c r="BZ350" s="655"/>
      <c r="CB350" s="656"/>
      <c r="CC350" s="1"/>
      <c r="CD350" s="1"/>
      <c r="CE350" s="1"/>
      <c r="CF350" s="1"/>
      <c r="CG350" s="1"/>
      <c r="CH350" s="1"/>
      <c r="CI350" s="1"/>
      <c r="CJ350" s="1"/>
      <c r="CR350" s="305"/>
      <c r="CT350" s="116"/>
      <c r="DB350" s="1"/>
      <c r="DC350" s="1"/>
      <c r="DD350" s="1"/>
      <c r="DE350" s="1"/>
      <c r="DF350" s="1"/>
      <c r="DG350" s="1"/>
      <c r="DH350" s="1"/>
      <c r="DI350" s="1"/>
      <c r="DJ350" s="655"/>
      <c r="DL350" s="116"/>
    </row>
    <row r="351" spans="2:116" ht="15.75" customHeight="1" x14ac:dyDescent="0.3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874"/>
      <c r="AR351" s="874"/>
      <c r="AS351" s="874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43"/>
      <c r="BN351" s="116"/>
      <c r="BW351" s="1"/>
      <c r="BX351" s="1"/>
      <c r="BY351" s="1"/>
      <c r="BZ351" s="655"/>
      <c r="CB351" s="656"/>
      <c r="CC351" s="1"/>
      <c r="CD351" s="1"/>
      <c r="CE351" s="1"/>
      <c r="CF351" s="1"/>
      <c r="CG351" s="1"/>
      <c r="CH351" s="1"/>
      <c r="CI351" s="1"/>
      <c r="CJ351" s="1"/>
      <c r="CR351" s="305"/>
      <c r="CT351" s="116"/>
      <c r="DB351" s="1"/>
      <c r="DC351" s="1"/>
      <c r="DD351" s="1"/>
      <c r="DE351" s="1"/>
      <c r="DF351" s="1"/>
      <c r="DG351" s="1"/>
      <c r="DH351" s="1"/>
      <c r="DI351" s="1"/>
      <c r="DJ351" s="655"/>
      <c r="DL351" s="116"/>
    </row>
    <row r="352" spans="2:116" ht="15.75" customHeight="1" x14ac:dyDescent="0.3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874"/>
      <c r="AR352" s="874"/>
      <c r="AS352" s="874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43"/>
      <c r="BN352" s="116"/>
      <c r="BW352" s="1"/>
      <c r="BX352" s="1"/>
      <c r="BY352" s="1"/>
      <c r="BZ352" s="655"/>
      <c r="CB352" s="656"/>
      <c r="CC352" s="1"/>
      <c r="CD352" s="1"/>
      <c r="CE352" s="1"/>
      <c r="CF352" s="1"/>
      <c r="CG352" s="1"/>
      <c r="CH352" s="1"/>
      <c r="CI352" s="1"/>
      <c r="CJ352" s="1"/>
      <c r="CR352" s="305"/>
      <c r="CT352" s="116"/>
      <c r="DB352" s="1"/>
      <c r="DC352" s="1"/>
      <c r="DD352" s="1"/>
      <c r="DE352" s="1"/>
      <c r="DF352" s="1"/>
      <c r="DG352" s="1"/>
      <c r="DH352" s="1"/>
      <c r="DI352" s="1"/>
      <c r="DJ352" s="655"/>
      <c r="DL352" s="116"/>
    </row>
    <row r="353" spans="2:116" ht="15.75" customHeight="1" x14ac:dyDescent="0.3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874"/>
      <c r="AR353" s="874"/>
      <c r="AS353" s="874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43"/>
      <c r="BN353" s="116"/>
      <c r="BW353" s="1"/>
      <c r="BX353" s="1"/>
      <c r="BY353" s="1"/>
      <c r="BZ353" s="655"/>
      <c r="CB353" s="656"/>
      <c r="CC353" s="1"/>
      <c r="CD353" s="1"/>
      <c r="CE353" s="1"/>
      <c r="CF353" s="1"/>
      <c r="CG353" s="1"/>
      <c r="CH353" s="1"/>
      <c r="CI353" s="1"/>
      <c r="CJ353" s="1"/>
      <c r="CR353" s="305"/>
      <c r="CT353" s="116"/>
      <c r="DB353" s="1"/>
      <c r="DC353" s="1"/>
      <c r="DD353" s="1"/>
      <c r="DE353" s="1"/>
      <c r="DF353" s="1"/>
      <c r="DG353" s="1"/>
      <c r="DH353" s="1"/>
      <c r="DI353" s="1"/>
      <c r="DJ353" s="655"/>
      <c r="DL353" s="116"/>
    </row>
    <row r="354" spans="2:116" ht="15.75" customHeight="1" x14ac:dyDescent="0.3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874"/>
      <c r="AR354" s="874"/>
      <c r="AS354" s="874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43"/>
      <c r="BN354" s="116"/>
      <c r="BW354" s="1"/>
      <c r="BX354" s="1"/>
      <c r="BY354" s="1"/>
      <c r="BZ354" s="655"/>
      <c r="CB354" s="656"/>
      <c r="CC354" s="1"/>
      <c r="CD354" s="1"/>
      <c r="CE354" s="1"/>
      <c r="CF354" s="1"/>
      <c r="CG354" s="1"/>
      <c r="CH354" s="1"/>
      <c r="CI354" s="1"/>
      <c r="CJ354" s="1"/>
      <c r="CR354" s="305"/>
      <c r="CT354" s="116"/>
      <c r="DB354" s="1"/>
      <c r="DC354" s="1"/>
      <c r="DD354" s="1"/>
      <c r="DE354" s="1"/>
      <c r="DF354" s="1"/>
      <c r="DG354" s="1"/>
      <c r="DH354" s="1"/>
      <c r="DI354" s="1"/>
      <c r="DJ354" s="655"/>
      <c r="DL354" s="116"/>
    </row>
    <row r="355" spans="2:116" ht="15.75" customHeight="1" x14ac:dyDescent="0.3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874"/>
      <c r="AR355" s="874"/>
      <c r="AS355" s="874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43"/>
      <c r="BN355" s="116"/>
      <c r="BW355" s="1"/>
      <c r="BX355" s="1"/>
      <c r="BY355" s="1"/>
      <c r="BZ355" s="655"/>
      <c r="CB355" s="656"/>
      <c r="CC355" s="1"/>
      <c r="CD355" s="1"/>
      <c r="CE355" s="1"/>
      <c r="CF355" s="1"/>
      <c r="CG355" s="1"/>
      <c r="CH355" s="1"/>
      <c r="CI355" s="1"/>
      <c r="CJ355" s="1"/>
      <c r="CR355" s="305"/>
      <c r="CT355" s="116"/>
      <c r="DB355" s="1"/>
      <c r="DC355" s="1"/>
      <c r="DD355" s="1"/>
      <c r="DE355" s="1"/>
      <c r="DF355" s="1"/>
      <c r="DG355" s="1"/>
      <c r="DH355" s="1"/>
      <c r="DI355" s="1"/>
      <c r="DJ355" s="655"/>
      <c r="DL355" s="116"/>
    </row>
    <row r="356" spans="2:116" ht="15.75" customHeight="1" x14ac:dyDescent="0.3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874"/>
      <c r="AR356" s="874"/>
      <c r="AS356" s="874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43"/>
      <c r="BN356" s="116"/>
      <c r="BW356" s="1"/>
      <c r="BX356" s="1"/>
      <c r="BY356" s="1"/>
      <c r="BZ356" s="655"/>
      <c r="CB356" s="656"/>
      <c r="CC356" s="1"/>
      <c r="CD356" s="1"/>
      <c r="CE356" s="1"/>
      <c r="CF356" s="1"/>
      <c r="CG356" s="1"/>
      <c r="CH356" s="1"/>
      <c r="CI356" s="1"/>
      <c r="CJ356" s="1"/>
      <c r="CR356" s="305"/>
      <c r="CT356" s="116"/>
      <c r="DB356" s="1"/>
      <c r="DC356" s="1"/>
      <c r="DD356" s="1"/>
      <c r="DE356" s="1"/>
      <c r="DF356" s="1"/>
      <c r="DG356" s="1"/>
      <c r="DH356" s="1"/>
      <c r="DI356" s="1"/>
      <c r="DJ356" s="655"/>
      <c r="DL356" s="116"/>
    </row>
    <row r="357" spans="2:116" ht="15.75" customHeight="1" x14ac:dyDescent="0.3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874"/>
      <c r="AR357" s="874"/>
      <c r="AS357" s="874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43"/>
      <c r="BN357" s="116"/>
      <c r="BW357" s="1"/>
      <c r="BX357" s="1"/>
      <c r="BY357" s="1"/>
      <c r="BZ357" s="655"/>
      <c r="CB357" s="656"/>
      <c r="CC357" s="1"/>
      <c r="CD357" s="1"/>
      <c r="CE357" s="1"/>
      <c r="CF357" s="1"/>
      <c r="CG357" s="1"/>
      <c r="CH357" s="1"/>
      <c r="CI357" s="1"/>
      <c r="CJ357" s="1"/>
      <c r="CR357" s="305"/>
      <c r="CT357" s="116"/>
      <c r="DB357" s="1"/>
      <c r="DC357" s="1"/>
      <c r="DD357" s="1"/>
      <c r="DE357" s="1"/>
      <c r="DF357" s="1"/>
      <c r="DG357" s="1"/>
      <c r="DH357" s="1"/>
      <c r="DI357" s="1"/>
      <c r="DJ357" s="655"/>
      <c r="DL357" s="116"/>
    </row>
    <row r="358" spans="2:116" ht="15.75" customHeight="1" x14ac:dyDescent="0.3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874"/>
      <c r="AR358" s="874"/>
      <c r="AS358" s="874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43"/>
      <c r="BN358" s="116"/>
      <c r="BW358" s="1"/>
      <c r="BX358" s="1"/>
      <c r="BY358" s="1"/>
      <c r="BZ358" s="655"/>
      <c r="CB358" s="656"/>
      <c r="CC358" s="1"/>
      <c r="CD358" s="1"/>
      <c r="CE358" s="1"/>
      <c r="CF358" s="1"/>
      <c r="CG358" s="1"/>
      <c r="CH358" s="1"/>
      <c r="CI358" s="1"/>
      <c r="CJ358" s="1"/>
      <c r="CR358" s="305"/>
      <c r="CT358" s="116"/>
      <c r="DB358" s="1"/>
      <c r="DC358" s="1"/>
      <c r="DD358" s="1"/>
      <c r="DE358" s="1"/>
      <c r="DF358" s="1"/>
      <c r="DG358" s="1"/>
      <c r="DH358" s="1"/>
      <c r="DI358" s="1"/>
      <c r="DJ358" s="655"/>
      <c r="DL358" s="116"/>
    </row>
    <row r="359" spans="2:116" ht="15.75" customHeight="1" x14ac:dyDescent="0.3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874"/>
      <c r="AR359" s="874"/>
      <c r="AS359" s="874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43"/>
      <c r="BN359" s="116"/>
      <c r="BW359" s="1"/>
      <c r="BX359" s="1"/>
      <c r="BY359" s="1"/>
      <c r="BZ359" s="655"/>
      <c r="CB359" s="656"/>
      <c r="CC359" s="1"/>
      <c r="CD359" s="1"/>
      <c r="CE359" s="1"/>
      <c r="CF359" s="1"/>
      <c r="CG359" s="1"/>
      <c r="CH359" s="1"/>
      <c r="CI359" s="1"/>
      <c r="CJ359" s="1"/>
      <c r="CR359" s="305"/>
      <c r="CT359" s="116"/>
      <c r="DB359" s="1"/>
      <c r="DC359" s="1"/>
      <c r="DD359" s="1"/>
      <c r="DE359" s="1"/>
      <c r="DF359" s="1"/>
      <c r="DG359" s="1"/>
      <c r="DH359" s="1"/>
      <c r="DI359" s="1"/>
      <c r="DJ359" s="655"/>
      <c r="DL359" s="116"/>
    </row>
    <row r="360" spans="2:116" ht="15.75" customHeight="1" x14ac:dyDescent="0.3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874"/>
      <c r="AR360" s="874"/>
      <c r="AS360" s="874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43"/>
      <c r="BN360" s="116"/>
      <c r="BW360" s="1"/>
      <c r="BX360" s="1"/>
      <c r="BY360" s="1"/>
      <c r="BZ360" s="655"/>
      <c r="CB360" s="656"/>
      <c r="CC360" s="1"/>
      <c r="CD360" s="1"/>
      <c r="CE360" s="1"/>
      <c r="CF360" s="1"/>
      <c r="CG360" s="1"/>
      <c r="CH360" s="1"/>
      <c r="CI360" s="1"/>
      <c r="CJ360" s="1"/>
      <c r="CR360" s="305"/>
      <c r="CT360" s="116"/>
      <c r="DB360" s="1"/>
      <c r="DC360" s="1"/>
      <c r="DD360" s="1"/>
      <c r="DE360" s="1"/>
      <c r="DF360" s="1"/>
      <c r="DG360" s="1"/>
      <c r="DH360" s="1"/>
      <c r="DI360" s="1"/>
      <c r="DJ360" s="655"/>
      <c r="DL360" s="116"/>
    </row>
    <row r="361" spans="2:116" ht="15.75" customHeight="1" x14ac:dyDescent="0.3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874"/>
      <c r="AR361" s="874"/>
      <c r="AS361" s="874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43"/>
      <c r="BN361" s="116"/>
      <c r="BW361" s="1"/>
      <c r="BX361" s="1"/>
      <c r="BY361" s="1"/>
      <c r="BZ361" s="655"/>
      <c r="CB361" s="656"/>
      <c r="CC361" s="1"/>
      <c r="CD361" s="1"/>
      <c r="CE361" s="1"/>
      <c r="CF361" s="1"/>
      <c r="CG361" s="1"/>
      <c r="CH361" s="1"/>
      <c r="CI361" s="1"/>
      <c r="CJ361" s="1"/>
      <c r="CR361" s="305"/>
      <c r="CT361" s="116"/>
      <c r="DB361" s="1"/>
      <c r="DC361" s="1"/>
      <c r="DD361" s="1"/>
      <c r="DE361" s="1"/>
      <c r="DF361" s="1"/>
      <c r="DG361" s="1"/>
      <c r="DH361" s="1"/>
      <c r="DI361" s="1"/>
      <c r="DJ361" s="655"/>
      <c r="DL361" s="116"/>
    </row>
    <row r="362" spans="2:116" ht="15.75" customHeight="1" x14ac:dyDescent="0.3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874"/>
      <c r="AR362" s="874"/>
      <c r="AS362" s="874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43"/>
      <c r="BN362" s="116"/>
      <c r="BW362" s="1"/>
      <c r="BX362" s="1"/>
      <c r="BY362" s="1"/>
      <c r="BZ362" s="655"/>
      <c r="CB362" s="656"/>
      <c r="CC362" s="1"/>
      <c r="CD362" s="1"/>
      <c r="CE362" s="1"/>
      <c r="CF362" s="1"/>
      <c r="CG362" s="1"/>
      <c r="CH362" s="1"/>
      <c r="CI362" s="1"/>
      <c r="CJ362" s="1"/>
      <c r="CR362" s="305"/>
      <c r="CT362" s="116"/>
      <c r="DB362" s="1"/>
      <c r="DC362" s="1"/>
      <c r="DD362" s="1"/>
      <c r="DE362" s="1"/>
      <c r="DF362" s="1"/>
      <c r="DG362" s="1"/>
      <c r="DH362" s="1"/>
      <c r="DI362" s="1"/>
      <c r="DJ362" s="655"/>
      <c r="DL362" s="116"/>
    </row>
    <row r="363" spans="2:116" ht="15.75" customHeight="1" x14ac:dyDescent="0.3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874"/>
      <c r="AR363" s="874"/>
      <c r="AS363" s="874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43"/>
      <c r="BN363" s="116"/>
      <c r="BW363" s="1"/>
      <c r="BX363" s="1"/>
      <c r="BY363" s="1"/>
      <c r="BZ363" s="655"/>
      <c r="CB363" s="656"/>
      <c r="CC363" s="1"/>
      <c r="CD363" s="1"/>
      <c r="CE363" s="1"/>
      <c r="CF363" s="1"/>
      <c r="CG363" s="1"/>
      <c r="CH363" s="1"/>
      <c r="CI363" s="1"/>
      <c r="CJ363" s="1"/>
      <c r="CR363" s="305"/>
      <c r="CT363" s="116"/>
      <c r="DB363" s="1"/>
      <c r="DC363" s="1"/>
      <c r="DD363" s="1"/>
      <c r="DE363" s="1"/>
      <c r="DF363" s="1"/>
      <c r="DG363" s="1"/>
      <c r="DH363" s="1"/>
      <c r="DI363" s="1"/>
      <c r="DJ363" s="655"/>
      <c r="DL363" s="116"/>
    </row>
    <row r="364" spans="2:116" ht="15.75" customHeight="1" x14ac:dyDescent="0.3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874"/>
      <c r="AR364" s="874"/>
      <c r="AS364" s="874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43"/>
      <c r="BN364" s="116"/>
      <c r="BW364" s="1"/>
      <c r="BX364" s="1"/>
      <c r="BY364" s="1"/>
      <c r="BZ364" s="655"/>
      <c r="CB364" s="656"/>
      <c r="CC364" s="1"/>
      <c r="CD364" s="1"/>
      <c r="CE364" s="1"/>
      <c r="CF364" s="1"/>
      <c r="CG364" s="1"/>
      <c r="CH364" s="1"/>
      <c r="CI364" s="1"/>
      <c r="CJ364" s="1"/>
      <c r="CR364" s="305"/>
      <c r="CT364" s="116"/>
      <c r="DB364" s="1"/>
      <c r="DC364" s="1"/>
      <c r="DD364" s="1"/>
      <c r="DE364" s="1"/>
      <c r="DF364" s="1"/>
      <c r="DG364" s="1"/>
      <c r="DH364" s="1"/>
      <c r="DI364" s="1"/>
      <c r="DJ364" s="655"/>
      <c r="DL364" s="116"/>
    </row>
    <row r="365" spans="2:116" ht="15.75" customHeight="1" x14ac:dyDescent="0.3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874"/>
      <c r="AR365" s="874"/>
      <c r="AS365" s="874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43"/>
      <c r="BN365" s="116"/>
      <c r="BW365" s="1"/>
      <c r="BX365" s="1"/>
      <c r="BY365" s="1"/>
      <c r="BZ365" s="655"/>
      <c r="CB365" s="656"/>
      <c r="CC365" s="1"/>
      <c r="CD365" s="1"/>
      <c r="CE365" s="1"/>
      <c r="CF365" s="1"/>
      <c r="CG365" s="1"/>
      <c r="CH365" s="1"/>
      <c r="CI365" s="1"/>
      <c r="CJ365" s="1"/>
      <c r="CR365" s="305"/>
      <c r="CT365" s="116"/>
      <c r="DB365" s="1"/>
      <c r="DC365" s="1"/>
      <c r="DD365" s="1"/>
      <c r="DE365" s="1"/>
      <c r="DF365" s="1"/>
      <c r="DG365" s="1"/>
      <c r="DH365" s="1"/>
      <c r="DI365" s="1"/>
      <c r="DJ365" s="655"/>
      <c r="DL365" s="116"/>
    </row>
    <row r="366" spans="2:116" ht="15.75" customHeight="1" x14ac:dyDescent="0.3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874"/>
      <c r="AR366" s="874"/>
      <c r="AS366" s="874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43"/>
      <c r="BN366" s="116"/>
      <c r="BW366" s="1"/>
      <c r="BX366" s="1"/>
      <c r="BY366" s="1"/>
      <c r="BZ366" s="655"/>
      <c r="CB366" s="656"/>
      <c r="CC366" s="1"/>
      <c r="CD366" s="1"/>
      <c r="CE366" s="1"/>
      <c r="CF366" s="1"/>
      <c r="CG366" s="1"/>
      <c r="CH366" s="1"/>
      <c r="CI366" s="1"/>
      <c r="CJ366" s="1"/>
      <c r="CR366" s="305"/>
      <c r="CT366" s="116"/>
      <c r="DB366" s="1"/>
      <c r="DC366" s="1"/>
      <c r="DD366" s="1"/>
      <c r="DE366" s="1"/>
      <c r="DF366" s="1"/>
      <c r="DG366" s="1"/>
      <c r="DH366" s="1"/>
      <c r="DI366" s="1"/>
      <c r="DJ366" s="655"/>
      <c r="DL366" s="116"/>
    </row>
    <row r="367" spans="2:116" ht="15.75" customHeight="1" x14ac:dyDescent="0.3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874"/>
      <c r="AR367" s="874"/>
      <c r="AS367" s="874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43"/>
      <c r="BN367" s="116"/>
      <c r="BW367" s="1"/>
      <c r="BX367" s="1"/>
      <c r="BY367" s="1"/>
      <c r="BZ367" s="655"/>
      <c r="CB367" s="656"/>
      <c r="CC367" s="1"/>
      <c r="CD367" s="1"/>
      <c r="CE367" s="1"/>
      <c r="CF367" s="1"/>
      <c r="CG367" s="1"/>
      <c r="CH367" s="1"/>
      <c r="CI367" s="1"/>
      <c r="CJ367" s="1"/>
      <c r="CR367" s="305"/>
      <c r="CT367" s="116"/>
      <c r="DB367" s="1"/>
      <c r="DC367" s="1"/>
      <c r="DD367" s="1"/>
      <c r="DE367" s="1"/>
      <c r="DF367" s="1"/>
      <c r="DG367" s="1"/>
      <c r="DH367" s="1"/>
      <c r="DI367" s="1"/>
      <c r="DJ367" s="655"/>
      <c r="DL367" s="116"/>
    </row>
    <row r="368" spans="2:116" ht="15.75" customHeight="1" x14ac:dyDescent="0.3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874"/>
      <c r="AR368" s="874"/>
      <c r="AS368" s="874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43"/>
      <c r="BN368" s="116"/>
      <c r="BW368" s="1"/>
      <c r="BX368" s="1"/>
      <c r="BY368" s="1"/>
      <c r="BZ368" s="655"/>
      <c r="CB368" s="656"/>
      <c r="CC368" s="1"/>
      <c r="CD368" s="1"/>
      <c r="CE368" s="1"/>
      <c r="CF368" s="1"/>
      <c r="CG368" s="1"/>
      <c r="CH368" s="1"/>
      <c r="CI368" s="1"/>
      <c r="CJ368" s="1"/>
      <c r="CR368" s="305"/>
      <c r="CT368" s="116"/>
      <c r="DB368" s="1"/>
      <c r="DC368" s="1"/>
      <c r="DD368" s="1"/>
      <c r="DE368" s="1"/>
      <c r="DF368" s="1"/>
      <c r="DG368" s="1"/>
      <c r="DH368" s="1"/>
      <c r="DI368" s="1"/>
      <c r="DJ368" s="655"/>
      <c r="DL368" s="116"/>
    </row>
    <row r="369" spans="2:116" ht="15.75" customHeight="1" x14ac:dyDescent="0.3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874"/>
      <c r="AR369" s="874"/>
      <c r="AS369" s="874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43"/>
      <c r="BN369" s="116"/>
      <c r="BW369" s="1"/>
      <c r="BX369" s="1"/>
      <c r="BY369" s="1"/>
      <c r="BZ369" s="655"/>
      <c r="CB369" s="656"/>
      <c r="CC369" s="1"/>
      <c r="CD369" s="1"/>
      <c r="CE369" s="1"/>
      <c r="CF369" s="1"/>
      <c r="CG369" s="1"/>
      <c r="CH369" s="1"/>
      <c r="CI369" s="1"/>
      <c r="CJ369" s="1"/>
      <c r="CR369" s="305"/>
      <c r="CT369" s="116"/>
      <c r="DB369" s="1"/>
      <c r="DC369" s="1"/>
      <c r="DD369" s="1"/>
      <c r="DE369" s="1"/>
      <c r="DF369" s="1"/>
      <c r="DG369" s="1"/>
      <c r="DH369" s="1"/>
      <c r="DI369" s="1"/>
      <c r="DJ369" s="655"/>
      <c r="DL369" s="116"/>
    </row>
    <row r="370" spans="2:116" ht="15.75" customHeight="1" x14ac:dyDescent="0.3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874"/>
      <c r="AR370" s="874"/>
      <c r="AS370" s="874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43"/>
      <c r="BN370" s="116"/>
      <c r="BW370" s="1"/>
      <c r="BX370" s="1"/>
      <c r="BY370" s="1"/>
      <c r="BZ370" s="655"/>
      <c r="CB370" s="656"/>
      <c r="CC370" s="1"/>
      <c r="CD370" s="1"/>
      <c r="CE370" s="1"/>
      <c r="CF370" s="1"/>
      <c r="CG370" s="1"/>
      <c r="CH370" s="1"/>
      <c r="CI370" s="1"/>
      <c r="CJ370" s="1"/>
      <c r="CR370" s="305"/>
      <c r="CT370" s="116"/>
      <c r="DB370" s="1"/>
      <c r="DC370" s="1"/>
      <c r="DD370" s="1"/>
      <c r="DE370" s="1"/>
      <c r="DF370" s="1"/>
      <c r="DG370" s="1"/>
      <c r="DH370" s="1"/>
      <c r="DI370" s="1"/>
      <c r="DJ370" s="655"/>
      <c r="DL370" s="116"/>
    </row>
    <row r="371" spans="2:116" ht="15.75" customHeight="1" x14ac:dyDescent="0.3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874"/>
      <c r="AR371" s="874"/>
      <c r="AS371" s="874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43"/>
      <c r="BN371" s="116"/>
      <c r="BW371" s="1"/>
      <c r="BX371" s="1"/>
      <c r="BY371" s="1"/>
      <c r="BZ371" s="655"/>
      <c r="CB371" s="656"/>
      <c r="CC371" s="1"/>
      <c r="CD371" s="1"/>
      <c r="CE371" s="1"/>
      <c r="CF371" s="1"/>
      <c r="CG371" s="1"/>
      <c r="CH371" s="1"/>
      <c r="CI371" s="1"/>
      <c r="CJ371" s="1"/>
      <c r="CR371" s="305"/>
      <c r="CT371" s="116"/>
      <c r="DB371" s="1"/>
      <c r="DC371" s="1"/>
      <c r="DD371" s="1"/>
      <c r="DE371" s="1"/>
      <c r="DF371" s="1"/>
      <c r="DG371" s="1"/>
      <c r="DH371" s="1"/>
      <c r="DI371" s="1"/>
      <c r="DJ371" s="655"/>
      <c r="DL371" s="116"/>
    </row>
    <row r="372" spans="2:116" ht="15.75" customHeight="1" x14ac:dyDescent="0.3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874"/>
      <c r="AR372" s="874"/>
      <c r="AS372" s="874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43"/>
      <c r="BN372" s="116"/>
      <c r="BW372" s="1"/>
      <c r="BX372" s="1"/>
      <c r="BY372" s="1"/>
      <c r="BZ372" s="655"/>
      <c r="CB372" s="656"/>
      <c r="CC372" s="1"/>
      <c r="CD372" s="1"/>
      <c r="CE372" s="1"/>
      <c r="CF372" s="1"/>
      <c r="CG372" s="1"/>
      <c r="CH372" s="1"/>
      <c r="CI372" s="1"/>
      <c r="CJ372" s="1"/>
      <c r="CR372" s="305"/>
      <c r="CT372" s="116"/>
      <c r="DB372" s="1"/>
      <c r="DC372" s="1"/>
      <c r="DD372" s="1"/>
      <c r="DE372" s="1"/>
      <c r="DF372" s="1"/>
      <c r="DG372" s="1"/>
      <c r="DH372" s="1"/>
      <c r="DI372" s="1"/>
      <c r="DJ372" s="655"/>
      <c r="DL372" s="116"/>
    </row>
    <row r="373" spans="2:116" ht="15.75" customHeight="1" x14ac:dyDescent="0.3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874"/>
      <c r="AR373" s="874"/>
      <c r="AS373" s="874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43"/>
      <c r="BN373" s="116"/>
      <c r="BW373" s="1"/>
      <c r="BX373" s="1"/>
      <c r="BY373" s="1"/>
      <c r="BZ373" s="655"/>
      <c r="CB373" s="656"/>
      <c r="CC373" s="1"/>
      <c r="CD373" s="1"/>
      <c r="CE373" s="1"/>
      <c r="CF373" s="1"/>
      <c r="CG373" s="1"/>
      <c r="CH373" s="1"/>
      <c r="CI373" s="1"/>
      <c r="CJ373" s="1"/>
      <c r="CR373" s="305"/>
      <c r="CT373" s="116"/>
      <c r="DB373" s="1"/>
      <c r="DC373" s="1"/>
      <c r="DD373" s="1"/>
      <c r="DE373" s="1"/>
      <c r="DF373" s="1"/>
      <c r="DG373" s="1"/>
      <c r="DH373" s="1"/>
      <c r="DI373" s="1"/>
      <c r="DJ373" s="655"/>
      <c r="DL373" s="116"/>
    </row>
    <row r="374" spans="2:116" ht="15.75" customHeight="1" x14ac:dyDescent="0.3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874"/>
      <c r="AR374" s="874"/>
      <c r="AS374" s="874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43"/>
      <c r="BN374" s="116"/>
      <c r="BW374" s="1"/>
      <c r="BX374" s="1"/>
      <c r="BY374" s="1"/>
      <c r="BZ374" s="655"/>
      <c r="CB374" s="656"/>
      <c r="CC374" s="1"/>
      <c r="CD374" s="1"/>
      <c r="CE374" s="1"/>
      <c r="CF374" s="1"/>
      <c r="CG374" s="1"/>
      <c r="CH374" s="1"/>
      <c r="CI374" s="1"/>
      <c r="CJ374" s="1"/>
      <c r="CR374" s="305"/>
      <c r="CT374" s="116"/>
      <c r="DB374" s="1"/>
      <c r="DC374" s="1"/>
      <c r="DD374" s="1"/>
      <c r="DE374" s="1"/>
      <c r="DF374" s="1"/>
      <c r="DG374" s="1"/>
      <c r="DH374" s="1"/>
      <c r="DI374" s="1"/>
      <c r="DJ374" s="655"/>
      <c r="DL374" s="116"/>
    </row>
    <row r="375" spans="2:116" ht="15.75" customHeight="1" x14ac:dyDescent="0.3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874"/>
      <c r="AR375" s="874"/>
      <c r="AS375" s="874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43"/>
      <c r="BN375" s="116"/>
      <c r="BW375" s="1"/>
      <c r="BX375" s="1"/>
      <c r="BY375" s="1"/>
      <c r="BZ375" s="655"/>
      <c r="CB375" s="656"/>
      <c r="CC375" s="1"/>
      <c r="CD375" s="1"/>
      <c r="CE375" s="1"/>
      <c r="CF375" s="1"/>
      <c r="CG375" s="1"/>
      <c r="CH375" s="1"/>
      <c r="CI375" s="1"/>
      <c r="CJ375" s="1"/>
      <c r="CR375" s="305"/>
      <c r="CT375" s="116"/>
      <c r="DB375" s="1"/>
      <c r="DC375" s="1"/>
      <c r="DD375" s="1"/>
      <c r="DE375" s="1"/>
      <c r="DF375" s="1"/>
      <c r="DG375" s="1"/>
      <c r="DH375" s="1"/>
      <c r="DI375" s="1"/>
      <c r="DJ375" s="655"/>
      <c r="DL375" s="116"/>
    </row>
    <row r="376" spans="2:116" ht="15.75" customHeight="1" x14ac:dyDescent="0.3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874"/>
      <c r="AR376" s="874"/>
      <c r="AS376" s="874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43"/>
      <c r="BN376" s="116"/>
      <c r="BW376" s="1"/>
      <c r="BX376" s="1"/>
      <c r="BY376" s="1"/>
      <c r="BZ376" s="655"/>
      <c r="CB376" s="656"/>
      <c r="CC376" s="1"/>
      <c r="CD376" s="1"/>
      <c r="CE376" s="1"/>
      <c r="CF376" s="1"/>
      <c r="CG376" s="1"/>
      <c r="CH376" s="1"/>
      <c r="CI376" s="1"/>
      <c r="CJ376" s="1"/>
      <c r="CR376" s="305"/>
      <c r="CT376" s="116"/>
      <c r="DB376" s="1"/>
      <c r="DC376" s="1"/>
      <c r="DD376" s="1"/>
      <c r="DE376" s="1"/>
      <c r="DF376" s="1"/>
      <c r="DG376" s="1"/>
      <c r="DH376" s="1"/>
      <c r="DI376" s="1"/>
      <c r="DJ376" s="655"/>
      <c r="DL376" s="116"/>
    </row>
    <row r="377" spans="2:116" ht="15.75" customHeight="1" x14ac:dyDescent="0.3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874"/>
      <c r="AR377" s="874"/>
      <c r="AS377" s="874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43"/>
      <c r="BN377" s="116"/>
      <c r="BW377" s="1"/>
      <c r="BX377" s="1"/>
      <c r="BY377" s="1"/>
      <c r="BZ377" s="655"/>
      <c r="CB377" s="656"/>
      <c r="CC377" s="1"/>
      <c r="CD377" s="1"/>
      <c r="CE377" s="1"/>
      <c r="CF377" s="1"/>
      <c r="CG377" s="1"/>
      <c r="CH377" s="1"/>
      <c r="CI377" s="1"/>
      <c r="CJ377" s="1"/>
      <c r="CR377" s="305"/>
      <c r="CT377" s="116"/>
      <c r="DB377" s="1"/>
      <c r="DC377" s="1"/>
      <c r="DD377" s="1"/>
      <c r="DE377" s="1"/>
      <c r="DF377" s="1"/>
      <c r="DG377" s="1"/>
      <c r="DH377" s="1"/>
      <c r="DI377" s="1"/>
      <c r="DJ377" s="655"/>
      <c r="DL377" s="116"/>
    </row>
    <row r="378" spans="2:116" ht="15.75" customHeight="1" x14ac:dyDescent="0.3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874"/>
      <c r="AR378" s="874"/>
      <c r="AS378" s="874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43"/>
      <c r="BN378" s="116"/>
      <c r="BW378" s="1"/>
      <c r="BX378" s="1"/>
      <c r="BY378" s="1"/>
      <c r="BZ378" s="655"/>
      <c r="CB378" s="656"/>
      <c r="CC378" s="1"/>
      <c r="CD378" s="1"/>
      <c r="CE378" s="1"/>
      <c r="CF378" s="1"/>
      <c r="CG378" s="1"/>
      <c r="CH378" s="1"/>
      <c r="CI378" s="1"/>
      <c r="CJ378" s="1"/>
      <c r="CR378" s="305"/>
      <c r="CT378" s="116"/>
      <c r="DB378" s="1"/>
      <c r="DC378" s="1"/>
      <c r="DD378" s="1"/>
      <c r="DE378" s="1"/>
      <c r="DF378" s="1"/>
      <c r="DG378" s="1"/>
      <c r="DH378" s="1"/>
      <c r="DI378" s="1"/>
      <c r="DJ378" s="655"/>
      <c r="DL378" s="116"/>
    </row>
    <row r="379" spans="2:116" ht="15.75" customHeight="1" x14ac:dyDescent="0.3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874"/>
      <c r="AR379" s="874"/>
      <c r="AS379" s="874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43"/>
      <c r="BN379" s="116"/>
      <c r="BW379" s="1"/>
      <c r="BX379" s="1"/>
      <c r="BY379" s="1"/>
      <c r="BZ379" s="655"/>
      <c r="CB379" s="656"/>
      <c r="CC379" s="1"/>
      <c r="CD379" s="1"/>
      <c r="CE379" s="1"/>
      <c r="CF379" s="1"/>
      <c r="CG379" s="1"/>
      <c r="CH379" s="1"/>
      <c r="CI379" s="1"/>
      <c r="CJ379" s="1"/>
      <c r="CR379" s="305"/>
      <c r="CT379" s="116"/>
      <c r="DB379" s="1"/>
      <c r="DC379" s="1"/>
      <c r="DD379" s="1"/>
      <c r="DE379" s="1"/>
      <c r="DF379" s="1"/>
      <c r="DG379" s="1"/>
      <c r="DH379" s="1"/>
      <c r="DI379" s="1"/>
      <c r="DJ379" s="655"/>
      <c r="DL379" s="116"/>
    </row>
    <row r="380" spans="2:116" ht="15.75" customHeight="1" x14ac:dyDescent="0.3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874"/>
      <c r="AR380" s="874"/>
      <c r="AS380" s="874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43"/>
      <c r="BN380" s="116"/>
      <c r="BW380" s="1"/>
      <c r="BX380" s="1"/>
      <c r="BY380" s="1"/>
      <c r="BZ380" s="655"/>
      <c r="CB380" s="656"/>
      <c r="CC380" s="1"/>
      <c r="CD380" s="1"/>
      <c r="CE380" s="1"/>
      <c r="CF380" s="1"/>
      <c r="CG380" s="1"/>
      <c r="CH380" s="1"/>
      <c r="CI380" s="1"/>
      <c r="CJ380" s="1"/>
      <c r="CR380" s="305"/>
      <c r="CT380" s="116"/>
      <c r="DB380" s="1"/>
      <c r="DC380" s="1"/>
      <c r="DD380" s="1"/>
      <c r="DE380" s="1"/>
      <c r="DF380" s="1"/>
      <c r="DG380" s="1"/>
      <c r="DH380" s="1"/>
      <c r="DI380" s="1"/>
      <c r="DJ380" s="655"/>
      <c r="DL380" s="116"/>
    </row>
    <row r="381" spans="2:116" ht="15.75" customHeight="1" x14ac:dyDescent="0.3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874"/>
      <c r="AR381" s="874"/>
      <c r="AS381" s="874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43"/>
      <c r="BN381" s="116"/>
      <c r="BW381" s="1"/>
      <c r="BX381" s="1"/>
      <c r="BY381" s="1"/>
      <c r="BZ381" s="655"/>
      <c r="CB381" s="656"/>
      <c r="CC381" s="1"/>
      <c r="CD381" s="1"/>
      <c r="CE381" s="1"/>
      <c r="CF381" s="1"/>
      <c r="CG381" s="1"/>
      <c r="CH381" s="1"/>
      <c r="CI381" s="1"/>
      <c r="CJ381" s="1"/>
      <c r="CR381" s="305"/>
      <c r="CT381" s="116"/>
      <c r="DB381" s="1"/>
      <c r="DC381" s="1"/>
      <c r="DD381" s="1"/>
      <c r="DE381" s="1"/>
      <c r="DF381" s="1"/>
      <c r="DG381" s="1"/>
      <c r="DH381" s="1"/>
      <c r="DI381" s="1"/>
      <c r="DJ381" s="655"/>
      <c r="DL381" s="116"/>
    </row>
    <row r="382" spans="2:116" ht="15.75" customHeight="1" x14ac:dyDescent="0.3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874"/>
      <c r="AR382" s="874"/>
      <c r="AS382" s="874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43"/>
      <c r="BN382" s="116"/>
      <c r="BW382" s="1"/>
      <c r="BX382" s="1"/>
      <c r="BY382" s="1"/>
      <c r="BZ382" s="655"/>
      <c r="CB382" s="656"/>
      <c r="CC382" s="1"/>
      <c r="CD382" s="1"/>
      <c r="CE382" s="1"/>
      <c r="CF382" s="1"/>
      <c r="CG382" s="1"/>
      <c r="CH382" s="1"/>
      <c r="CI382" s="1"/>
      <c r="CJ382" s="1"/>
      <c r="CR382" s="305"/>
      <c r="CT382" s="116"/>
      <c r="DB382" s="1"/>
      <c r="DC382" s="1"/>
      <c r="DD382" s="1"/>
      <c r="DE382" s="1"/>
      <c r="DF382" s="1"/>
      <c r="DG382" s="1"/>
      <c r="DH382" s="1"/>
      <c r="DI382" s="1"/>
      <c r="DJ382" s="655"/>
      <c r="DL382" s="116"/>
    </row>
    <row r="383" spans="2:116" ht="15.75" customHeight="1" x14ac:dyDescent="0.3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874"/>
      <c r="AR383" s="874"/>
      <c r="AS383" s="874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43"/>
      <c r="BN383" s="116"/>
      <c r="BW383" s="1"/>
      <c r="BX383" s="1"/>
      <c r="BY383" s="1"/>
      <c r="BZ383" s="655"/>
      <c r="CB383" s="656"/>
      <c r="CC383" s="1"/>
      <c r="CD383" s="1"/>
      <c r="CE383" s="1"/>
      <c r="CF383" s="1"/>
      <c r="CG383" s="1"/>
      <c r="CH383" s="1"/>
      <c r="CI383" s="1"/>
      <c r="CJ383" s="1"/>
      <c r="CR383" s="305"/>
      <c r="CT383" s="116"/>
      <c r="DB383" s="1"/>
      <c r="DC383" s="1"/>
      <c r="DD383" s="1"/>
      <c r="DE383" s="1"/>
      <c r="DF383" s="1"/>
      <c r="DG383" s="1"/>
      <c r="DH383" s="1"/>
      <c r="DI383" s="1"/>
      <c r="DJ383" s="655"/>
      <c r="DL383" s="116"/>
    </row>
    <row r="384" spans="2:116" ht="15.75" customHeight="1" x14ac:dyDescent="0.3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874"/>
      <c r="AR384" s="874"/>
      <c r="AS384" s="874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43"/>
      <c r="BN384" s="116"/>
      <c r="BW384" s="1"/>
      <c r="BX384" s="1"/>
      <c r="BY384" s="1"/>
      <c r="BZ384" s="655"/>
      <c r="CB384" s="656"/>
      <c r="CC384" s="1"/>
      <c r="CD384" s="1"/>
      <c r="CE384" s="1"/>
      <c r="CF384" s="1"/>
      <c r="CG384" s="1"/>
      <c r="CH384" s="1"/>
      <c r="CI384" s="1"/>
      <c r="CJ384" s="1"/>
      <c r="CR384" s="305"/>
      <c r="CT384" s="116"/>
      <c r="DB384" s="1"/>
      <c r="DC384" s="1"/>
      <c r="DD384" s="1"/>
      <c r="DE384" s="1"/>
      <c r="DF384" s="1"/>
      <c r="DG384" s="1"/>
      <c r="DH384" s="1"/>
      <c r="DI384" s="1"/>
      <c r="DJ384" s="655"/>
      <c r="DL384" s="116"/>
    </row>
    <row r="385" spans="2:116" ht="15.75" customHeight="1" x14ac:dyDescent="0.3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874"/>
      <c r="AR385" s="874"/>
      <c r="AS385" s="874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43"/>
      <c r="BN385" s="116"/>
      <c r="BW385" s="1"/>
      <c r="BX385" s="1"/>
      <c r="BY385" s="1"/>
      <c r="BZ385" s="655"/>
      <c r="CB385" s="656"/>
      <c r="CC385" s="1"/>
      <c r="CD385" s="1"/>
      <c r="CE385" s="1"/>
      <c r="CF385" s="1"/>
      <c r="CG385" s="1"/>
      <c r="CH385" s="1"/>
      <c r="CI385" s="1"/>
      <c r="CJ385" s="1"/>
      <c r="CR385" s="305"/>
      <c r="CT385" s="116"/>
      <c r="DB385" s="1"/>
      <c r="DC385" s="1"/>
      <c r="DD385" s="1"/>
      <c r="DE385" s="1"/>
      <c r="DF385" s="1"/>
      <c r="DG385" s="1"/>
      <c r="DH385" s="1"/>
      <c r="DI385" s="1"/>
      <c r="DJ385" s="655"/>
      <c r="DL385" s="116"/>
    </row>
    <row r="386" spans="2:116" ht="15.75" customHeight="1" x14ac:dyDescent="0.3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874"/>
      <c r="AR386" s="874"/>
      <c r="AS386" s="874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43"/>
      <c r="BN386" s="116"/>
      <c r="BW386" s="1"/>
      <c r="BX386" s="1"/>
      <c r="BY386" s="1"/>
      <c r="BZ386" s="655"/>
      <c r="CB386" s="656"/>
      <c r="CC386" s="1"/>
      <c r="CD386" s="1"/>
      <c r="CE386" s="1"/>
      <c r="CF386" s="1"/>
      <c r="CG386" s="1"/>
      <c r="CH386" s="1"/>
      <c r="CI386" s="1"/>
      <c r="CJ386" s="1"/>
      <c r="CR386" s="305"/>
      <c r="CT386" s="116"/>
      <c r="DB386" s="1"/>
      <c r="DC386" s="1"/>
      <c r="DD386" s="1"/>
      <c r="DE386" s="1"/>
      <c r="DF386" s="1"/>
      <c r="DG386" s="1"/>
      <c r="DH386" s="1"/>
      <c r="DI386" s="1"/>
      <c r="DJ386" s="655"/>
      <c r="DL386" s="116"/>
    </row>
    <row r="387" spans="2:116" ht="15.75" customHeight="1" x14ac:dyDescent="0.3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874"/>
      <c r="AR387" s="874"/>
      <c r="AS387" s="874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43"/>
      <c r="BN387" s="116"/>
      <c r="BW387" s="1"/>
      <c r="BX387" s="1"/>
      <c r="BY387" s="1"/>
      <c r="BZ387" s="655"/>
      <c r="CB387" s="656"/>
      <c r="CC387" s="1"/>
      <c r="CD387" s="1"/>
      <c r="CE387" s="1"/>
      <c r="CF387" s="1"/>
      <c r="CG387" s="1"/>
      <c r="CH387" s="1"/>
      <c r="CI387" s="1"/>
      <c r="CJ387" s="1"/>
      <c r="CR387" s="305"/>
      <c r="CT387" s="116"/>
      <c r="DB387" s="1"/>
      <c r="DC387" s="1"/>
      <c r="DD387" s="1"/>
      <c r="DE387" s="1"/>
      <c r="DF387" s="1"/>
      <c r="DG387" s="1"/>
      <c r="DH387" s="1"/>
      <c r="DI387" s="1"/>
      <c r="DJ387" s="655"/>
      <c r="DL387" s="116"/>
    </row>
    <row r="388" spans="2:116" ht="15.75" customHeight="1" x14ac:dyDescent="0.3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874"/>
      <c r="AR388" s="874"/>
      <c r="AS388" s="874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43"/>
      <c r="BN388" s="116"/>
      <c r="BW388" s="1"/>
      <c r="BX388" s="1"/>
      <c r="BY388" s="1"/>
      <c r="BZ388" s="655"/>
      <c r="CB388" s="656"/>
      <c r="CC388" s="1"/>
      <c r="CD388" s="1"/>
      <c r="CE388" s="1"/>
      <c r="CF388" s="1"/>
      <c r="CG388" s="1"/>
      <c r="CH388" s="1"/>
      <c r="CI388" s="1"/>
      <c r="CJ388" s="1"/>
      <c r="CR388" s="305"/>
      <c r="CT388" s="116"/>
      <c r="DB388" s="1"/>
      <c r="DC388" s="1"/>
      <c r="DD388" s="1"/>
      <c r="DE388" s="1"/>
      <c r="DF388" s="1"/>
      <c r="DG388" s="1"/>
      <c r="DH388" s="1"/>
      <c r="DI388" s="1"/>
      <c r="DJ388" s="655"/>
      <c r="DL388" s="116"/>
    </row>
    <row r="389" spans="2:116" ht="15.75" customHeight="1" x14ac:dyDescent="0.3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874"/>
      <c r="AR389" s="874"/>
      <c r="AS389" s="874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43"/>
      <c r="BN389" s="116"/>
      <c r="BW389" s="1"/>
      <c r="BX389" s="1"/>
      <c r="BY389" s="1"/>
      <c r="BZ389" s="655"/>
      <c r="CB389" s="656"/>
      <c r="CC389" s="1"/>
      <c r="CD389" s="1"/>
      <c r="CE389" s="1"/>
      <c r="CF389" s="1"/>
      <c r="CG389" s="1"/>
      <c r="CH389" s="1"/>
      <c r="CI389" s="1"/>
      <c r="CJ389" s="1"/>
      <c r="CR389" s="305"/>
      <c r="CT389" s="116"/>
      <c r="DB389" s="1"/>
      <c r="DC389" s="1"/>
      <c r="DD389" s="1"/>
      <c r="DE389" s="1"/>
      <c r="DF389" s="1"/>
      <c r="DG389" s="1"/>
      <c r="DH389" s="1"/>
      <c r="DI389" s="1"/>
      <c r="DJ389" s="655"/>
      <c r="DL389" s="116"/>
    </row>
    <row r="390" spans="2:116" ht="15.75" customHeight="1" x14ac:dyDescent="0.3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874"/>
      <c r="AR390" s="874"/>
      <c r="AS390" s="874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43"/>
      <c r="BN390" s="116"/>
      <c r="BW390" s="1"/>
      <c r="BX390" s="1"/>
      <c r="BY390" s="1"/>
      <c r="BZ390" s="655"/>
      <c r="CB390" s="656"/>
      <c r="CC390" s="1"/>
      <c r="CD390" s="1"/>
      <c r="CE390" s="1"/>
      <c r="CF390" s="1"/>
      <c r="CG390" s="1"/>
      <c r="CH390" s="1"/>
      <c r="CI390" s="1"/>
      <c r="CJ390" s="1"/>
      <c r="CR390" s="305"/>
      <c r="CT390" s="116"/>
      <c r="DB390" s="1"/>
      <c r="DC390" s="1"/>
      <c r="DD390" s="1"/>
      <c r="DE390" s="1"/>
      <c r="DF390" s="1"/>
      <c r="DG390" s="1"/>
      <c r="DH390" s="1"/>
      <c r="DI390" s="1"/>
      <c r="DJ390" s="655"/>
      <c r="DL390" s="116"/>
    </row>
    <row r="391" spans="2:116" ht="15.75" customHeight="1" x14ac:dyDescent="0.3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874"/>
      <c r="AR391" s="874"/>
      <c r="AS391" s="874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43"/>
      <c r="BN391" s="116"/>
      <c r="BW391" s="1"/>
      <c r="BX391" s="1"/>
      <c r="BY391" s="1"/>
      <c r="BZ391" s="655"/>
      <c r="CB391" s="656"/>
      <c r="CC391" s="1"/>
      <c r="CD391" s="1"/>
      <c r="CE391" s="1"/>
      <c r="CF391" s="1"/>
      <c r="CG391" s="1"/>
      <c r="CH391" s="1"/>
      <c r="CI391" s="1"/>
      <c r="CJ391" s="1"/>
      <c r="CR391" s="305"/>
      <c r="CT391" s="116"/>
      <c r="DB391" s="1"/>
      <c r="DC391" s="1"/>
      <c r="DD391" s="1"/>
      <c r="DE391" s="1"/>
      <c r="DF391" s="1"/>
      <c r="DG391" s="1"/>
      <c r="DH391" s="1"/>
      <c r="DI391" s="1"/>
      <c r="DJ391" s="655"/>
      <c r="DL391" s="116"/>
    </row>
    <row r="392" spans="2:116" ht="15.75" customHeight="1" x14ac:dyDescent="0.3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874"/>
      <c r="AR392" s="874"/>
      <c r="AS392" s="874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43"/>
      <c r="BN392" s="116"/>
      <c r="BW392" s="1"/>
      <c r="BX392" s="1"/>
      <c r="BY392" s="1"/>
      <c r="BZ392" s="655"/>
      <c r="CB392" s="656"/>
      <c r="CC392" s="1"/>
      <c r="CD392" s="1"/>
      <c r="CE392" s="1"/>
      <c r="CF392" s="1"/>
      <c r="CG392" s="1"/>
      <c r="CH392" s="1"/>
      <c r="CI392" s="1"/>
      <c r="CJ392" s="1"/>
      <c r="CR392" s="305"/>
      <c r="CT392" s="116"/>
      <c r="DB392" s="1"/>
      <c r="DC392" s="1"/>
      <c r="DD392" s="1"/>
      <c r="DE392" s="1"/>
      <c r="DF392" s="1"/>
      <c r="DG392" s="1"/>
      <c r="DH392" s="1"/>
      <c r="DI392" s="1"/>
      <c r="DJ392" s="655"/>
      <c r="DL392" s="116"/>
    </row>
    <row r="393" spans="2:116" ht="15.75" customHeight="1" x14ac:dyDescent="0.3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874"/>
      <c r="AR393" s="874"/>
      <c r="AS393" s="874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43"/>
      <c r="BN393" s="116"/>
      <c r="BW393" s="1"/>
      <c r="BX393" s="1"/>
      <c r="BY393" s="1"/>
      <c r="BZ393" s="655"/>
      <c r="CB393" s="656"/>
      <c r="CC393" s="1"/>
      <c r="CD393" s="1"/>
      <c r="CE393" s="1"/>
      <c r="CF393" s="1"/>
      <c r="CG393" s="1"/>
      <c r="CH393" s="1"/>
      <c r="CI393" s="1"/>
      <c r="CJ393" s="1"/>
      <c r="CR393" s="305"/>
      <c r="CT393" s="116"/>
      <c r="DB393" s="1"/>
      <c r="DC393" s="1"/>
      <c r="DD393" s="1"/>
      <c r="DE393" s="1"/>
      <c r="DF393" s="1"/>
      <c r="DG393" s="1"/>
      <c r="DH393" s="1"/>
      <c r="DI393" s="1"/>
      <c r="DJ393" s="655"/>
      <c r="DL393" s="116"/>
    </row>
    <row r="394" spans="2:116" ht="15.75" customHeight="1" x14ac:dyDescent="0.3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874"/>
      <c r="AR394" s="874"/>
      <c r="AS394" s="874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43"/>
      <c r="BN394" s="116"/>
      <c r="BW394" s="1"/>
      <c r="BX394" s="1"/>
      <c r="BY394" s="1"/>
      <c r="BZ394" s="655"/>
      <c r="CB394" s="656"/>
      <c r="CC394" s="1"/>
      <c r="CD394" s="1"/>
      <c r="CE394" s="1"/>
      <c r="CF394" s="1"/>
      <c r="CG394" s="1"/>
      <c r="CH394" s="1"/>
      <c r="CI394" s="1"/>
      <c r="CJ394" s="1"/>
      <c r="CR394" s="305"/>
      <c r="CT394" s="116"/>
      <c r="DB394" s="1"/>
      <c r="DC394" s="1"/>
      <c r="DD394" s="1"/>
      <c r="DE394" s="1"/>
      <c r="DF394" s="1"/>
      <c r="DG394" s="1"/>
      <c r="DH394" s="1"/>
      <c r="DI394" s="1"/>
      <c r="DJ394" s="655"/>
      <c r="DL394" s="116"/>
    </row>
    <row r="395" spans="2:116" ht="15.75" customHeight="1" x14ac:dyDescent="0.3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874"/>
      <c r="AR395" s="874"/>
      <c r="AS395" s="874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43"/>
      <c r="BN395" s="116"/>
      <c r="BW395" s="1"/>
      <c r="BX395" s="1"/>
      <c r="BY395" s="1"/>
      <c r="BZ395" s="655"/>
      <c r="CB395" s="656"/>
      <c r="CC395" s="1"/>
      <c r="CD395" s="1"/>
      <c r="CE395" s="1"/>
      <c r="CF395" s="1"/>
      <c r="CG395" s="1"/>
      <c r="CH395" s="1"/>
      <c r="CI395" s="1"/>
      <c r="CJ395" s="1"/>
      <c r="CR395" s="305"/>
      <c r="CT395" s="116"/>
      <c r="DB395" s="1"/>
      <c r="DC395" s="1"/>
      <c r="DD395" s="1"/>
      <c r="DE395" s="1"/>
      <c r="DF395" s="1"/>
      <c r="DG395" s="1"/>
      <c r="DH395" s="1"/>
      <c r="DI395" s="1"/>
      <c r="DJ395" s="655"/>
      <c r="DL395" s="116"/>
    </row>
    <row r="396" spans="2:116" ht="15.75" customHeight="1" x14ac:dyDescent="0.3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874"/>
      <c r="AR396" s="874"/>
      <c r="AS396" s="874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43"/>
      <c r="BN396" s="116"/>
      <c r="BW396" s="1"/>
      <c r="BX396" s="1"/>
      <c r="BY396" s="1"/>
      <c r="BZ396" s="655"/>
      <c r="CB396" s="656"/>
      <c r="CC396" s="1"/>
      <c r="CD396" s="1"/>
      <c r="CE396" s="1"/>
      <c r="CF396" s="1"/>
      <c r="CG396" s="1"/>
      <c r="CH396" s="1"/>
      <c r="CI396" s="1"/>
      <c r="CJ396" s="1"/>
      <c r="CR396" s="305"/>
      <c r="CT396" s="116"/>
      <c r="DB396" s="1"/>
      <c r="DC396" s="1"/>
      <c r="DD396" s="1"/>
      <c r="DE396" s="1"/>
      <c r="DF396" s="1"/>
      <c r="DG396" s="1"/>
      <c r="DH396" s="1"/>
      <c r="DI396" s="1"/>
      <c r="DJ396" s="655"/>
      <c r="DL396" s="116"/>
    </row>
    <row r="397" spans="2:116" ht="15.75" customHeight="1" x14ac:dyDescent="0.3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874"/>
      <c r="AR397" s="874"/>
      <c r="AS397" s="874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43"/>
      <c r="BN397" s="116"/>
      <c r="BW397" s="1"/>
      <c r="BX397" s="1"/>
      <c r="BY397" s="1"/>
      <c r="BZ397" s="655"/>
      <c r="CB397" s="656"/>
      <c r="CC397" s="1"/>
      <c r="CD397" s="1"/>
      <c r="CE397" s="1"/>
      <c r="CF397" s="1"/>
      <c r="CG397" s="1"/>
      <c r="CH397" s="1"/>
      <c r="CI397" s="1"/>
      <c r="CJ397" s="1"/>
      <c r="CR397" s="305"/>
      <c r="CT397" s="116"/>
      <c r="DB397" s="1"/>
      <c r="DC397" s="1"/>
      <c r="DD397" s="1"/>
      <c r="DE397" s="1"/>
      <c r="DF397" s="1"/>
      <c r="DG397" s="1"/>
      <c r="DH397" s="1"/>
      <c r="DI397" s="1"/>
      <c r="DJ397" s="655"/>
      <c r="DL397" s="116"/>
    </row>
    <row r="398" spans="2:116" ht="15.75" customHeight="1" x14ac:dyDescent="0.3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874"/>
      <c r="AR398" s="874"/>
      <c r="AS398" s="874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43"/>
      <c r="BN398" s="116"/>
      <c r="BW398" s="1"/>
      <c r="BX398" s="1"/>
      <c r="BY398" s="1"/>
      <c r="BZ398" s="655"/>
      <c r="CB398" s="656"/>
      <c r="CC398" s="1"/>
      <c r="CD398" s="1"/>
      <c r="CE398" s="1"/>
      <c r="CF398" s="1"/>
      <c r="CG398" s="1"/>
      <c r="CH398" s="1"/>
      <c r="CI398" s="1"/>
      <c r="CJ398" s="1"/>
      <c r="CR398" s="305"/>
      <c r="CT398" s="116"/>
      <c r="DB398" s="1"/>
      <c r="DC398" s="1"/>
      <c r="DD398" s="1"/>
      <c r="DE398" s="1"/>
      <c r="DF398" s="1"/>
      <c r="DG398" s="1"/>
      <c r="DH398" s="1"/>
      <c r="DI398" s="1"/>
      <c r="DJ398" s="655"/>
      <c r="DL398" s="116"/>
    </row>
    <row r="399" spans="2:116" ht="15.75" customHeight="1" x14ac:dyDescent="0.3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874"/>
      <c r="AR399" s="874"/>
      <c r="AS399" s="874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43"/>
      <c r="BN399" s="116"/>
      <c r="BW399" s="1"/>
      <c r="BX399" s="1"/>
      <c r="BY399" s="1"/>
      <c r="BZ399" s="655"/>
      <c r="CB399" s="656"/>
      <c r="CC399" s="1"/>
      <c r="CD399" s="1"/>
      <c r="CE399" s="1"/>
      <c r="CF399" s="1"/>
      <c r="CG399" s="1"/>
      <c r="CH399" s="1"/>
      <c r="CI399" s="1"/>
      <c r="CJ399" s="1"/>
      <c r="CR399" s="305"/>
      <c r="CT399" s="116"/>
      <c r="DB399" s="1"/>
      <c r="DC399" s="1"/>
      <c r="DD399" s="1"/>
      <c r="DE399" s="1"/>
      <c r="DF399" s="1"/>
      <c r="DG399" s="1"/>
      <c r="DH399" s="1"/>
      <c r="DI399" s="1"/>
      <c r="DJ399" s="655"/>
      <c r="DL399" s="116"/>
    </row>
    <row r="400" spans="2:116" ht="15.75" customHeight="1" x14ac:dyDescent="0.3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874"/>
      <c r="AR400" s="874"/>
      <c r="AS400" s="874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43"/>
      <c r="BN400" s="116"/>
      <c r="BW400" s="1"/>
      <c r="BX400" s="1"/>
      <c r="BY400" s="1"/>
      <c r="BZ400" s="655"/>
      <c r="CB400" s="656"/>
      <c r="CC400" s="1"/>
      <c r="CD400" s="1"/>
      <c r="CE400" s="1"/>
      <c r="CF400" s="1"/>
      <c r="CG400" s="1"/>
      <c r="CH400" s="1"/>
      <c r="CI400" s="1"/>
      <c r="CJ400" s="1"/>
      <c r="CR400" s="305"/>
      <c r="CT400" s="116"/>
      <c r="DB400" s="1"/>
      <c r="DC400" s="1"/>
      <c r="DD400" s="1"/>
      <c r="DE400" s="1"/>
      <c r="DF400" s="1"/>
      <c r="DG400" s="1"/>
      <c r="DH400" s="1"/>
      <c r="DI400" s="1"/>
      <c r="DJ400" s="655"/>
      <c r="DL400" s="116"/>
    </row>
    <row r="401" spans="2:116" ht="15.75" customHeight="1" x14ac:dyDescent="0.3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874"/>
      <c r="AR401" s="874"/>
      <c r="AS401" s="874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43"/>
      <c r="BN401" s="116"/>
      <c r="BW401" s="1"/>
      <c r="BX401" s="1"/>
      <c r="BY401" s="1"/>
      <c r="BZ401" s="655"/>
      <c r="CB401" s="656"/>
      <c r="CC401" s="1"/>
      <c r="CD401" s="1"/>
      <c r="CE401" s="1"/>
      <c r="CF401" s="1"/>
      <c r="CG401" s="1"/>
      <c r="CH401" s="1"/>
      <c r="CI401" s="1"/>
      <c r="CJ401" s="1"/>
      <c r="CR401" s="305"/>
      <c r="CT401" s="116"/>
      <c r="DB401" s="1"/>
      <c r="DC401" s="1"/>
      <c r="DD401" s="1"/>
      <c r="DE401" s="1"/>
      <c r="DF401" s="1"/>
      <c r="DG401" s="1"/>
      <c r="DH401" s="1"/>
      <c r="DI401" s="1"/>
      <c r="DJ401" s="655"/>
      <c r="DL401" s="116"/>
    </row>
    <row r="402" spans="2:116" ht="15.75" customHeight="1" x14ac:dyDescent="0.3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874"/>
      <c r="AR402" s="874"/>
      <c r="AS402" s="874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43"/>
      <c r="BN402" s="116"/>
      <c r="BW402" s="1"/>
      <c r="BX402" s="1"/>
      <c r="BY402" s="1"/>
      <c r="BZ402" s="655"/>
      <c r="CB402" s="656"/>
      <c r="CC402" s="1"/>
      <c r="CD402" s="1"/>
      <c r="CE402" s="1"/>
      <c r="CF402" s="1"/>
      <c r="CG402" s="1"/>
      <c r="CH402" s="1"/>
      <c r="CI402" s="1"/>
      <c r="CJ402" s="1"/>
      <c r="CR402" s="305"/>
      <c r="CT402" s="116"/>
      <c r="DB402" s="1"/>
      <c r="DC402" s="1"/>
      <c r="DD402" s="1"/>
      <c r="DE402" s="1"/>
      <c r="DF402" s="1"/>
      <c r="DG402" s="1"/>
      <c r="DH402" s="1"/>
      <c r="DI402" s="1"/>
      <c r="DJ402" s="655"/>
      <c r="DL402" s="116"/>
    </row>
    <row r="403" spans="2:116" ht="15.75" customHeight="1" x14ac:dyDescent="0.3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874"/>
      <c r="AR403" s="874"/>
      <c r="AS403" s="874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43"/>
      <c r="BN403" s="116"/>
      <c r="BW403" s="1"/>
      <c r="BX403" s="1"/>
      <c r="BY403" s="1"/>
      <c r="BZ403" s="655"/>
      <c r="CB403" s="656"/>
      <c r="CC403" s="1"/>
      <c r="CD403" s="1"/>
      <c r="CE403" s="1"/>
      <c r="CF403" s="1"/>
      <c r="CG403" s="1"/>
      <c r="CH403" s="1"/>
      <c r="CI403" s="1"/>
      <c r="CJ403" s="1"/>
      <c r="CR403" s="305"/>
      <c r="CT403" s="116"/>
      <c r="DB403" s="1"/>
      <c r="DC403" s="1"/>
      <c r="DD403" s="1"/>
      <c r="DE403" s="1"/>
      <c r="DF403" s="1"/>
      <c r="DG403" s="1"/>
      <c r="DH403" s="1"/>
      <c r="DI403" s="1"/>
      <c r="DJ403" s="655"/>
      <c r="DL403" s="116"/>
    </row>
    <row r="404" spans="2:116" ht="15.75" customHeight="1" x14ac:dyDescent="0.3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874"/>
      <c r="AR404" s="874"/>
      <c r="AS404" s="874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43"/>
      <c r="BN404" s="116"/>
      <c r="BW404" s="1"/>
      <c r="BX404" s="1"/>
      <c r="BY404" s="1"/>
      <c r="BZ404" s="655"/>
      <c r="CB404" s="656"/>
      <c r="CC404" s="1"/>
      <c r="CD404" s="1"/>
      <c r="CE404" s="1"/>
      <c r="CF404" s="1"/>
      <c r="CG404" s="1"/>
      <c r="CH404" s="1"/>
      <c r="CI404" s="1"/>
      <c r="CJ404" s="1"/>
      <c r="CR404" s="305"/>
      <c r="CT404" s="116"/>
      <c r="DB404" s="1"/>
      <c r="DC404" s="1"/>
      <c r="DD404" s="1"/>
      <c r="DE404" s="1"/>
      <c r="DF404" s="1"/>
      <c r="DG404" s="1"/>
      <c r="DH404" s="1"/>
      <c r="DI404" s="1"/>
      <c r="DJ404" s="655"/>
      <c r="DL404" s="116"/>
    </row>
    <row r="405" spans="2:116" ht="15.75" customHeight="1" x14ac:dyDescent="0.3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874"/>
      <c r="AR405" s="874"/>
      <c r="AS405" s="874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43"/>
      <c r="BN405" s="116"/>
      <c r="BW405" s="1"/>
      <c r="BX405" s="1"/>
      <c r="BY405" s="1"/>
      <c r="BZ405" s="655"/>
      <c r="CB405" s="656"/>
      <c r="CC405" s="1"/>
      <c r="CD405" s="1"/>
      <c r="CE405" s="1"/>
      <c r="CF405" s="1"/>
      <c r="CG405" s="1"/>
      <c r="CH405" s="1"/>
      <c r="CI405" s="1"/>
      <c r="CJ405" s="1"/>
      <c r="CR405" s="305"/>
      <c r="CT405" s="116"/>
      <c r="DB405" s="1"/>
      <c r="DC405" s="1"/>
      <c r="DD405" s="1"/>
      <c r="DE405" s="1"/>
      <c r="DF405" s="1"/>
      <c r="DG405" s="1"/>
      <c r="DH405" s="1"/>
      <c r="DI405" s="1"/>
      <c r="DJ405" s="655"/>
      <c r="DL405" s="116"/>
    </row>
    <row r="406" spans="2:116" ht="15.75" customHeight="1" x14ac:dyDescent="0.3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874"/>
      <c r="AR406" s="874"/>
      <c r="AS406" s="874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43"/>
      <c r="BN406" s="116"/>
      <c r="BW406" s="1"/>
      <c r="BX406" s="1"/>
      <c r="BY406" s="1"/>
      <c r="BZ406" s="655"/>
      <c r="CB406" s="656"/>
      <c r="CC406" s="1"/>
      <c r="CD406" s="1"/>
      <c r="CE406" s="1"/>
      <c r="CF406" s="1"/>
      <c r="CG406" s="1"/>
      <c r="CH406" s="1"/>
      <c r="CI406" s="1"/>
      <c r="CJ406" s="1"/>
      <c r="CR406" s="305"/>
      <c r="CT406" s="116"/>
      <c r="DB406" s="1"/>
      <c r="DC406" s="1"/>
      <c r="DD406" s="1"/>
      <c r="DE406" s="1"/>
      <c r="DF406" s="1"/>
      <c r="DG406" s="1"/>
      <c r="DH406" s="1"/>
      <c r="DI406" s="1"/>
      <c r="DJ406" s="655"/>
      <c r="DL406" s="116"/>
    </row>
    <row r="407" spans="2:116" ht="15.75" customHeight="1" x14ac:dyDescent="0.3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874"/>
      <c r="AR407" s="874"/>
      <c r="AS407" s="874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43"/>
      <c r="BN407" s="116"/>
      <c r="BW407" s="1"/>
      <c r="BX407" s="1"/>
      <c r="BY407" s="1"/>
      <c r="BZ407" s="655"/>
      <c r="CB407" s="656"/>
      <c r="CC407" s="1"/>
      <c r="CD407" s="1"/>
      <c r="CE407" s="1"/>
      <c r="CF407" s="1"/>
      <c r="CG407" s="1"/>
      <c r="CH407" s="1"/>
      <c r="CI407" s="1"/>
      <c r="CJ407" s="1"/>
      <c r="CR407" s="305"/>
      <c r="CT407" s="116"/>
      <c r="DB407" s="1"/>
      <c r="DC407" s="1"/>
      <c r="DD407" s="1"/>
      <c r="DE407" s="1"/>
      <c r="DF407" s="1"/>
      <c r="DG407" s="1"/>
      <c r="DH407" s="1"/>
      <c r="DI407" s="1"/>
      <c r="DJ407" s="655"/>
      <c r="DL407" s="116"/>
    </row>
    <row r="408" spans="2:116" ht="15.75" customHeight="1" x14ac:dyDescent="0.3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874"/>
      <c r="AR408" s="874"/>
      <c r="AS408" s="874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43"/>
      <c r="BN408" s="116"/>
      <c r="BW408" s="1"/>
      <c r="BX408" s="1"/>
      <c r="BY408" s="1"/>
      <c r="BZ408" s="655"/>
      <c r="CB408" s="656"/>
      <c r="CC408" s="1"/>
      <c r="CD408" s="1"/>
      <c r="CE408" s="1"/>
      <c r="CF408" s="1"/>
      <c r="CG408" s="1"/>
      <c r="CH408" s="1"/>
      <c r="CI408" s="1"/>
      <c r="CJ408" s="1"/>
      <c r="CR408" s="305"/>
      <c r="CT408" s="116"/>
      <c r="DB408" s="1"/>
      <c r="DC408" s="1"/>
      <c r="DD408" s="1"/>
      <c r="DE408" s="1"/>
      <c r="DF408" s="1"/>
      <c r="DG408" s="1"/>
      <c r="DH408" s="1"/>
      <c r="DI408" s="1"/>
      <c r="DJ408" s="655"/>
      <c r="DL408" s="116"/>
    </row>
    <row r="409" spans="2:116" ht="15.75" customHeight="1" x14ac:dyDescent="0.3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874"/>
      <c r="AR409" s="874"/>
      <c r="AS409" s="874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43"/>
      <c r="BN409" s="116"/>
      <c r="BW409" s="1"/>
      <c r="BX409" s="1"/>
      <c r="BY409" s="1"/>
      <c r="BZ409" s="655"/>
      <c r="CB409" s="656"/>
      <c r="CC409" s="1"/>
      <c r="CD409" s="1"/>
      <c r="CE409" s="1"/>
      <c r="CF409" s="1"/>
      <c r="CG409" s="1"/>
      <c r="CH409" s="1"/>
      <c r="CI409" s="1"/>
      <c r="CJ409" s="1"/>
      <c r="CR409" s="305"/>
      <c r="CT409" s="116"/>
      <c r="DB409" s="1"/>
      <c r="DC409" s="1"/>
      <c r="DD409" s="1"/>
      <c r="DE409" s="1"/>
      <c r="DF409" s="1"/>
      <c r="DG409" s="1"/>
      <c r="DH409" s="1"/>
      <c r="DI409" s="1"/>
      <c r="DJ409" s="655"/>
      <c r="DL409" s="116"/>
    </row>
    <row r="410" spans="2:116" ht="15.75" customHeight="1" x14ac:dyDescent="0.3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874"/>
      <c r="AR410" s="874"/>
      <c r="AS410" s="874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43"/>
      <c r="BN410" s="116"/>
      <c r="BW410" s="1"/>
      <c r="BX410" s="1"/>
      <c r="BY410" s="1"/>
      <c r="BZ410" s="655"/>
      <c r="CB410" s="656"/>
      <c r="CC410" s="1"/>
      <c r="CD410" s="1"/>
      <c r="CE410" s="1"/>
      <c r="CF410" s="1"/>
      <c r="CG410" s="1"/>
      <c r="CH410" s="1"/>
      <c r="CI410" s="1"/>
      <c r="CJ410" s="1"/>
      <c r="CR410" s="305"/>
      <c r="CT410" s="116"/>
      <c r="DB410" s="1"/>
      <c r="DC410" s="1"/>
      <c r="DD410" s="1"/>
      <c r="DE410" s="1"/>
      <c r="DF410" s="1"/>
      <c r="DG410" s="1"/>
      <c r="DH410" s="1"/>
      <c r="DI410" s="1"/>
      <c r="DJ410" s="655"/>
      <c r="DL410" s="116"/>
    </row>
    <row r="411" spans="2:116" ht="15.75" customHeight="1" x14ac:dyDescent="0.3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874"/>
      <c r="AR411" s="874"/>
      <c r="AS411" s="874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43"/>
      <c r="BN411" s="116"/>
      <c r="BW411" s="1"/>
      <c r="BX411" s="1"/>
      <c r="BY411" s="1"/>
      <c r="BZ411" s="655"/>
      <c r="CB411" s="656"/>
      <c r="CC411" s="1"/>
      <c r="CD411" s="1"/>
      <c r="CE411" s="1"/>
      <c r="CF411" s="1"/>
      <c r="CG411" s="1"/>
      <c r="CH411" s="1"/>
      <c r="CI411" s="1"/>
      <c r="CJ411" s="1"/>
      <c r="CR411" s="305"/>
      <c r="CT411" s="116"/>
      <c r="DB411" s="1"/>
      <c r="DC411" s="1"/>
      <c r="DD411" s="1"/>
      <c r="DE411" s="1"/>
      <c r="DF411" s="1"/>
      <c r="DG411" s="1"/>
      <c r="DH411" s="1"/>
      <c r="DI411" s="1"/>
      <c r="DJ411" s="655"/>
      <c r="DL411" s="116"/>
    </row>
    <row r="412" spans="2:116" ht="15.75" customHeight="1" x14ac:dyDescent="0.3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874"/>
      <c r="AR412" s="874"/>
      <c r="AS412" s="874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43"/>
      <c r="BN412" s="116"/>
      <c r="BW412" s="1"/>
      <c r="BX412" s="1"/>
      <c r="BY412" s="1"/>
      <c r="BZ412" s="655"/>
      <c r="CB412" s="656"/>
      <c r="CC412" s="1"/>
      <c r="CD412" s="1"/>
      <c r="CE412" s="1"/>
      <c r="CF412" s="1"/>
      <c r="CG412" s="1"/>
      <c r="CH412" s="1"/>
      <c r="CI412" s="1"/>
      <c r="CJ412" s="1"/>
      <c r="CR412" s="305"/>
      <c r="CT412" s="116"/>
      <c r="DB412" s="1"/>
      <c r="DC412" s="1"/>
      <c r="DD412" s="1"/>
      <c r="DE412" s="1"/>
      <c r="DF412" s="1"/>
      <c r="DG412" s="1"/>
      <c r="DH412" s="1"/>
      <c r="DI412" s="1"/>
      <c r="DJ412" s="655"/>
      <c r="DL412" s="116"/>
    </row>
    <row r="413" spans="2:116" ht="15.75" customHeight="1" x14ac:dyDescent="0.3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874"/>
      <c r="AR413" s="874"/>
      <c r="AS413" s="874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43"/>
      <c r="BN413" s="116"/>
      <c r="BW413" s="1"/>
      <c r="BX413" s="1"/>
      <c r="BY413" s="1"/>
      <c r="BZ413" s="655"/>
      <c r="CB413" s="656"/>
      <c r="CC413" s="1"/>
      <c r="CD413" s="1"/>
      <c r="CE413" s="1"/>
      <c r="CF413" s="1"/>
      <c r="CG413" s="1"/>
      <c r="CH413" s="1"/>
      <c r="CI413" s="1"/>
      <c r="CJ413" s="1"/>
      <c r="CR413" s="305"/>
      <c r="CT413" s="116"/>
      <c r="DB413" s="1"/>
      <c r="DC413" s="1"/>
      <c r="DD413" s="1"/>
      <c r="DE413" s="1"/>
      <c r="DF413" s="1"/>
      <c r="DG413" s="1"/>
      <c r="DH413" s="1"/>
      <c r="DI413" s="1"/>
      <c r="DJ413" s="655"/>
      <c r="DL413" s="116"/>
    </row>
    <row r="414" spans="2:116" ht="15.75" customHeight="1" x14ac:dyDescent="0.3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874"/>
      <c r="AR414" s="874"/>
      <c r="AS414" s="874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43"/>
      <c r="BN414" s="116"/>
      <c r="BW414" s="1"/>
      <c r="BX414" s="1"/>
      <c r="BY414" s="1"/>
      <c r="BZ414" s="655"/>
      <c r="CB414" s="656"/>
      <c r="CC414" s="1"/>
      <c r="CD414" s="1"/>
      <c r="CE414" s="1"/>
      <c r="CF414" s="1"/>
      <c r="CG414" s="1"/>
      <c r="CH414" s="1"/>
      <c r="CI414" s="1"/>
      <c r="CJ414" s="1"/>
      <c r="CR414" s="305"/>
      <c r="CT414" s="116"/>
      <c r="DB414" s="1"/>
      <c r="DC414" s="1"/>
      <c r="DD414" s="1"/>
      <c r="DE414" s="1"/>
      <c r="DF414" s="1"/>
      <c r="DG414" s="1"/>
      <c r="DH414" s="1"/>
      <c r="DI414" s="1"/>
      <c r="DJ414" s="655"/>
      <c r="DL414" s="116"/>
    </row>
    <row r="415" spans="2:116" ht="15.75" customHeight="1" x14ac:dyDescent="0.3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874"/>
      <c r="AR415" s="874"/>
      <c r="AS415" s="874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43"/>
      <c r="BN415" s="116"/>
      <c r="BW415" s="1"/>
      <c r="BX415" s="1"/>
      <c r="BY415" s="1"/>
      <c r="BZ415" s="655"/>
      <c r="CB415" s="656"/>
      <c r="CC415" s="1"/>
      <c r="CD415" s="1"/>
      <c r="CE415" s="1"/>
      <c r="CF415" s="1"/>
      <c r="CG415" s="1"/>
      <c r="CH415" s="1"/>
      <c r="CI415" s="1"/>
      <c r="CJ415" s="1"/>
      <c r="CR415" s="305"/>
      <c r="CT415" s="116"/>
      <c r="DB415" s="1"/>
      <c r="DC415" s="1"/>
      <c r="DD415" s="1"/>
      <c r="DE415" s="1"/>
      <c r="DF415" s="1"/>
      <c r="DG415" s="1"/>
      <c r="DH415" s="1"/>
      <c r="DI415" s="1"/>
      <c r="DJ415" s="655"/>
      <c r="DL415" s="116"/>
    </row>
    <row r="416" spans="2:116" ht="15.75" customHeight="1" x14ac:dyDescent="0.3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874"/>
      <c r="AR416" s="874"/>
      <c r="AS416" s="874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43"/>
      <c r="BN416" s="116"/>
      <c r="BW416" s="1"/>
      <c r="BX416" s="1"/>
      <c r="BY416" s="1"/>
      <c r="BZ416" s="655"/>
      <c r="CB416" s="656"/>
      <c r="CC416" s="1"/>
      <c r="CD416" s="1"/>
      <c r="CE416" s="1"/>
      <c r="CF416" s="1"/>
      <c r="CG416" s="1"/>
      <c r="CH416" s="1"/>
      <c r="CI416" s="1"/>
      <c r="CJ416" s="1"/>
      <c r="CR416" s="305"/>
      <c r="CT416" s="116"/>
      <c r="DB416" s="1"/>
      <c r="DC416" s="1"/>
      <c r="DD416" s="1"/>
      <c r="DE416" s="1"/>
      <c r="DF416" s="1"/>
      <c r="DG416" s="1"/>
      <c r="DH416" s="1"/>
      <c r="DI416" s="1"/>
      <c r="DJ416" s="655"/>
      <c r="DL416" s="116"/>
    </row>
    <row r="417" spans="2:116" ht="15.75" customHeight="1" x14ac:dyDescent="0.3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874"/>
      <c r="AR417" s="874"/>
      <c r="AS417" s="874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43"/>
      <c r="BN417" s="116"/>
      <c r="BW417" s="1"/>
      <c r="BX417" s="1"/>
      <c r="BY417" s="1"/>
      <c r="BZ417" s="655"/>
      <c r="CB417" s="656"/>
      <c r="CC417" s="1"/>
      <c r="CD417" s="1"/>
      <c r="CE417" s="1"/>
      <c r="CF417" s="1"/>
      <c r="CG417" s="1"/>
      <c r="CH417" s="1"/>
      <c r="CI417" s="1"/>
      <c r="CJ417" s="1"/>
      <c r="CR417" s="305"/>
      <c r="CT417" s="116"/>
      <c r="DB417" s="1"/>
      <c r="DC417" s="1"/>
      <c r="DD417" s="1"/>
      <c r="DE417" s="1"/>
      <c r="DF417" s="1"/>
      <c r="DG417" s="1"/>
      <c r="DH417" s="1"/>
      <c r="DI417" s="1"/>
      <c r="DJ417" s="655"/>
      <c r="DL417" s="116"/>
    </row>
    <row r="418" spans="2:116" ht="15.75" customHeight="1" x14ac:dyDescent="0.3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874"/>
      <c r="AR418" s="874"/>
      <c r="AS418" s="874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43"/>
      <c r="BN418" s="116"/>
      <c r="BW418" s="1"/>
      <c r="BX418" s="1"/>
      <c r="BY418" s="1"/>
      <c r="BZ418" s="655"/>
      <c r="CB418" s="656"/>
      <c r="CC418" s="1"/>
      <c r="CD418" s="1"/>
      <c r="CE418" s="1"/>
      <c r="CF418" s="1"/>
      <c r="CG418" s="1"/>
      <c r="CH418" s="1"/>
      <c r="CI418" s="1"/>
      <c r="CJ418" s="1"/>
      <c r="CR418" s="305"/>
      <c r="CT418" s="116"/>
      <c r="DB418" s="1"/>
      <c r="DC418" s="1"/>
      <c r="DD418" s="1"/>
      <c r="DE418" s="1"/>
      <c r="DF418" s="1"/>
      <c r="DG418" s="1"/>
      <c r="DH418" s="1"/>
      <c r="DI418" s="1"/>
      <c r="DJ418" s="655"/>
      <c r="DL418" s="116"/>
    </row>
    <row r="419" spans="2:116" ht="15.75" customHeight="1" x14ac:dyDescent="0.3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874"/>
      <c r="AR419" s="874"/>
      <c r="AS419" s="874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43"/>
      <c r="BN419" s="116"/>
      <c r="BW419" s="1"/>
      <c r="BX419" s="1"/>
      <c r="BY419" s="1"/>
      <c r="BZ419" s="655"/>
      <c r="CB419" s="656"/>
      <c r="CC419" s="1"/>
      <c r="CD419" s="1"/>
      <c r="CE419" s="1"/>
      <c r="CF419" s="1"/>
      <c r="CG419" s="1"/>
      <c r="CH419" s="1"/>
      <c r="CI419" s="1"/>
      <c r="CJ419" s="1"/>
      <c r="CR419" s="305"/>
      <c r="CT419" s="116"/>
      <c r="DB419" s="1"/>
      <c r="DC419" s="1"/>
      <c r="DD419" s="1"/>
      <c r="DE419" s="1"/>
      <c r="DF419" s="1"/>
      <c r="DG419" s="1"/>
      <c r="DH419" s="1"/>
      <c r="DI419" s="1"/>
      <c r="DJ419" s="655"/>
      <c r="DL419" s="116"/>
    </row>
    <row r="420" spans="2:116" ht="15.75" customHeight="1" x14ac:dyDescent="0.3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874"/>
      <c r="AR420" s="874"/>
      <c r="AS420" s="874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43"/>
      <c r="BN420" s="116"/>
      <c r="BW420" s="1"/>
      <c r="BX420" s="1"/>
      <c r="BY420" s="1"/>
      <c r="BZ420" s="655"/>
      <c r="CB420" s="656"/>
      <c r="CC420" s="1"/>
      <c r="CD420" s="1"/>
      <c r="CE420" s="1"/>
      <c r="CF420" s="1"/>
      <c r="CG420" s="1"/>
      <c r="CH420" s="1"/>
      <c r="CI420" s="1"/>
      <c r="CJ420" s="1"/>
      <c r="CR420" s="305"/>
      <c r="CT420" s="116"/>
      <c r="DB420" s="1"/>
      <c r="DC420" s="1"/>
      <c r="DD420" s="1"/>
      <c r="DE420" s="1"/>
      <c r="DF420" s="1"/>
      <c r="DG420" s="1"/>
      <c r="DH420" s="1"/>
      <c r="DI420" s="1"/>
      <c r="DJ420" s="655"/>
      <c r="DL420" s="116"/>
    </row>
    <row r="421" spans="2:116" ht="15.75" customHeight="1" x14ac:dyDescent="0.3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874"/>
      <c r="AR421" s="874"/>
      <c r="AS421" s="874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43"/>
      <c r="BN421" s="116"/>
      <c r="BW421" s="1"/>
      <c r="BX421" s="1"/>
      <c r="BY421" s="1"/>
      <c r="BZ421" s="655"/>
      <c r="CB421" s="656"/>
      <c r="CC421" s="1"/>
      <c r="CD421" s="1"/>
      <c r="CE421" s="1"/>
      <c r="CF421" s="1"/>
      <c r="CG421" s="1"/>
      <c r="CH421" s="1"/>
      <c r="CI421" s="1"/>
      <c r="CJ421" s="1"/>
      <c r="CR421" s="305"/>
      <c r="CT421" s="116"/>
      <c r="DB421" s="1"/>
      <c r="DC421" s="1"/>
      <c r="DD421" s="1"/>
      <c r="DE421" s="1"/>
      <c r="DF421" s="1"/>
      <c r="DG421" s="1"/>
      <c r="DH421" s="1"/>
      <c r="DI421" s="1"/>
      <c r="DJ421" s="655"/>
      <c r="DL421" s="116"/>
    </row>
    <row r="422" spans="2:116" ht="15.75" customHeight="1" x14ac:dyDescent="0.3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874"/>
      <c r="AR422" s="874"/>
      <c r="AS422" s="874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43"/>
      <c r="BN422" s="116"/>
      <c r="BW422" s="1"/>
      <c r="BX422" s="1"/>
      <c r="BY422" s="1"/>
      <c r="BZ422" s="655"/>
      <c r="CB422" s="656"/>
      <c r="CC422" s="1"/>
      <c r="CD422" s="1"/>
      <c r="CE422" s="1"/>
      <c r="CF422" s="1"/>
      <c r="CG422" s="1"/>
      <c r="CH422" s="1"/>
      <c r="CI422" s="1"/>
      <c r="CJ422" s="1"/>
      <c r="CR422" s="305"/>
      <c r="CT422" s="116"/>
      <c r="DB422" s="1"/>
      <c r="DC422" s="1"/>
      <c r="DD422" s="1"/>
      <c r="DE422" s="1"/>
      <c r="DF422" s="1"/>
      <c r="DG422" s="1"/>
      <c r="DH422" s="1"/>
      <c r="DI422" s="1"/>
      <c r="DJ422" s="655"/>
      <c r="DL422" s="116"/>
    </row>
    <row r="423" spans="2:116" ht="15.75" customHeight="1" x14ac:dyDescent="0.3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874"/>
      <c r="AR423" s="874"/>
      <c r="AS423" s="874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43"/>
      <c r="BN423" s="116"/>
      <c r="BW423" s="1"/>
      <c r="BX423" s="1"/>
      <c r="BY423" s="1"/>
      <c r="BZ423" s="655"/>
      <c r="CB423" s="656"/>
      <c r="CC423" s="1"/>
      <c r="CD423" s="1"/>
      <c r="CE423" s="1"/>
      <c r="CF423" s="1"/>
      <c r="CG423" s="1"/>
      <c r="CH423" s="1"/>
      <c r="CI423" s="1"/>
      <c r="CJ423" s="1"/>
      <c r="CR423" s="305"/>
      <c r="CT423" s="116"/>
      <c r="DB423" s="1"/>
      <c r="DC423" s="1"/>
      <c r="DD423" s="1"/>
      <c r="DE423" s="1"/>
      <c r="DF423" s="1"/>
      <c r="DG423" s="1"/>
      <c r="DH423" s="1"/>
      <c r="DI423" s="1"/>
      <c r="DJ423" s="655"/>
      <c r="DL423" s="116"/>
    </row>
    <row r="424" spans="2:116" ht="15.75" customHeight="1" x14ac:dyDescent="0.3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874"/>
      <c r="AR424" s="874"/>
      <c r="AS424" s="874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43"/>
      <c r="BN424" s="116"/>
      <c r="BW424" s="1"/>
      <c r="BX424" s="1"/>
      <c r="BY424" s="1"/>
      <c r="BZ424" s="655"/>
      <c r="CB424" s="656"/>
      <c r="CC424" s="1"/>
      <c r="CD424" s="1"/>
      <c r="CE424" s="1"/>
      <c r="CF424" s="1"/>
      <c r="CG424" s="1"/>
      <c r="CH424" s="1"/>
      <c r="CI424" s="1"/>
      <c r="CJ424" s="1"/>
      <c r="CR424" s="305"/>
      <c r="CT424" s="116"/>
      <c r="DB424" s="1"/>
      <c r="DC424" s="1"/>
      <c r="DD424" s="1"/>
      <c r="DE424" s="1"/>
      <c r="DF424" s="1"/>
      <c r="DG424" s="1"/>
      <c r="DH424" s="1"/>
      <c r="DI424" s="1"/>
      <c r="DJ424" s="655"/>
      <c r="DL424" s="116"/>
    </row>
    <row r="425" spans="2:116" ht="15.75" customHeight="1" x14ac:dyDescent="0.3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874"/>
      <c r="AR425" s="874"/>
      <c r="AS425" s="874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43"/>
      <c r="BN425" s="116"/>
      <c r="BW425" s="1"/>
      <c r="BX425" s="1"/>
      <c r="BY425" s="1"/>
      <c r="BZ425" s="655"/>
      <c r="CB425" s="656"/>
      <c r="CC425" s="1"/>
      <c r="CD425" s="1"/>
      <c r="CE425" s="1"/>
      <c r="CF425" s="1"/>
      <c r="CG425" s="1"/>
      <c r="CH425" s="1"/>
      <c r="CI425" s="1"/>
      <c r="CJ425" s="1"/>
      <c r="CR425" s="305"/>
      <c r="CT425" s="116"/>
      <c r="DB425" s="1"/>
      <c r="DC425" s="1"/>
      <c r="DD425" s="1"/>
      <c r="DE425" s="1"/>
      <c r="DF425" s="1"/>
      <c r="DG425" s="1"/>
      <c r="DH425" s="1"/>
      <c r="DI425" s="1"/>
      <c r="DJ425" s="655"/>
      <c r="DL425" s="116"/>
    </row>
    <row r="426" spans="2:116" ht="15.75" customHeight="1" x14ac:dyDescent="0.3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874"/>
      <c r="AR426" s="874"/>
      <c r="AS426" s="874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43"/>
      <c r="BN426" s="116"/>
      <c r="BW426" s="1"/>
      <c r="BX426" s="1"/>
      <c r="BY426" s="1"/>
      <c r="BZ426" s="655"/>
      <c r="CB426" s="656"/>
      <c r="CC426" s="1"/>
      <c r="CD426" s="1"/>
      <c r="CE426" s="1"/>
      <c r="CF426" s="1"/>
      <c r="CG426" s="1"/>
      <c r="CH426" s="1"/>
      <c r="CI426" s="1"/>
      <c r="CJ426" s="1"/>
      <c r="CR426" s="305"/>
      <c r="CT426" s="116"/>
      <c r="DB426" s="1"/>
      <c r="DC426" s="1"/>
      <c r="DD426" s="1"/>
      <c r="DE426" s="1"/>
      <c r="DF426" s="1"/>
      <c r="DG426" s="1"/>
      <c r="DH426" s="1"/>
      <c r="DI426" s="1"/>
      <c r="DJ426" s="655"/>
      <c r="DL426" s="116"/>
    </row>
    <row r="427" spans="2:116" ht="15.75" customHeight="1" x14ac:dyDescent="0.3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874"/>
      <c r="AR427" s="874"/>
      <c r="AS427" s="874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43"/>
      <c r="BN427" s="116"/>
      <c r="BW427" s="1"/>
      <c r="BX427" s="1"/>
      <c r="BY427" s="1"/>
      <c r="BZ427" s="655"/>
      <c r="CB427" s="656"/>
      <c r="CC427" s="1"/>
      <c r="CD427" s="1"/>
      <c r="CE427" s="1"/>
      <c r="CF427" s="1"/>
      <c r="CG427" s="1"/>
      <c r="CH427" s="1"/>
      <c r="CI427" s="1"/>
      <c r="CJ427" s="1"/>
      <c r="CR427" s="305"/>
      <c r="CT427" s="116"/>
      <c r="DB427" s="1"/>
      <c r="DC427" s="1"/>
      <c r="DD427" s="1"/>
      <c r="DE427" s="1"/>
      <c r="DF427" s="1"/>
      <c r="DG427" s="1"/>
      <c r="DH427" s="1"/>
      <c r="DI427" s="1"/>
      <c r="DJ427" s="655"/>
      <c r="DL427" s="116"/>
    </row>
    <row r="428" spans="2:116" ht="15.75" customHeight="1" x14ac:dyDescent="0.3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874"/>
      <c r="AR428" s="874"/>
      <c r="AS428" s="874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43"/>
      <c r="BN428" s="116"/>
      <c r="BW428" s="1"/>
      <c r="BX428" s="1"/>
      <c r="BY428" s="1"/>
      <c r="BZ428" s="655"/>
      <c r="CB428" s="656"/>
      <c r="CC428" s="1"/>
      <c r="CD428" s="1"/>
      <c r="CE428" s="1"/>
      <c r="CF428" s="1"/>
      <c r="CG428" s="1"/>
      <c r="CH428" s="1"/>
      <c r="CI428" s="1"/>
      <c r="CJ428" s="1"/>
      <c r="CR428" s="305"/>
      <c r="CT428" s="116"/>
      <c r="DB428" s="1"/>
      <c r="DC428" s="1"/>
      <c r="DD428" s="1"/>
      <c r="DE428" s="1"/>
      <c r="DF428" s="1"/>
      <c r="DG428" s="1"/>
      <c r="DH428" s="1"/>
      <c r="DI428" s="1"/>
      <c r="DJ428" s="655"/>
      <c r="DL428" s="116"/>
    </row>
    <row r="429" spans="2:116" ht="15.75" customHeight="1" x14ac:dyDescent="0.3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874"/>
      <c r="AR429" s="874"/>
      <c r="AS429" s="874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43"/>
      <c r="BN429" s="116"/>
      <c r="BW429" s="1"/>
      <c r="BX429" s="1"/>
      <c r="BY429" s="1"/>
      <c r="BZ429" s="655"/>
      <c r="CB429" s="656"/>
      <c r="CC429" s="1"/>
      <c r="CD429" s="1"/>
      <c r="CE429" s="1"/>
      <c r="CF429" s="1"/>
      <c r="CG429" s="1"/>
      <c r="CH429" s="1"/>
      <c r="CI429" s="1"/>
      <c r="CJ429" s="1"/>
      <c r="CR429" s="305"/>
      <c r="CT429" s="116"/>
      <c r="DB429" s="1"/>
      <c r="DC429" s="1"/>
      <c r="DD429" s="1"/>
      <c r="DE429" s="1"/>
      <c r="DF429" s="1"/>
      <c r="DG429" s="1"/>
      <c r="DH429" s="1"/>
      <c r="DI429" s="1"/>
      <c r="DJ429" s="655"/>
      <c r="DL429" s="116"/>
    </row>
    <row r="430" spans="2:116" ht="15.75" customHeight="1" x14ac:dyDescent="0.3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874"/>
      <c r="AR430" s="874"/>
      <c r="AS430" s="874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43"/>
      <c r="BN430" s="116"/>
      <c r="BW430" s="1"/>
      <c r="BX430" s="1"/>
      <c r="BY430" s="1"/>
      <c r="BZ430" s="655"/>
      <c r="CB430" s="656"/>
      <c r="CC430" s="1"/>
      <c r="CD430" s="1"/>
      <c r="CE430" s="1"/>
      <c r="CF430" s="1"/>
      <c r="CG430" s="1"/>
      <c r="CH430" s="1"/>
      <c r="CI430" s="1"/>
      <c r="CJ430" s="1"/>
      <c r="CR430" s="305"/>
      <c r="CT430" s="116"/>
      <c r="DB430" s="1"/>
      <c r="DC430" s="1"/>
      <c r="DD430" s="1"/>
      <c r="DE430" s="1"/>
      <c r="DF430" s="1"/>
      <c r="DG430" s="1"/>
      <c r="DH430" s="1"/>
      <c r="DI430" s="1"/>
      <c r="DJ430" s="655"/>
      <c r="DL430" s="116"/>
    </row>
    <row r="431" spans="2:116" ht="15.75" customHeight="1" x14ac:dyDescent="0.3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874"/>
      <c r="AR431" s="874"/>
      <c r="AS431" s="874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43"/>
      <c r="BN431" s="116"/>
      <c r="BW431" s="1"/>
      <c r="BX431" s="1"/>
      <c r="BY431" s="1"/>
      <c r="BZ431" s="655"/>
      <c r="CB431" s="656"/>
      <c r="CC431" s="1"/>
      <c r="CD431" s="1"/>
      <c r="CE431" s="1"/>
      <c r="CF431" s="1"/>
      <c r="CG431" s="1"/>
      <c r="CH431" s="1"/>
      <c r="CI431" s="1"/>
      <c r="CJ431" s="1"/>
      <c r="CR431" s="305"/>
      <c r="CT431" s="116"/>
      <c r="DB431" s="1"/>
      <c r="DC431" s="1"/>
      <c r="DD431" s="1"/>
      <c r="DE431" s="1"/>
      <c r="DF431" s="1"/>
      <c r="DG431" s="1"/>
      <c r="DH431" s="1"/>
      <c r="DI431" s="1"/>
      <c r="DJ431" s="655"/>
      <c r="DL431" s="116"/>
    </row>
    <row r="432" spans="2:116" ht="15.75" customHeight="1" x14ac:dyDescent="0.3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874"/>
      <c r="AR432" s="874"/>
      <c r="AS432" s="874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43"/>
      <c r="BN432" s="116"/>
      <c r="BW432" s="1"/>
      <c r="BX432" s="1"/>
      <c r="BY432" s="1"/>
      <c r="BZ432" s="655"/>
      <c r="CB432" s="656"/>
      <c r="CC432" s="1"/>
      <c r="CD432" s="1"/>
      <c r="CE432" s="1"/>
      <c r="CF432" s="1"/>
      <c r="CG432" s="1"/>
      <c r="CH432" s="1"/>
      <c r="CI432" s="1"/>
      <c r="CJ432" s="1"/>
      <c r="CR432" s="305"/>
      <c r="CT432" s="116"/>
      <c r="DB432" s="1"/>
      <c r="DC432" s="1"/>
      <c r="DD432" s="1"/>
      <c r="DE432" s="1"/>
      <c r="DF432" s="1"/>
      <c r="DG432" s="1"/>
      <c r="DH432" s="1"/>
      <c r="DI432" s="1"/>
      <c r="DJ432" s="655"/>
      <c r="DL432" s="116"/>
    </row>
    <row r="433" spans="2:116" ht="15.75" customHeight="1" x14ac:dyDescent="0.3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874"/>
      <c r="AR433" s="874"/>
      <c r="AS433" s="874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43"/>
      <c r="BN433" s="116"/>
      <c r="BW433" s="1"/>
      <c r="BX433" s="1"/>
      <c r="BY433" s="1"/>
      <c r="BZ433" s="655"/>
      <c r="CB433" s="656"/>
      <c r="CC433" s="1"/>
      <c r="CD433" s="1"/>
      <c r="CE433" s="1"/>
      <c r="CF433" s="1"/>
      <c r="CG433" s="1"/>
      <c r="CH433" s="1"/>
      <c r="CI433" s="1"/>
      <c r="CJ433" s="1"/>
      <c r="CR433" s="305"/>
      <c r="CT433" s="116"/>
      <c r="DB433" s="1"/>
      <c r="DC433" s="1"/>
      <c r="DD433" s="1"/>
      <c r="DE433" s="1"/>
      <c r="DF433" s="1"/>
      <c r="DG433" s="1"/>
      <c r="DH433" s="1"/>
      <c r="DI433" s="1"/>
      <c r="DJ433" s="655"/>
      <c r="DL433" s="116"/>
    </row>
    <row r="434" spans="2:116" ht="15.75" customHeight="1" x14ac:dyDescent="0.3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874"/>
      <c r="AR434" s="874"/>
      <c r="AS434" s="874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43"/>
      <c r="BN434" s="116"/>
      <c r="BW434" s="1"/>
      <c r="BX434" s="1"/>
      <c r="BY434" s="1"/>
      <c r="BZ434" s="655"/>
      <c r="CB434" s="656"/>
      <c r="CC434" s="1"/>
      <c r="CD434" s="1"/>
      <c r="CE434" s="1"/>
      <c r="CF434" s="1"/>
      <c r="CG434" s="1"/>
      <c r="CH434" s="1"/>
      <c r="CI434" s="1"/>
      <c r="CJ434" s="1"/>
      <c r="CR434" s="305"/>
      <c r="CT434" s="116"/>
      <c r="DB434" s="1"/>
      <c r="DC434" s="1"/>
      <c r="DD434" s="1"/>
      <c r="DE434" s="1"/>
      <c r="DF434" s="1"/>
      <c r="DG434" s="1"/>
      <c r="DH434" s="1"/>
      <c r="DI434" s="1"/>
      <c r="DJ434" s="655"/>
      <c r="DL434" s="116"/>
    </row>
    <row r="435" spans="2:116" ht="15.75" customHeight="1" x14ac:dyDescent="0.3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874"/>
      <c r="AR435" s="874"/>
      <c r="AS435" s="874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43"/>
      <c r="BN435" s="116"/>
      <c r="BW435" s="1"/>
      <c r="BX435" s="1"/>
      <c r="BY435" s="1"/>
      <c r="BZ435" s="655"/>
      <c r="CB435" s="656"/>
      <c r="CC435" s="1"/>
      <c r="CD435" s="1"/>
      <c r="CE435" s="1"/>
      <c r="CF435" s="1"/>
      <c r="CG435" s="1"/>
      <c r="CH435" s="1"/>
      <c r="CI435" s="1"/>
      <c r="CJ435" s="1"/>
      <c r="CR435" s="305"/>
      <c r="CT435" s="116"/>
      <c r="DB435" s="1"/>
      <c r="DC435" s="1"/>
      <c r="DD435" s="1"/>
      <c r="DE435" s="1"/>
      <c r="DF435" s="1"/>
      <c r="DG435" s="1"/>
      <c r="DH435" s="1"/>
      <c r="DI435" s="1"/>
      <c r="DJ435" s="655"/>
      <c r="DL435" s="116"/>
    </row>
    <row r="436" spans="2:116" ht="15.75" customHeight="1" x14ac:dyDescent="0.3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874"/>
      <c r="AR436" s="874"/>
      <c r="AS436" s="874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43"/>
      <c r="BN436" s="116"/>
      <c r="BW436" s="1"/>
      <c r="BX436" s="1"/>
      <c r="BY436" s="1"/>
      <c r="BZ436" s="655"/>
      <c r="CB436" s="656"/>
      <c r="CC436" s="1"/>
      <c r="CD436" s="1"/>
      <c r="CE436" s="1"/>
      <c r="CF436" s="1"/>
      <c r="CG436" s="1"/>
      <c r="CH436" s="1"/>
      <c r="CI436" s="1"/>
      <c r="CJ436" s="1"/>
      <c r="CR436" s="305"/>
      <c r="CT436" s="116"/>
      <c r="DB436" s="1"/>
      <c r="DC436" s="1"/>
      <c r="DD436" s="1"/>
      <c r="DE436" s="1"/>
      <c r="DF436" s="1"/>
      <c r="DG436" s="1"/>
      <c r="DH436" s="1"/>
      <c r="DI436" s="1"/>
      <c r="DJ436" s="655"/>
      <c r="DL436" s="116"/>
    </row>
    <row r="437" spans="2:116" ht="15.75" customHeight="1" x14ac:dyDescent="0.3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874"/>
      <c r="AR437" s="874"/>
      <c r="AS437" s="874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43"/>
      <c r="BN437" s="116"/>
      <c r="BW437" s="1"/>
      <c r="BX437" s="1"/>
      <c r="BY437" s="1"/>
      <c r="BZ437" s="655"/>
      <c r="CB437" s="656"/>
      <c r="CC437" s="1"/>
      <c r="CD437" s="1"/>
      <c r="CE437" s="1"/>
      <c r="CF437" s="1"/>
      <c r="CG437" s="1"/>
      <c r="CH437" s="1"/>
      <c r="CI437" s="1"/>
      <c r="CJ437" s="1"/>
      <c r="CR437" s="305"/>
      <c r="CT437" s="116"/>
      <c r="DB437" s="1"/>
      <c r="DC437" s="1"/>
      <c r="DD437" s="1"/>
      <c r="DE437" s="1"/>
      <c r="DF437" s="1"/>
      <c r="DG437" s="1"/>
      <c r="DH437" s="1"/>
      <c r="DI437" s="1"/>
      <c r="DJ437" s="655"/>
      <c r="DL437" s="116"/>
    </row>
    <row r="438" spans="2:116" ht="15.75" customHeight="1" x14ac:dyDescent="0.3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874"/>
      <c r="AR438" s="874"/>
      <c r="AS438" s="874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43"/>
      <c r="BN438" s="116"/>
      <c r="BW438" s="1"/>
      <c r="BX438" s="1"/>
      <c r="BY438" s="1"/>
      <c r="BZ438" s="655"/>
      <c r="CB438" s="656"/>
      <c r="CC438" s="1"/>
      <c r="CD438" s="1"/>
      <c r="CE438" s="1"/>
      <c r="CF438" s="1"/>
      <c r="CG438" s="1"/>
      <c r="CH438" s="1"/>
      <c r="CI438" s="1"/>
      <c r="CJ438" s="1"/>
      <c r="CR438" s="305"/>
      <c r="CT438" s="116"/>
      <c r="DB438" s="1"/>
      <c r="DC438" s="1"/>
      <c r="DD438" s="1"/>
      <c r="DE438" s="1"/>
      <c r="DF438" s="1"/>
      <c r="DG438" s="1"/>
      <c r="DH438" s="1"/>
      <c r="DI438" s="1"/>
      <c r="DJ438" s="655"/>
      <c r="DL438" s="116"/>
    </row>
    <row r="439" spans="2:116" ht="15.75" customHeight="1" x14ac:dyDescent="0.3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874"/>
      <c r="AR439" s="874"/>
      <c r="AS439" s="874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43"/>
      <c r="BN439" s="116"/>
      <c r="BW439" s="1"/>
      <c r="BX439" s="1"/>
      <c r="BY439" s="1"/>
      <c r="BZ439" s="655"/>
      <c r="CB439" s="656"/>
      <c r="CC439" s="1"/>
      <c r="CD439" s="1"/>
      <c r="CE439" s="1"/>
      <c r="CF439" s="1"/>
      <c r="CG439" s="1"/>
      <c r="CH439" s="1"/>
      <c r="CI439" s="1"/>
      <c r="CJ439" s="1"/>
      <c r="CR439" s="305"/>
      <c r="CT439" s="116"/>
      <c r="DB439" s="1"/>
      <c r="DC439" s="1"/>
      <c r="DD439" s="1"/>
      <c r="DE439" s="1"/>
      <c r="DF439" s="1"/>
      <c r="DG439" s="1"/>
      <c r="DH439" s="1"/>
      <c r="DI439" s="1"/>
      <c r="DJ439" s="655"/>
      <c r="DL439" s="116"/>
    </row>
    <row r="440" spans="2:116" ht="15.75" customHeight="1" x14ac:dyDescent="0.3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874"/>
      <c r="AR440" s="874"/>
      <c r="AS440" s="874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43"/>
      <c r="BN440" s="116"/>
      <c r="BW440" s="1"/>
      <c r="BX440" s="1"/>
      <c r="BY440" s="1"/>
      <c r="BZ440" s="655"/>
      <c r="CB440" s="656"/>
      <c r="CC440" s="1"/>
      <c r="CD440" s="1"/>
      <c r="CE440" s="1"/>
      <c r="CF440" s="1"/>
      <c r="CG440" s="1"/>
      <c r="CH440" s="1"/>
      <c r="CI440" s="1"/>
      <c r="CJ440" s="1"/>
      <c r="CR440" s="305"/>
      <c r="CT440" s="116"/>
      <c r="DB440" s="1"/>
      <c r="DC440" s="1"/>
      <c r="DD440" s="1"/>
      <c r="DE440" s="1"/>
      <c r="DF440" s="1"/>
      <c r="DG440" s="1"/>
      <c r="DH440" s="1"/>
      <c r="DI440" s="1"/>
      <c r="DJ440" s="655"/>
      <c r="DL440" s="116"/>
    </row>
    <row r="441" spans="2:116" ht="15.75" customHeight="1" x14ac:dyDescent="0.3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874"/>
      <c r="AR441" s="874"/>
      <c r="AS441" s="874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43"/>
      <c r="BN441" s="116"/>
      <c r="BW441" s="1"/>
      <c r="BX441" s="1"/>
      <c r="BY441" s="1"/>
      <c r="BZ441" s="655"/>
      <c r="CB441" s="656"/>
      <c r="CC441" s="1"/>
      <c r="CD441" s="1"/>
      <c r="CE441" s="1"/>
      <c r="CF441" s="1"/>
      <c r="CG441" s="1"/>
      <c r="CH441" s="1"/>
      <c r="CI441" s="1"/>
      <c r="CJ441" s="1"/>
      <c r="CR441" s="305"/>
      <c r="CT441" s="116"/>
      <c r="DB441" s="1"/>
      <c r="DC441" s="1"/>
      <c r="DD441" s="1"/>
      <c r="DE441" s="1"/>
      <c r="DF441" s="1"/>
      <c r="DG441" s="1"/>
      <c r="DH441" s="1"/>
      <c r="DI441" s="1"/>
      <c r="DJ441" s="655"/>
      <c r="DL441" s="116"/>
    </row>
    <row r="442" spans="2:116" ht="15.75" customHeight="1" x14ac:dyDescent="0.3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874"/>
      <c r="AR442" s="874"/>
      <c r="AS442" s="874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43"/>
      <c r="BN442" s="116"/>
      <c r="BW442" s="1"/>
      <c r="BX442" s="1"/>
      <c r="BY442" s="1"/>
      <c r="BZ442" s="655"/>
      <c r="CB442" s="656"/>
      <c r="CC442" s="1"/>
      <c r="CD442" s="1"/>
      <c r="CE442" s="1"/>
      <c r="CF442" s="1"/>
      <c r="CG442" s="1"/>
      <c r="CH442" s="1"/>
      <c r="CI442" s="1"/>
      <c r="CJ442" s="1"/>
      <c r="CR442" s="305"/>
      <c r="CT442" s="116"/>
      <c r="DB442" s="1"/>
      <c r="DC442" s="1"/>
      <c r="DD442" s="1"/>
      <c r="DE442" s="1"/>
      <c r="DF442" s="1"/>
      <c r="DG442" s="1"/>
      <c r="DH442" s="1"/>
      <c r="DI442" s="1"/>
      <c r="DJ442" s="655"/>
      <c r="DL442" s="116"/>
    </row>
    <row r="443" spans="2:116" ht="15.75" customHeight="1" x14ac:dyDescent="0.3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874"/>
      <c r="AR443" s="874"/>
      <c r="AS443" s="874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43"/>
      <c r="BN443" s="116"/>
      <c r="BW443" s="1"/>
      <c r="BX443" s="1"/>
      <c r="BY443" s="1"/>
      <c r="BZ443" s="655"/>
      <c r="CB443" s="656"/>
      <c r="CC443" s="1"/>
      <c r="CD443" s="1"/>
      <c r="CE443" s="1"/>
      <c r="CF443" s="1"/>
      <c r="CG443" s="1"/>
      <c r="CH443" s="1"/>
      <c r="CI443" s="1"/>
      <c r="CJ443" s="1"/>
      <c r="CR443" s="305"/>
      <c r="CT443" s="116"/>
      <c r="DB443" s="1"/>
      <c r="DC443" s="1"/>
      <c r="DD443" s="1"/>
      <c r="DE443" s="1"/>
      <c r="DF443" s="1"/>
      <c r="DG443" s="1"/>
      <c r="DH443" s="1"/>
      <c r="DI443" s="1"/>
      <c r="DJ443" s="655"/>
      <c r="DL443" s="116"/>
    </row>
    <row r="444" spans="2:116" ht="15.75" customHeight="1" x14ac:dyDescent="0.3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874"/>
      <c r="AR444" s="874"/>
      <c r="AS444" s="874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43"/>
      <c r="BN444" s="116"/>
      <c r="BW444" s="1"/>
      <c r="BX444" s="1"/>
      <c r="BY444" s="1"/>
      <c r="BZ444" s="655"/>
      <c r="CB444" s="656"/>
      <c r="CC444" s="1"/>
      <c r="CD444" s="1"/>
      <c r="CE444" s="1"/>
      <c r="CF444" s="1"/>
      <c r="CG444" s="1"/>
      <c r="CH444" s="1"/>
      <c r="CI444" s="1"/>
      <c r="CJ444" s="1"/>
      <c r="CR444" s="305"/>
      <c r="CT444" s="116"/>
      <c r="DB444" s="1"/>
      <c r="DC444" s="1"/>
      <c r="DD444" s="1"/>
      <c r="DE444" s="1"/>
      <c r="DF444" s="1"/>
      <c r="DG444" s="1"/>
      <c r="DH444" s="1"/>
      <c r="DI444" s="1"/>
      <c r="DJ444" s="655"/>
      <c r="DL444" s="116"/>
    </row>
    <row r="445" spans="2:116" ht="15.75" customHeight="1" x14ac:dyDescent="0.3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874"/>
      <c r="AR445" s="874"/>
      <c r="AS445" s="874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43"/>
      <c r="BN445" s="116"/>
      <c r="BW445" s="1"/>
      <c r="BX445" s="1"/>
      <c r="BY445" s="1"/>
      <c r="BZ445" s="655"/>
      <c r="CB445" s="656"/>
      <c r="CC445" s="1"/>
      <c r="CD445" s="1"/>
      <c r="CE445" s="1"/>
      <c r="CF445" s="1"/>
      <c r="CG445" s="1"/>
      <c r="CH445" s="1"/>
      <c r="CI445" s="1"/>
      <c r="CJ445" s="1"/>
      <c r="CR445" s="305"/>
      <c r="CT445" s="116"/>
      <c r="DB445" s="1"/>
      <c r="DC445" s="1"/>
      <c r="DD445" s="1"/>
      <c r="DE445" s="1"/>
      <c r="DF445" s="1"/>
      <c r="DG445" s="1"/>
      <c r="DH445" s="1"/>
      <c r="DI445" s="1"/>
      <c r="DJ445" s="655"/>
      <c r="DL445" s="116"/>
    </row>
    <row r="446" spans="2:116" ht="15.75" customHeight="1" x14ac:dyDescent="0.3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874"/>
      <c r="AR446" s="874"/>
      <c r="AS446" s="874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43"/>
      <c r="BN446" s="116"/>
      <c r="BW446" s="1"/>
      <c r="BX446" s="1"/>
      <c r="BY446" s="1"/>
      <c r="BZ446" s="655"/>
      <c r="CB446" s="656"/>
      <c r="CC446" s="1"/>
      <c r="CD446" s="1"/>
      <c r="CE446" s="1"/>
      <c r="CF446" s="1"/>
      <c r="CG446" s="1"/>
      <c r="CH446" s="1"/>
      <c r="CI446" s="1"/>
      <c r="CJ446" s="1"/>
      <c r="CR446" s="305"/>
      <c r="CT446" s="116"/>
      <c r="DB446" s="1"/>
      <c r="DC446" s="1"/>
      <c r="DD446" s="1"/>
      <c r="DE446" s="1"/>
      <c r="DF446" s="1"/>
      <c r="DG446" s="1"/>
      <c r="DH446" s="1"/>
      <c r="DI446" s="1"/>
      <c r="DJ446" s="655"/>
      <c r="DL446" s="116"/>
    </row>
    <row r="447" spans="2:116" ht="15.75" customHeight="1" x14ac:dyDescent="0.3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874"/>
      <c r="AR447" s="874"/>
      <c r="AS447" s="874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43"/>
      <c r="BN447" s="116"/>
      <c r="BW447" s="1"/>
      <c r="BX447" s="1"/>
      <c r="BY447" s="1"/>
      <c r="BZ447" s="655"/>
      <c r="CB447" s="656"/>
      <c r="CC447" s="1"/>
      <c r="CD447" s="1"/>
      <c r="CE447" s="1"/>
      <c r="CF447" s="1"/>
      <c r="CG447" s="1"/>
      <c r="CH447" s="1"/>
      <c r="CI447" s="1"/>
      <c r="CJ447" s="1"/>
      <c r="CR447" s="305"/>
      <c r="CT447" s="116"/>
      <c r="DB447" s="1"/>
      <c r="DC447" s="1"/>
      <c r="DD447" s="1"/>
      <c r="DE447" s="1"/>
      <c r="DF447" s="1"/>
      <c r="DG447" s="1"/>
      <c r="DH447" s="1"/>
      <c r="DI447" s="1"/>
      <c r="DJ447" s="655"/>
      <c r="DL447" s="116"/>
    </row>
    <row r="448" spans="2:116" ht="15.75" customHeight="1" x14ac:dyDescent="0.3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874"/>
      <c r="AR448" s="874"/>
      <c r="AS448" s="874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43"/>
      <c r="BN448" s="116"/>
      <c r="BW448" s="1"/>
      <c r="BX448" s="1"/>
      <c r="BY448" s="1"/>
      <c r="BZ448" s="655"/>
      <c r="CB448" s="656"/>
      <c r="CC448" s="1"/>
      <c r="CD448" s="1"/>
      <c r="CE448" s="1"/>
      <c r="CF448" s="1"/>
      <c r="CG448" s="1"/>
      <c r="CH448" s="1"/>
      <c r="CI448" s="1"/>
      <c r="CJ448" s="1"/>
      <c r="CR448" s="305"/>
      <c r="CT448" s="116"/>
      <c r="DB448" s="1"/>
      <c r="DC448" s="1"/>
      <c r="DD448" s="1"/>
      <c r="DE448" s="1"/>
      <c r="DF448" s="1"/>
      <c r="DG448" s="1"/>
      <c r="DH448" s="1"/>
      <c r="DI448" s="1"/>
      <c r="DJ448" s="655"/>
      <c r="DL448" s="116"/>
    </row>
    <row r="449" spans="2:116" ht="15.75" customHeight="1" x14ac:dyDescent="0.3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874"/>
      <c r="AR449" s="874"/>
      <c r="AS449" s="874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43"/>
      <c r="BN449" s="116"/>
      <c r="BW449" s="1"/>
      <c r="BX449" s="1"/>
      <c r="BY449" s="1"/>
      <c r="BZ449" s="655"/>
      <c r="CB449" s="656"/>
      <c r="CC449" s="1"/>
      <c r="CD449" s="1"/>
      <c r="CE449" s="1"/>
      <c r="CF449" s="1"/>
      <c r="CG449" s="1"/>
      <c r="CH449" s="1"/>
      <c r="CI449" s="1"/>
      <c r="CJ449" s="1"/>
      <c r="CR449" s="305"/>
      <c r="CT449" s="116"/>
      <c r="DB449" s="1"/>
      <c r="DC449" s="1"/>
      <c r="DD449" s="1"/>
      <c r="DE449" s="1"/>
      <c r="DF449" s="1"/>
      <c r="DG449" s="1"/>
      <c r="DH449" s="1"/>
      <c r="DI449" s="1"/>
      <c r="DJ449" s="655"/>
      <c r="DL449" s="116"/>
    </row>
    <row r="450" spans="2:116" ht="15.75" customHeight="1" x14ac:dyDescent="0.3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874"/>
      <c r="AR450" s="874"/>
      <c r="AS450" s="874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43"/>
      <c r="BN450" s="116"/>
      <c r="BW450" s="1"/>
      <c r="BX450" s="1"/>
      <c r="BY450" s="1"/>
      <c r="BZ450" s="655"/>
      <c r="CB450" s="656"/>
      <c r="CC450" s="1"/>
      <c r="CD450" s="1"/>
      <c r="CE450" s="1"/>
      <c r="CF450" s="1"/>
      <c r="CG450" s="1"/>
      <c r="CH450" s="1"/>
      <c r="CI450" s="1"/>
      <c r="CJ450" s="1"/>
      <c r="CR450" s="305"/>
      <c r="CT450" s="116"/>
      <c r="DB450" s="1"/>
      <c r="DC450" s="1"/>
      <c r="DD450" s="1"/>
      <c r="DE450" s="1"/>
      <c r="DF450" s="1"/>
      <c r="DG450" s="1"/>
      <c r="DH450" s="1"/>
      <c r="DI450" s="1"/>
      <c r="DJ450" s="655"/>
      <c r="DL450" s="116"/>
    </row>
    <row r="451" spans="2:116" ht="15.75" customHeight="1" x14ac:dyDescent="0.3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874"/>
      <c r="AR451" s="874"/>
      <c r="AS451" s="874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43"/>
      <c r="BN451" s="116"/>
      <c r="BW451" s="1"/>
      <c r="BX451" s="1"/>
      <c r="BY451" s="1"/>
      <c r="BZ451" s="655"/>
      <c r="CB451" s="656"/>
      <c r="CC451" s="1"/>
      <c r="CD451" s="1"/>
      <c r="CE451" s="1"/>
      <c r="CF451" s="1"/>
      <c r="CG451" s="1"/>
      <c r="CH451" s="1"/>
      <c r="CI451" s="1"/>
      <c r="CJ451" s="1"/>
      <c r="CR451" s="305"/>
      <c r="CT451" s="116"/>
      <c r="DB451" s="1"/>
      <c r="DC451" s="1"/>
      <c r="DD451" s="1"/>
      <c r="DE451" s="1"/>
      <c r="DF451" s="1"/>
      <c r="DG451" s="1"/>
      <c r="DH451" s="1"/>
      <c r="DI451" s="1"/>
      <c r="DJ451" s="655"/>
      <c r="DL451" s="116"/>
    </row>
    <row r="452" spans="2:116" ht="15.75" customHeight="1" x14ac:dyDescent="0.3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874"/>
      <c r="AR452" s="874"/>
      <c r="AS452" s="874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43"/>
      <c r="BN452" s="116"/>
      <c r="BW452" s="1"/>
      <c r="BX452" s="1"/>
      <c r="BY452" s="1"/>
      <c r="BZ452" s="655"/>
      <c r="CB452" s="656"/>
      <c r="CC452" s="1"/>
      <c r="CD452" s="1"/>
      <c r="CE452" s="1"/>
      <c r="CF452" s="1"/>
      <c r="CG452" s="1"/>
      <c r="CH452" s="1"/>
      <c r="CI452" s="1"/>
      <c r="CJ452" s="1"/>
      <c r="CR452" s="305"/>
      <c r="CT452" s="116"/>
      <c r="DB452" s="1"/>
      <c r="DC452" s="1"/>
      <c r="DD452" s="1"/>
      <c r="DE452" s="1"/>
      <c r="DF452" s="1"/>
      <c r="DG452" s="1"/>
      <c r="DH452" s="1"/>
      <c r="DI452" s="1"/>
      <c r="DJ452" s="655"/>
      <c r="DL452" s="116"/>
    </row>
    <row r="453" spans="2:116" ht="15.75" customHeight="1" x14ac:dyDescent="0.3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874"/>
      <c r="AR453" s="874"/>
      <c r="AS453" s="874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43"/>
      <c r="BN453" s="116"/>
      <c r="BW453" s="1"/>
      <c r="BX453" s="1"/>
      <c r="BY453" s="1"/>
      <c r="BZ453" s="655"/>
      <c r="CB453" s="656"/>
      <c r="CC453" s="1"/>
      <c r="CD453" s="1"/>
      <c r="CE453" s="1"/>
      <c r="CF453" s="1"/>
      <c r="CG453" s="1"/>
      <c r="CH453" s="1"/>
      <c r="CI453" s="1"/>
      <c r="CJ453" s="1"/>
      <c r="CR453" s="305"/>
      <c r="CT453" s="116"/>
      <c r="DB453" s="1"/>
      <c r="DC453" s="1"/>
      <c r="DD453" s="1"/>
      <c r="DE453" s="1"/>
      <c r="DF453" s="1"/>
      <c r="DG453" s="1"/>
      <c r="DH453" s="1"/>
      <c r="DI453" s="1"/>
      <c r="DJ453" s="655"/>
      <c r="DL453" s="116"/>
    </row>
    <row r="454" spans="2:116" ht="15.75" customHeight="1" x14ac:dyDescent="0.3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874"/>
      <c r="AR454" s="874"/>
      <c r="AS454" s="874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43"/>
      <c r="BN454" s="116"/>
      <c r="BW454" s="1"/>
      <c r="BX454" s="1"/>
      <c r="BY454" s="1"/>
      <c r="BZ454" s="655"/>
      <c r="CB454" s="656"/>
      <c r="CC454" s="1"/>
      <c r="CD454" s="1"/>
      <c r="CE454" s="1"/>
      <c r="CF454" s="1"/>
      <c r="CG454" s="1"/>
      <c r="CH454" s="1"/>
      <c r="CI454" s="1"/>
      <c r="CJ454" s="1"/>
      <c r="CR454" s="305"/>
      <c r="CT454" s="116"/>
      <c r="DB454" s="1"/>
      <c r="DC454" s="1"/>
      <c r="DD454" s="1"/>
      <c r="DE454" s="1"/>
      <c r="DF454" s="1"/>
      <c r="DG454" s="1"/>
      <c r="DH454" s="1"/>
      <c r="DI454" s="1"/>
      <c r="DJ454" s="655"/>
      <c r="DL454" s="116"/>
    </row>
    <row r="455" spans="2:116" ht="15.75" customHeight="1" x14ac:dyDescent="0.3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874"/>
      <c r="AR455" s="874"/>
      <c r="AS455" s="874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43"/>
      <c r="BN455" s="116"/>
      <c r="BW455" s="1"/>
      <c r="BX455" s="1"/>
      <c r="BY455" s="1"/>
      <c r="BZ455" s="655"/>
      <c r="CB455" s="656"/>
      <c r="CC455" s="1"/>
      <c r="CD455" s="1"/>
      <c r="CE455" s="1"/>
      <c r="CF455" s="1"/>
      <c r="CG455" s="1"/>
      <c r="CH455" s="1"/>
      <c r="CI455" s="1"/>
      <c r="CJ455" s="1"/>
      <c r="CR455" s="305"/>
      <c r="CT455" s="116"/>
      <c r="DB455" s="1"/>
      <c r="DC455" s="1"/>
      <c r="DD455" s="1"/>
      <c r="DE455" s="1"/>
      <c r="DF455" s="1"/>
      <c r="DG455" s="1"/>
      <c r="DH455" s="1"/>
      <c r="DI455" s="1"/>
      <c r="DJ455" s="655"/>
      <c r="DL455" s="116"/>
    </row>
    <row r="456" spans="2:116" ht="15.75" customHeight="1" x14ac:dyDescent="0.3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874"/>
      <c r="AR456" s="874"/>
      <c r="AS456" s="874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43"/>
      <c r="BN456" s="116"/>
      <c r="BW456" s="1"/>
      <c r="BX456" s="1"/>
      <c r="BY456" s="1"/>
      <c r="BZ456" s="655"/>
      <c r="CB456" s="656"/>
      <c r="CC456" s="1"/>
      <c r="CD456" s="1"/>
      <c r="CE456" s="1"/>
      <c r="CF456" s="1"/>
      <c r="CG456" s="1"/>
      <c r="CH456" s="1"/>
      <c r="CI456" s="1"/>
      <c r="CJ456" s="1"/>
      <c r="CR456" s="305"/>
      <c r="CT456" s="116"/>
      <c r="DB456" s="1"/>
      <c r="DC456" s="1"/>
      <c r="DD456" s="1"/>
      <c r="DE456" s="1"/>
      <c r="DF456" s="1"/>
      <c r="DG456" s="1"/>
      <c r="DH456" s="1"/>
      <c r="DI456" s="1"/>
      <c r="DJ456" s="655"/>
      <c r="DL456" s="116"/>
    </row>
    <row r="457" spans="2:116" ht="15.75" customHeight="1" x14ac:dyDescent="0.3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874"/>
      <c r="AR457" s="874"/>
      <c r="AS457" s="874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43"/>
      <c r="BN457" s="116"/>
      <c r="BW457" s="1"/>
      <c r="BX457" s="1"/>
      <c r="BY457" s="1"/>
      <c r="BZ457" s="655"/>
      <c r="CB457" s="656"/>
      <c r="CC457" s="1"/>
      <c r="CD457" s="1"/>
      <c r="CE457" s="1"/>
      <c r="CF457" s="1"/>
      <c r="CG457" s="1"/>
      <c r="CH457" s="1"/>
      <c r="CI457" s="1"/>
      <c r="CJ457" s="1"/>
      <c r="CR457" s="305"/>
      <c r="CT457" s="116"/>
      <c r="DB457" s="1"/>
      <c r="DC457" s="1"/>
      <c r="DD457" s="1"/>
      <c r="DE457" s="1"/>
      <c r="DF457" s="1"/>
      <c r="DG457" s="1"/>
      <c r="DH457" s="1"/>
      <c r="DI457" s="1"/>
      <c r="DJ457" s="655"/>
      <c r="DL457" s="116"/>
    </row>
    <row r="458" spans="2:116" ht="15.75" customHeight="1" x14ac:dyDescent="0.3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874"/>
      <c r="AR458" s="874"/>
      <c r="AS458" s="874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43"/>
      <c r="BN458" s="116"/>
      <c r="BW458" s="1"/>
      <c r="BX458" s="1"/>
      <c r="BY458" s="1"/>
      <c r="BZ458" s="655"/>
      <c r="CB458" s="656"/>
      <c r="CC458" s="1"/>
      <c r="CD458" s="1"/>
      <c r="CE458" s="1"/>
      <c r="CF458" s="1"/>
      <c r="CG458" s="1"/>
      <c r="CH458" s="1"/>
      <c r="CI458" s="1"/>
      <c r="CJ458" s="1"/>
      <c r="CR458" s="305"/>
      <c r="CT458" s="116"/>
      <c r="DB458" s="1"/>
      <c r="DC458" s="1"/>
      <c r="DD458" s="1"/>
      <c r="DE458" s="1"/>
      <c r="DF458" s="1"/>
      <c r="DG458" s="1"/>
      <c r="DH458" s="1"/>
      <c r="DI458" s="1"/>
      <c r="DJ458" s="655"/>
      <c r="DL458" s="116"/>
    </row>
    <row r="459" spans="2:116" ht="15.75" customHeight="1" x14ac:dyDescent="0.3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874"/>
      <c r="AR459" s="874"/>
      <c r="AS459" s="874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43"/>
      <c r="BN459" s="116"/>
      <c r="BW459" s="1"/>
      <c r="BX459" s="1"/>
      <c r="BY459" s="1"/>
      <c r="BZ459" s="655"/>
      <c r="CB459" s="656"/>
      <c r="CC459" s="1"/>
      <c r="CD459" s="1"/>
      <c r="CE459" s="1"/>
      <c r="CF459" s="1"/>
      <c r="CG459" s="1"/>
      <c r="CH459" s="1"/>
      <c r="CI459" s="1"/>
      <c r="CJ459" s="1"/>
      <c r="CR459" s="305"/>
      <c r="CT459" s="116"/>
      <c r="DB459" s="1"/>
      <c r="DC459" s="1"/>
      <c r="DD459" s="1"/>
      <c r="DE459" s="1"/>
      <c r="DF459" s="1"/>
      <c r="DG459" s="1"/>
      <c r="DH459" s="1"/>
      <c r="DI459" s="1"/>
      <c r="DJ459" s="655"/>
      <c r="DL459" s="116"/>
    </row>
    <row r="460" spans="2:116" ht="15.75" customHeight="1" x14ac:dyDescent="0.3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874"/>
      <c r="AR460" s="874"/>
      <c r="AS460" s="874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43"/>
      <c r="BN460" s="116"/>
      <c r="BW460" s="1"/>
      <c r="BX460" s="1"/>
      <c r="BY460" s="1"/>
      <c r="BZ460" s="655"/>
      <c r="CB460" s="656"/>
      <c r="CC460" s="1"/>
      <c r="CD460" s="1"/>
      <c r="CE460" s="1"/>
      <c r="CF460" s="1"/>
      <c r="CG460" s="1"/>
      <c r="CH460" s="1"/>
      <c r="CI460" s="1"/>
      <c r="CJ460" s="1"/>
      <c r="CR460" s="305"/>
      <c r="CT460" s="116"/>
      <c r="DB460" s="1"/>
      <c r="DC460" s="1"/>
      <c r="DD460" s="1"/>
      <c r="DE460" s="1"/>
      <c r="DF460" s="1"/>
      <c r="DG460" s="1"/>
      <c r="DH460" s="1"/>
      <c r="DI460" s="1"/>
      <c r="DJ460" s="655"/>
      <c r="DL460" s="116"/>
    </row>
    <row r="461" spans="2:116" ht="15.75" customHeight="1" x14ac:dyDescent="0.3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874"/>
      <c r="AR461" s="874"/>
      <c r="AS461" s="874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43"/>
      <c r="BN461" s="116"/>
      <c r="BW461" s="1"/>
      <c r="BX461" s="1"/>
      <c r="BY461" s="1"/>
      <c r="BZ461" s="655"/>
      <c r="CB461" s="656"/>
      <c r="CC461" s="1"/>
      <c r="CD461" s="1"/>
      <c r="CE461" s="1"/>
      <c r="CF461" s="1"/>
      <c r="CG461" s="1"/>
      <c r="CH461" s="1"/>
      <c r="CI461" s="1"/>
      <c r="CJ461" s="1"/>
      <c r="CR461" s="305"/>
      <c r="CT461" s="116"/>
      <c r="DB461" s="1"/>
      <c r="DC461" s="1"/>
      <c r="DD461" s="1"/>
      <c r="DE461" s="1"/>
      <c r="DF461" s="1"/>
      <c r="DG461" s="1"/>
      <c r="DH461" s="1"/>
      <c r="DI461" s="1"/>
      <c r="DJ461" s="655"/>
      <c r="DL461" s="116"/>
    </row>
    <row r="462" spans="2:116" ht="15.75" customHeight="1" x14ac:dyDescent="0.3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874"/>
      <c r="AR462" s="874"/>
      <c r="AS462" s="874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43"/>
      <c r="BN462" s="116"/>
      <c r="BW462" s="1"/>
      <c r="BX462" s="1"/>
      <c r="BY462" s="1"/>
      <c r="BZ462" s="655"/>
      <c r="CB462" s="656"/>
      <c r="CC462" s="1"/>
      <c r="CD462" s="1"/>
      <c r="CE462" s="1"/>
      <c r="CF462" s="1"/>
      <c r="CG462" s="1"/>
      <c r="CH462" s="1"/>
      <c r="CI462" s="1"/>
      <c r="CJ462" s="1"/>
      <c r="CR462" s="305"/>
      <c r="CT462" s="116"/>
      <c r="DB462" s="1"/>
      <c r="DC462" s="1"/>
      <c r="DD462" s="1"/>
      <c r="DE462" s="1"/>
      <c r="DF462" s="1"/>
      <c r="DG462" s="1"/>
      <c r="DH462" s="1"/>
      <c r="DI462" s="1"/>
      <c r="DJ462" s="655"/>
      <c r="DL462" s="116"/>
    </row>
    <row r="463" spans="2:116" ht="15.75" customHeight="1" x14ac:dyDescent="0.3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874"/>
      <c r="AR463" s="874"/>
      <c r="AS463" s="874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43"/>
      <c r="BN463" s="116"/>
      <c r="BW463" s="1"/>
      <c r="BX463" s="1"/>
      <c r="BY463" s="1"/>
      <c r="BZ463" s="655"/>
      <c r="CB463" s="656"/>
      <c r="CC463" s="1"/>
      <c r="CD463" s="1"/>
      <c r="CE463" s="1"/>
      <c r="CF463" s="1"/>
      <c r="CG463" s="1"/>
      <c r="CH463" s="1"/>
      <c r="CI463" s="1"/>
      <c r="CJ463" s="1"/>
      <c r="CR463" s="305"/>
      <c r="CT463" s="116"/>
      <c r="DB463" s="1"/>
      <c r="DC463" s="1"/>
      <c r="DD463" s="1"/>
      <c r="DE463" s="1"/>
      <c r="DF463" s="1"/>
      <c r="DG463" s="1"/>
      <c r="DH463" s="1"/>
      <c r="DI463" s="1"/>
      <c r="DJ463" s="655"/>
      <c r="DL463" s="116"/>
    </row>
    <row r="464" spans="2:116" ht="15.75" customHeight="1" x14ac:dyDescent="0.3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874"/>
      <c r="AR464" s="874"/>
      <c r="AS464" s="874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43"/>
      <c r="BN464" s="116"/>
      <c r="BW464" s="1"/>
      <c r="BX464" s="1"/>
      <c r="BY464" s="1"/>
      <c r="BZ464" s="655"/>
      <c r="CB464" s="656"/>
      <c r="CC464" s="1"/>
      <c r="CD464" s="1"/>
      <c r="CE464" s="1"/>
      <c r="CF464" s="1"/>
      <c r="CG464" s="1"/>
      <c r="CH464" s="1"/>
      <c r="CI464" s="1"/>
      <c r="CJ464" s="1"/>
      <c r="CR464" s="305"/>
      <c r="CT464" s="116"/>
      <c r="DB464" s="1"/>
      <c r="DC464" s="1"/>
      <c r="DD464" s="1"/>
      <c r="DE464" s="1"/>
      <c r="DF464" s="1"/>
      <c r="DG464" s="1"/>
      <c r="DH464" s="1"/>
      <c r="DI464" s="1"/>
      <c r="DJ464" s="655"/>
      <c r="DL464" s="116"/>
    </row>
    <row r="465" spans="2:116" ht="15.75" customHeight="1" x14ac:dyDescent="0.3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874"/>
      <c r="AR465" s="874"/>
      <c r="AS465" s="874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43"/>
      <c r="BN465" s="116"/>
      <c r="BW465" s="1"/>
      <c r="BX465" s="1"/>
      <c r="BY465" s="1"/>
      <c r="BZ465" s="655"/>
      <c r="CB465" s="656"/>
      <c r="CC465" s="1"/>
      <c r="CD465" s="1"/>
      <c r="CE465" s="1"/>
      <c r="CF465" s="1"/>
      <c r="CG465" s="1"/>
      <c r="CH465" s="1"/>
      <c r="CI465" s="1"/>
      <c r="CJ465" s="1"/>
      <c r="CR465" s="305"/>
      <c r="CT465" s="116"/>
      <c r="DB465" s="1"/>
      <c r="DC465" s="1"/>
      <c r="DD465" s="1"/>
      <c r="DE465" s="1"/>
      <c r="DF465" s="1"/>
      <c r="DG465" s="1"/>
      <c r="DH465" s="1"/>
      <c r="DI465" s="1"/>
      <c r="DJ465" s="655"/>
      <c r="DL465" s="116"/>
    </row>
    <row r="466" spans="2:116" ht="15.75" customHeight="1" x14ac:dyDescent="0.3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874"/>
      <c r="AR466" s="874"/>
      <c r="AS466" s="874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43"/>
      <c r="BN466" s="116"/>
      <c r="BW466" s="1"/>
      <c r="BX466" s="1"/>
      <c r="BY466" s="1"/>
      <c r="BZ466" s="655"/>
      <c r="CB466" s="656"/>
      <c r="CC466" s="1"/>
      <c r="CD466" s="1"/>
      <c r="CE466" s="1"/>
      <c r="CF466" s="1"/>
      <c r="CG466" s="1"/>
      <c r="CH466" s="1"/>
      <c r="CI466" s="1"/>
      <c r="CJ466" s="1"/>
      <c r="CR466" s="305"/>
      <c r="CT466" s="116"/>
      <c r="DB466" s="1"/>
      <c r="DC466" s="1"/>
      <c r="DD466" s="1"/>
      <c r="DE466" s="1"/>
      <c r="DF466" s="1"/>
      <c r="DG466" s="1"/>
      <c r="DH466" s="1"/>
      <c r="DI466" s="1"/>
      <c r="DJ466" s="655"/>
      <c r="DL466" s="116"/>
    </row>
    <row r="467" spans="2:116" ht="15.75" customHeight="1" x14ac:dyDescent="0.3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874"/>
      <c r="AR467" s="874"/>
      <c r="AS467" s="874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43"/>
      <c r="BN467" s="116"/>
      <c r="BW467" s="1"/>
      <c r="BX467" s="1"/>
      <c r="BY467" s="1"/>
      <c r="BZ467" s="655"/>
      <c r="CB467" s="656"/>
      <c r="CC467" s="1"/>
      <c r="CD467" s="1"/>
      <c r="CE467" s="1"/>
      <c r="CF467" s="1"/>
      <c r="CG467" s="1"/>
      <c r="CH467" s="1"/>
      <c r="CI467" s="1"/>
      <c r="CJ467" s="1"/>
      <c r="CR467" s="305"/>
      <c r="CT467" s="116"/>
      <c r="DB467" s="1"/>
      <c r="DC467" s="1"/>
      <c r="DD467" s="1"/>
      <c r="DE467" s="1"/>
      <c r="DF467" s="1"/>
      <c r="DG467" s="1"/>
      <c r="DH467" s="1"/>
      <c r="DI467" s="1"/>
      <c r="DJ467" s="655"/>
      <c r="DL467" s="116"/>
    </row>
    <row r="468" spans="2:116" ht="15.75" customHeight="1" x14ac:dyDescent="0.3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874"/>
      <c r="AR468" s="874"/>
      <c r="AS468" s="874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43"/>
      <c r="BN468" s="116"/>
      <c r="BW468" s="1"/>
      <c r="BX468" s="1"/>
      <c r="BY468" s="1"/>
      <c r="BZ468" s="655"/>
      <c r="CB468" s="656"/>
      <c r="CC468" s="1"/>
      <c r="CD468" s="1"/>
      <c r="CE468" s="1"/>
      <c r="CF468" s="1"/>
      <c r="CG468" s="1"/>
      <c r="CH468" s="1"/>
      <c r="CI468" s="1"/>
      <c r="CJ468" s="1"/>
      <c r="CR468" s="305"/>
      <c r="CT468" s="116"/>
      <c r="DB468" s="1"/>
      <c r="DC468" s="1"/>
      <c r="DD468" s="1"/>
      <c r="DE468" s="1"/>
      <c r="DF468" s="1"/>
      <c r="DG468" s="1"/>
      <c r="DH468" s="1"/>
      <c r="DI468" s="1"/>
      <c r="DJ468" s="655"/>
      <c r="DL468" s="116"/>
    </row>
    <row r="469" spans="2:116" ht="15.75" customHeight="1" x14ac:dyDescent="0.3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874"/>
      <c r="AR469" s="874"/>
      <c r="AS469" s="874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43"/>
      <c r="BN469" s="116"/>
      <c r="BW469" s="1"/>
      <c r="BX469" s="1"/>
      <c r="BY469" s="1"/>
      <c r="BZ469" s="655"/>
      <c r="CB469" s="656"/>
      <c r="CC469" s="1"/>
      <c r="CD469" s="1"/>
      <c r="CE469" s="1"/>
      <c r="CF469" s="1"/>
      <c r="CG469" s="1"/>
      <c r="CH469" s="1"/>
      <c r="CI469" s="1"/>
      <c r="CJ469" s="1"/>
      <c r="CR469" s="305"/>
      <c r="CT469" s="116"/>
      <c r="DB469" s="1"/>
      <c r="DC469" s="1"/>
      <c r="DD469" s="1"/>
      <c r="DE469" s="1"/>
      <c r="DF469" s="1"/>
      <c r="DG469" s="1"/>
      <c r="DH469" s="1"/>
      <c r="DI469" s="1"/>
      <c r="DJ469" s="655"/>
      <c r="DL469" s="116"/>
    </row>
    <row r="470" spans="2:116" ht="15.75" customHeight="1" x14ac:dyDescent="0.3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874"/>
      <c r="AR470" s="874"/>
      <c r="AS470" s="874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43"/>
      <c r="BN470" s="116"/>
      <c r="BW470" s="1"/>
      <c r="BX470" s="1"/>
      <c r="BY470" s="1"/>
      <c r="BZ470" s="655"/>
      <c r="CB470" s="656"/>
      <c r="CC470" s="1"/>
      <c r="CD470" s="1"/>
      <c r="CE470" s="1"/>
      <c r="CF470" s="1"/>
      <c r="CG470" s="1"/>
      <c r="CH470" s="1"/>
      <c r="CI470" s="1"/>
      <c r="CJ470" s="1"/>
      <c r="CR470" s="305"/>
      <c r="CT470" s="116"/>
      <c r="DB470" s="1"/>
      <c r="DC470" s="1"/>
      <c r="DD470" s="1"/>
      <c r="DE470" s="1"/>
      <c r="DF470" s="1"/>
      <c r="DG470" s="1"/>
      <c r="DH470" s="1"/>
      <c r="DI470" s="1"/>
      <c r="DJ470" s="655"/>
      <c r="DL470" s="116"/>
    </row>
    <row r="471" spans="2:116" ht="15.75" customHeight="1" x14ac:dyDescent="0.3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874"/>
      <c r="AR471" s="874"/>
      <c r="AS471" s="874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43"/>
      <c r="BN471" s="116"/>
      <c r="BW471" s="1"/>
      <c r="BX471" s="1"/>
      <c r="BY471" s="1"/>
      <c r="BZ471" s="655"/>
      <c r="CB471" s="656"/>
      <c r="CC471" s="1"/>
      <c r="CD471" s="1"/>
      <c r="CE471" s="1"/>
      <c r="CF471" s="1"/>
      <c r="CG471" s="1"/>
      <c r="CH471" s="1"/>
      <c r="CI471" s="1"/>
      <c r="CJ471" s="1"/>
      <c r="CR471" s="305"/>
      <c r="CT471" s="116"/>
      <c r="DB471" s="1"/>
      <c r="DC471" s="1"/>
      <c r="DD471" s="1"/>
      <c r="DE471" s="1"/>
      <c r="DF471" s="1"/>
      <c r="DG471" s="1"/>
      <c r="DH471" s="1"/>
      <c r="DI471" s="1"/>
      <c r="DJ471" s="655"/>
      <c r="DL471" s="116"/>
    </row>
    <row r="472" spans="2:116" ht="15.75" customHeight="1" x14ac:dyDescent="0.3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874"/>
      <c r="AR472" s="874"/>
      <c r="AS472" s="874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43"/>
      <c r="BN472" s="116"/>
      <c r="BW472" s="1"/>
      <c r="BX472" s="1"/>
      <c r="BY472" s="1"/>
      <c r="BZ472" s="655"/>
      <c r="CB472" s="656"/>
      <c r="CC472" s="1"/>
      <c r="CD472" s="1"/>
      <c r="CE472" s="1"/>
      <c r="CF472" s="1"/>
      <c r="CG472" s="1"/>
      <c r="CH472" s="1"/>
      <c r="CI472" s="1"/>
      <c r="CJ472" s="1"/>
      <c r="CR472" s="305"/>
      <c r="CT472" s="116"/>
      <c r="DB472" s="1"/>
      <c r="DC472" s="1"/>
      <c r="DD472" s="1"/>
      <c r="DE472" s="1"/>
      <c r="DF472" s="1"/>
      <c r="DG472" s="1"/>
      <c r="DH472" s="1"/>
      <c r="DI472" s="1"/>
      <c r="DJ472" s="655"/>
      <c r="DL472" s="116"/>
    </row>
    <row r="473" spans="2:116" ht="15.75" customHeight="1" x14ac:dyDescent="0.3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874"/>
      <c r="AR473" s="874"/>
      <c r="AS473" s="874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43"/>
      <c r="BN473" s="116"/>
      <c r="BW473" s="1"/>
      <c r="BX473" s="1"/>
      <c r="BY473" s="1"/>
      <c r="BZ473" s="655"/>
      <c r="CB473" s="656"/>
      <c r="CC473" s="1"/>
      <c r="CD473" s="1"/>
      <c r="CE473" s="1"/>
      <c r="CF473" s="1"/>
      <c r="CG473" s="1"/>
      <c r="CH473" s="1"/>
      <c r="CI473" s="1"/>
      <c r="CJ473" s="1"/>
      <c r="CR473" s="305"/>
      <c r="CT473" s="116"/>
      <c r="DB473" s="1"/>
      <c r="DC473" s="1"/>
      <c r="DD473" s="1"/>
      <c r="DE473" s="1"/>
      <c r="DF473" s="1"/>
      <c r="DG473" s="1"/>
      <c r="DH473" s="1"/>
      <c r="DI473" s="1"/>
      <c r="DJ473" s="655"/>
      <c r="DL473" s="116"/>
    </row>
    <row r="474" spans="2:116" ht="15.75" customHeight="1" x14ac:dyDescent="0.3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874"/>
      <c r="AR474" s="874"/>
      <c r="AS474" s="874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43"/>
      <c r="BN474" s="116"/>
      <c r="BW474" s="1"/>
      <c r="BX474" s="1"/>
      <c r="BY474" s="1"/>
      <c r="BZ474" s="655"/>
      <c r="CB474" s="656"/>
      <c r="CC474" s="1"/>
      <c r="CD474" s="1"/>
      <c r="CE474" s="1"/>
      <c r="CF474" s="1"/>
      <c r="CG474" s="1"/>
      <c r="CH474" s="1"/>
      <c r="CI474" s="1"/>
      <c r="CJ474" s="1"/>
      <c r="CR474" s="305"/>
      <c r="CT474" s="116"/>
      <c r="DB474" s="1"/>
      <c r="DC474" s="1"/>
      <c r="DD474" s="1"/>
      <c r="DE474" s="1"/>
      <c r="DF474" s="1"/>
      <c r="DG474" s="1"/>
      <c r="DH474" s="1"/>
      <c r="DI474" s="1"/>
      <c r="DJ474" s="655"/>
      <c r="DL474" s="116"/>
    </row>
    <row r="475" spans="2:116" ht="15.75" customHeight="1" x14ac:dyDescent="0.3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874"/>
      <c r="AR475" s="874"/>
      <c r="AS475" s="874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43"/>
      <c r="BN475" s="116"/>
      <c r="BW475" s="1"/>
      <c r="BX475" s="1"/>
      <c r="BY475" s="1"/>
      <c r="BZ475" s="655"/>
      <c r="CB475" s="656"/>
      <c r="CC475" s="1"/>
      <c r="CD475" s="1"/>
      <c r="CE475" s="1"/>
      <c r="CF475" s="1"/>
      <c r="CG475" s="1"/>
      <c r="CH475" s="1"/>
      <c r="CI475" s="1"/>
      <c r="CJ475" s="1"/>
      <c r="CR475" s="305"/>
      <c r="CT475" s="116"/>
      <c r="DB475" s="1"/>
      <c r="DC475" s="1"/>
      <c r="DD475" s="1"/>
      <c r="DE475" s="1"/>
      <c r="DF475" s="1"/>
      <c r="DG475" s="1"/>
      <c r="DH475" s="1"/>
      <c r="DI475" s="1"/>
      <c r="DJ475" s="655"/>
      <c r="DL475" s="116"/>
    </row>
    <row r="476" spans="2:116" ht="15.75" customHeight="1" x14ac:dyDescent="0.3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874"/>
      <c r="AR476" s="874"/>
      <c r="AS476" s="874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43"/>
      <c r="BN476" s="116"/>
      <c r="BW476" s="1"/>
      <c r="BX476" s="1"/>
      <c r="BY476" s="1"/>
      <c r="BZ476" s="655"/>
      <c r="CB476" s="656"/>
      <c r="CC476" s="1"/>
      <c r="CD476" s="1"/>
      <c r="CE476" s="1"/>
      <c r="CF476" s="1"/>
      <c r="CG476" s="1"/>
      <c r="CH476" s="1"/>
      <c r="CI476" s="1"/>
      <c r="CJ476" s="1"/>
      <c r="CR476" s="305"/>
      <c r="CT476" s="116"/>
      <c r="DB476" s="1"/>
      <c r="DC476" s="1"/>
      <c r="DD476" s="1"/>
      <c r="DE476" s="1"/>
      <c r="DF476" s="1"/>
      <c r="DG476" s="1"/>
      <c r="DH476" s="1"/>
      <c r="DI476" s="1"/>
      <c r="DJ476" s="655"/>
      <c r="DL476" s="116"/>
    </row>
    <row r="477" spans="2:116" ht="15.75" customHeight="1" x14ac:dyDescent="0.3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874"/>
      <c r="AR477" s="874"/>
      <c r="AS477" s="874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43"/>
      <c r="BN477" s="116"/>
      <c r="BW477" s="1"/>
      <c r="BX477" s="1"/>
      <c r="BY477" s="1"/>
      <c r="BZ477" s="655"/>
      <c r="CB477" s="656"/>
      <c r="CC477" s="1"/>
      <c r="CD477" s="1"/>
      <c r="CE477" s="1"/>
      <c r="CF477" s="1"/>
      <c r="CG477" s="1"/>
      <c r="CH477" s="1"/>
      <c r="CI477" s="1"/>
      <c r="CJ477" s="1"/>
      <c r="CR477" s="305"/>
      <c r="CT477" s="116"/>
      <c r="DB477" s="1"/>
      <c r="DC477" s="1"/>
      <c r="DD477" s="1"/>
      <c r="DE477" s="1"/>
      <c r="DF477" s="1"/>
      <c r="DG477" s="1"/>
      <c r="DH477" s="1"/>
      <c r="DI477" s="1"/>
      <c r="DJ477" s="655"/>
      <c r="DL477" s="116"/>
    </row>
    <row r="478" spans="2:116" ht="15.75" customHeight="1" x14ac:dyDescent="0.3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874"/>
      <c r="AR478" s="874"/>
      <c r="AS478" s="874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43"/>
      <c r="BN478" s="116"/>
      <c r="BW478" s="1"/>
      <c r="BX478" s="1"/>
      <c r="BY478" s="1"/>
      <c r="BZ478" s="655"/>
      <c r="CB478" s="656"/>
      <c r="CC478" s="1"/>
      <c r="CD478" s="1"/>
      <c r="CE478" s="1"/>
      <c r="CF478" s="1"/>
      <c r="CG478" s="1"/>
      <c r="CH478" s="1"/>
      <c r="CI478" s="1"/>
      <c r="CJ478" s="1"/>
      <c r="CR478" s="305"/>
      <c r="CT478" s="116"/>
      <c r="DB478" s="1"/>
      <c r="DC478" s="1"/>
      <c r="DD478" s="1"/>
      <c r="DE478" s="1"/>
      <c r="DF478" s="1"/>
      <c r="DG478" s="1"/>
      <c r="DH478" s="1"/>
      <c r="DI478" s="1"/>
      <c r="DJ478" s="655"/>
      <c r="DL478" s="116"/>
    </row>
    <row r="479" spans="2:116" ht="15.75" customHeight="1" x14ac:dyDescent="0.3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874"/>
      <c r="AR479" s="874"/>
      <c r="AS479" s="874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43"/>
      <c r="BN479" s="116"/>
      <c r="BW479" s="1"/>
      <c r="BX479" s="1"/>
      <c r="BY479" s="1"/>
      <c r="BZ479" s="655"/>
      <c r="CB479" s="656"/>
      <c r="CC479" s="1"/>
      <c r="CD479" s="1"/>
      <c r="CE479" s="1"/>
      <c r="CF479" s="1"/>
      <c r="CG479" s="1"/>
      <c r="CH479" s="1"/>
      <c r="CI479" s="1"/>
      <c r="CJ479" s="1"/>
      <c r="CR479" s="305"/>
      <c r="CT479" s="116"/>
      <c r="DB479" s="1"/>
      <c r="DC479" s="1"/>
      <c r="DD479" s="1"/>
      <c r="DE479" s="1"/>
      <c r="DF479" s="1"/>
      <c r="DG479" s="1"/>
      <c r="DH479" s="1"/>
      <c r="DI479" s="1"/>
      <c r="DJ479" s="655"/>
      <c r="DL479" s="116"/>
    </row>
    <row r="480" spans="2:116" ht="15.75" customHeight="1" x14ac:dyDescent="0.3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874"/>
      <c r="AR480" s="874"/>
      <c r="AS480" s="874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43"/>
      <c r="BN480" s="116"/>
      <c r="BW480" s="1"/>
      <c r="BX480" s="1"/>
      <c r="BY480" s="1"/>
      <c r="BZ480" s="655"/>
      <c r="CB480" s="656"/>
      <c r="CC480" s="1"/>
      <c r="CD480" s="1"/>
      <c r="CE480" s="1"/>
      <c r="CF480" s="1"/>
      <c r="CG480" s="1"/>
      <c r="CH480" s="1"/>
      <c r="CI480" s="1"/>
      <c r="CJ480" s="1"/>
      <c r="CR480" s="305"/>
      <c r="CT480" s="116"/>
      <c r="DB480" s="1"/>
      <c r="DC480" s="1"/>
      <c r="DD480" s="1"/>
      <c r="DE480" s="1"/>
      <c r="DF480" s="1"/>
      <c r="DG480" s="1"/>
      <c r="DH480" s="1"/>
      <c r="DI480" s="1"/>
      <c r="DJ480" s="655"/>
      <c r="DL480" s="116"/>
    </row>
    <row r="481" spans="2:116" ht="15.75" customHeight="1" x14ac:dyDescent="0.3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874"/>
      <c r="AR481" s="874"/>
      <c r="AS481" s="874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43"/>
      <c r="BN481" s="116"/>
      <c r="BW481" s="1"/>
      <c r="BX481" s="1"/>
      <c r="BY481" s="1"/>
      <c r="BZ481" s="655"/>
      <c r="CB481" s="656"/>
      <c r="CC481" s="1"/>
      <c r="CD481" s="1"/>
      <c r="CE481" s="1"/>
      <c r="CF481" s="1"/>
      <c r="CG481" s="1"/>
      <c r="CH481" s="1"/>
      <c r="CI481" s="1"/>
      <c r="CJ481" s="1"/>
      <c r="CR481" s="305"/>
      <c r="CT481" s="116"/>
      <c r="DB481" s="1"/>
      <c r="DC481" s="1"/>
      <c r="DD481" s="1"/>
      <c r="DE481" s="1"/>
      <c r="DF481" s="1"/>
      <c r="DG481" s="1"/>
      <c r="DH481" s="1"/>
      <c r="DI481" s="1"/>
      <c r="DJ481" s="655"/>
      <c r="DL481" s="116"/>
    </row>
    <row r="482" spans="2:116" ht="15.75" customHeight="1" x14ac:dyDescent="0.3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874"/>
      <c r="AR482" s="874"/>
      <c r="AS482" s="874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43"/>
      <c r="BN482" s="116"/>
      <c r="BW482" s="1"/>
      <c r="BX482" s="1"/>
      <c r="BY482" s="1"/>
      <c r="BZ482" s="655"/>
      <c r="CB482" s="656"/>
      <c r="CC482" s="1"/>
      <c r="CD482" s="1"/>
      <c r="CE482" s="1"/>
      <c r="CF482" s="1"/>
      <c r="CG482" s="1"/>
      <c r="CH482" s="1"/>
      <c r="CI482" s="1"/>
      <c r="CJ482" s="1"/>
      <c r="CR482" s="305"/>
      <c r="CT482" s="116"/>
      <c r="DB482" s="1"/>
      <c r="DC482" s="1"/>
      <c r="DD482" s="1"/>
      <c r="DE482" s="1"/>
      <c r="DF482" s="1"/>
      <c r="DG482" s="1"/>
      <c r="DH482" s="1"/>
      <c r="DI482" s="1"/>
      <c r="DJ482" s="655"/>
      <c r="DL482" s="116"/>
    </row>
    <row r="483" spans="2:116" ht="15.75" customHeight="1" x14ac:dyDescent="0.3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874"/>
      <c r="AR483" s="874"/>
      <c r="AS483" s="874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43"/>
      <c r="BN483" s="116"/>
      <c r="BW483" s="1"/>
      <c r="BX483" s="1"/>
      <c r="BY483" s="1"/>
      <c r="BZ483" s="655"/>
      <c r="CB483" s="656"/>
      <c r="CC483" s="1"/>
      <c r="CD483" s="1"/>
      <c r="CE483" s="1"/>
      <c r="CF483" s="1"/>
      <c r="CG483" s="1"/>
      <c r="CH483" s="1"/>
      <c r="CI483" s="1"/>
      <c r="CJ483" s="1"/>
      <c r="CR483" s="305"/>
      <c r="CT483" s="116"/>
      <c r="DB483" s="1"/>
      <c r="DC483" s="1"/>
      <c r="DD483" s="1"/>
      <c r="DE483" s="1"/>
      <c r="DF483" s="1"/>
      <c r="DG483" s="1"/>
      <c r="DH483" s="1"/>
      <c r="DI483" s="1"/>
      <c r="DJ483" s="655"/>
      <c r="DL483" s="116"/>
    </row>
    <row r="484" spans="2:116" ht="15.75" customHeight="1" x14ac:dyDescent="0.3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874"/>
      <c r="AR484" s="874"/>
      <c r="AS484" s="874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43"/>
      <c r="BN484" s="116"/>
      <c r="BW484" s="1"/>
      <c r="BX484" s="1"/>
      <c r="BY484" s="1"/>
      <c r="BZ484" s="655"/>
      <c r="CB484" s="656"/>
      <c r="CC484" s="1"/>
      <c r="CD484" s="1"/>
      <c r="CE484" s="1"/>
      <c r="CF484" s="1"/>
      <c r="CG484" s="1"/>
      <c r="CH484" s="1"/>
      <c r="CI484" s="1"/>
      <c r="CJ484" s="1"/>
      <c r="CR484" s="305"/>
      <c r="CT484" s="116"/>
      <c r="DB484" s="1"/>
      <c r="DC484" s="1"/>
      <c r="DD484" s="1"/>
      <c r="DE484" s="1"/>
      <c r="DF484" s="1"/>
      <c r="DG484" s="1"/>
      <c r="DH484" s="1"/>
      <c r="DI484" s="1"/>
      <c r="DJ484" s="655"/>
      <c r="DL484" s="116"/>
    </row>
    <row r="485" spans="2:116" ht="15.75" customHeight="1" x14ac:dyDescent="0.3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874"/>
      <c r="AR485" s="874"/>
      <c r="AS485" s="874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43"/>
      <c r="BN485" s="116"/>
      <c r="BW485" s="1"/>
      <c r="BX485" s="1"/>
      <c r="BY485" s="1"/>
      <c r="BZ485" s="655"/>
      <c r="CB485" s="656"/>
      <c r="CC485" s="1"/>
      <c r="CD485" s="1"/>
      <c r="CE485" s="1"/>
      <c r="CF485" s="1"/>
      <c r="CG485" s="1"/>
      <c r="CH485" s="1"/>
      <c r="CI485" s="1"/>
      <c r="CJ485" s="1"/>
      <c r="CR485" s="305"/>
      <c r="CT485" s="116"/>
      <c r="DB485" s="1"/>
      <c r="DC485" s="1"/>
      <c r="DD485" s="1"/>
      <c r="DE485" s="1"/>
      <c r="DF485" s="1"/>
      <c r="DG485" s="1"/>
      <c r="DH485" s="1"/>
      <c r="DI485" s="1"/>
      <c r="DJ485" s="655"/>
      <c r="DL485" s="116"/>
    </row>
    <row r="486" spans="2:116" ht="15.75" customHeight="1" x14ac:dyDescent="0.3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874"/>
      <c r="AR486" s="874"/>
      <c r="AS486" s="874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43"/>
      <c r="BN486" s="116"/>
      <c r="BW486" s="1"/>
      <c r="BX486" s="1"/>
      <c r="BY486" s="1"/>
      <c r="BZ486" s="655"/>
      <c r="CB486" s="656"/>
      <c r="CC486" s="1"/>
      <c r="CD486" s="1"/>
      <c r="CE486" s="1"/>
      <c r="CF486" s="1"/>
      <c r="CG486" s="1"/>
      <c r="CH486" s="1"/>
      <c r="CI486" s="1"/>
      <c r="CJ486" s="1"/>
      <c r="CR486" s="305"/>
      <c r="CT486" s="116"/>
      <c r="DB486" s="1"/>
      <c r="DC486" s="1"/>
      <c r="DD486" s="1"/>
      <c r="DE486" s="1"/>
      <c r="DF486" s="1"/>
      <c r="DG486" s="1"/>
      <c r="DH486" s="1"/>
      <c r="DI486" s="1"/>
      <c r="DJ486" s="655"/>
      <c r="DL486" s="116"/>
    </row>
    <row r="487" spans="2:116" ht="15.75" customHeight="1" x14ac:dyDescent="0.3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874"/>
      <c r="AR487" s="874"/>
      <c r="AS487" s="874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43"/>
      <c r="BN487" s="116"/>
      <c r="BW487" s="1"/>
      <c r="BX487" s="1"/>
      <c r="BY487" s="1"/>
      <c r="BZ487" s="655"/>
      <c r="CB487" s="656"/>
      <c r="CC487" s="1"/>
      <c r="CD487" s="1"/>
      <c r="CE487" s="1"/>
      <c r="CF487" s="1"/>
      <c r="CG487" s="1"/>
      <c r="CH487" s="1"/>
      <c r="CI487" s="1"/>
      <c r="CJ487" s="1"/>
      <c r="CR487" s="305"/>
      <c r="CT487" s="116"/>
      <c r="DB487" s="1"/>
      <c r="DC487" s="1"/>
      <c r="DD487" s="1"/>
      <c r="DE487" s="1"/>
      <c r="DF487" s="1"/>
      <c r="DG487" s="1"/>
      <c r="DH487" s="1"/>
      <c r="DI487" s="1"/>
      <c r="DJ487" s="655"/>
      <c r="DL487" s="116"/>
    </row>
    <row r="488" spans="2:116" ht="15.75" customHeight="1" x14ac:dyDescent="0.3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874"/>
      <c r="AR488" s="874"/>
      <c r="AS488" s="874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43"/>
      <c r="BN488" s="116"/>
      <c r="BW488" s="1"/>
      <c r="BX488" s="1"/>
      <c r="BY488" s="1"/>
      <c r="BZ488" s="655"/>
      <c r="CB488" s="656"/>
      <c r="CC488" s="1"/>
      <c r="CD488" s="1"/>
      <c r="CE488" s="1"/>
      <c r="CF488" s="1"/>
      <c r="CG488" s="1"/>
      <c r="CH488" s="1"/>
      <c r="CI488" s="1"/>
      <c r="CJ488" s="1"/>
      <c r="CR488" s="305"/>
      <c r="CT488" s="116"/>
      <c r="DB488" s="1"/>
      <c r="DC488" s="1"/>
      <c r="DD488" s="1"/>
      <c r="DE488" s="1"/>
      <c r="DF488" s="1"/>
      <c r="DG488" s="1"/>
      <c r="DH488" s="1"/>
      <c r="DI488" s="1"/>
      <c r="DJ488" s="655"/>
      <c r="DL488" s="116"/>
    </row>
    <row r="489" spans="2:116" ht="15.75" customHeight="1" x14ac:dyDescent="0.3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874"/>
      <c r="AR489" s="874"/>
      <c r="AS489" s="874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43"/>
      <c r="BN489" s="116"/>
      <c r="BW489" s="1"/>
      <c r="BX489" s="1"/>
      <c r="BY489" s="1"/>
      <c r="BZ489" s="655"/>
      <c r="CB489" s="656"/>
      <c r="CC489" s="1"/>
      <c r="CD489" s="1"/>
      <c r="CE489" s="1"/>
      <c r="CF489" s="1"/>
      <c r="CG489" s="1"/>
      <c r="CH489" s="1"/>
      <c r="CI489" s="1"/>
      <c r="CJ489" s="1"/>
      <c r="CR489" s="305"/>
      <c r="CT489" s="116"/>
      <c r="DB489" s="1"/>
      <c r="DC489" s="1"/>
      <c r="DD489" s="1"/>
      <c r="DE489" s="1"/>
      <c r="DF489" s="1"/>
      <c r="DG489" s="1"/>
      <c r="DH489" s="1"/>
      <c r="DI489" s="1"/>
      <c r="DJ489" s="655"/>
      <c r="DL489" s="116"/>
    </row>
    <row r="490" spans="2:116" ht="15.75" customHeight="1" x14ac:dyDescent="0.3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874"/>
      <c r="AR490" s="874"/>
      <c r="AS490" s="874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43"/>
      <c r="BN490" s="116"/>
      <c r="BW490" s="1"/>
      <c r="BX490" s="1"/>
      <c r="BY490" s="1"/>
      <c r="BZ490" s="655"/>
      <c r="CB490" s="656"/>
      <c r="CC490" s="1"/>
      <c r="CD490" s="1"/>
      <c r="CE490" s="1"/>
      <c r="CF490" s="1"/>
      <c r="CG490" s="1"/>
      <c r="CH490" s="1"/>
      <c r="CI490" s="1"/>
      <c r="CJ490" s="1"/>
      <c r="CR490" s="305"/>
      <c r="CT490" s="116"/>
      <c r="DB490" s="1"/>
      <c r="DC490" s="1"/>
      <c r="DD490" s="1"/>
      <c r="DE490" s="1"/>
      <c r="DF490" s="1"/>
      <c r="DG490" s="1"/>
      <c r="DH490" s="1"/>
      <c r="DI490" s="1"/>
      <c r="DJ490" s="655"/>
      <c r="DL490" s="116"/>
    </row>
    <row r="491" spans="2:116" ht="15.75" customHeight="1" x14ac:dyDescent="0.3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874"/>
      <c r="AR491" s="874"/>
      <c r="AS491" s="874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43"/>
      <c r="BN491" s="116"/>
      <c r="BW491" s="1"/>
      <c r="BX491" s="1"/>
      <c r="BY491" s="1"/>
      <c r="BZ491" s="655"/>
      <c r="CB491" s="656"/>
      <c r="CC491" s="1"/>
      <c r="CD491" s="1"/>
      <c r="CE491" s="1"/>
      <c r="CF491" s="1"/>
      <c r="CG491" s="1"/>
      <c r="CH491" s="1"/>
      <c r="CI491" s="1"/>
      <c r="CJ491" s="1"/>
      <c r="CR491" s="305"/>
      <c r="CT491" s="116"/>
      <c r="DB491" s="1"/>
      <c r="DC491" s="1"/>
      <c r="DD491" s="1"/>
      <c r="DE491" s="1"/>
      <c r="DF491" s="1"/>
      <c r="DG491" s="1"/>
      <c r="DH491" s="1"/>
      <c r="DI491" s="1"/>
      <c r="DJ491" s="655"/>
      <c r="DL491" s="116"/>
    </row>
    <row r="492" spans="2:116" ht="15.75" customHeight="1" x14ac:dyDescent="0.3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874"/>
      <c r="AR492" s="874"/>
      <c r="AS492" s="874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43"/>
      <c r="BN492" s="116"/>
      <c r="BW492" s="1"/>
      <c r="BX492" s="1"/>
      <c r="BY492" s="1"/>
      <c r="BZ492" s="655"/>
      <c r="CB492" s="656"/>
      <c r="CC492" s="1"/>
      <c r="CD492" s="1"/>
      <c r="CE492" s="1"/>
      <c r="CF492" s="1"/>
      <c r="CG492" s="1"/>
      <c r="CH492" s="1"/>
      <c r="CI492" s="1"/>
      <c r="CJ492" s="1"/>
      <c r="CR492" s="305"/>
      <c r="CT492" s="116"/>
      <c r="DB492" s="1"/>
      <c r="DC492" s="1"/>
      <c r="DD492" s="1"/>
      <c r="DE492" s="1"/>
      <c r="DF492" s="1"/>
      <c r="DG492" s="1"/>
      <c r="DH492" s="1"/>
      <c r="DI492" s="1"/>
      <c r="DJ492" s="655"/>
      <c r="DL492" s="116"/>
    </row>
    <row r="493" spans="2:116" ht="15.75" customHeight="1" x14ac:dyDescent="0.3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874"/>
      <c r="AR493" s="874"/>
      <c r="AS493" s="874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43"/>
      <c r="BN493" s="116"/>
      <c r="BW493" s="1"/>
      <c r="BX493" s="1"/>
      <c r="BY493" s="1"/>
      <c r="BZ493" s="655"/>
      <c r="CB493" s="656"/>
      <c r="CC493" s="1"/>
      <c r="CD493" s="1"/>
      <c r="CE493" s="1"/>
      <c r="CF493" s="1"/>
      <c r="CG493" s="1"/>
      <c r="CH493" s="1"/>
      <c r="CI493" s="1"/>
      <c r="CJ493" s="1"/>
      <c r="CR493" s="305"/>
      <c r="CT493" s="116"/>
      <c r="DB493" s="1"/>
      <c r="DC493" s="1"/>
      <c r="DD493" s="1"/>
      <c r="DE493" s="1"/>
      <c r="DF493" s="1"/>
      <c r="DG493" s="1"/>
      <c r="DH493" s="1"/>
      <c r="DI493" s="1"/>
      <c r="DJ493" s="655"/>
      <c r="DL493" s="116"/>
    </row>
    <row r="494" spans="2:116" ht="15.75" customHeight="1" x14ac:dyDescent="0.3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874"/>
      <c r="AR494" s="874"/>
      <c r="AS494" s="874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43"/>
      <c r="BN494" s="116"/>
      <c r="BW494" s="1"/>
      <c r="BX494" s="1"/>
      <c r="BY494" s="1"/>
      <c r="BZ494" s="655"/>
      <c r="CB494" s="656"/>
      <c r="CC494" s="1"/>
      <c r="CD494" s="1"/>
      <c r="CE494" s="1"/>
      <c r="CF494" s="1"/>
      <c r="CG494" s="1"/>
      <c r="CH494" s="1"/>
      <c r="CI494" s="1"/>
      <c r="CJ494" s="1"/>
      <c r="CR494" s="305"/>
      <c r="CT494" s="116"/>
      <c r="DB494" s="1"/>
      <c r="DC494" s="1"/>
      <c r="DD494" s="1"/>
      <c r="DE494" s="1"/>
      <c r="DF494" s="1"/>
      <c r="DG494" s="1"/>
      <c r="DH494" s="1"/>
      <c r="DI494" s="1"/>
      <c r="DJ494" s="655"/>
      <c r="DL494" s="116"/>
    </row>
    <row r="495" spans="2:116" ht="15.75" customHeight="1" x14ac:dyDescent="0.3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874"/>
      <c r="AR495" s="874"/>
      <c r="AS495" s="874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43"/>
      <c r="BN495" s="116"/>
      <c r="BW495" s="1"/>
      <c r="BX495" s="1"/>
      <c r="BY495" s="1"/>
      <c r="BZ495" s="655"/>
      <c r="CB495" s="656"/>
      <c r="CC495" s="1"/>
      <c r="CD495" s="1"/>
      <c r="CE495" s="1"/>
      <c r="CF495" s="1"/>
      <c r="CG495" s="1"/>
      <c r="CH495" s="1"/>
      <c r="CI495" s="1"/>
      <c r="CJ495" s="1"/>
      <c r="CR495" s="305"/>
      <c r="CT495" s="116"/>
      <c r="DB495" s="1"/>
      <c r="DC495" s="1"/>
      <c r="DD495" s="1"/>
      <c r="DE495" s="1"/>
      <c r="DF495" s="1"/>
      <c r="DG495" s="1"/>
      <c r="DH495" s="1"/>
      <c r="DI495" s="1"/>
      <c r="DJ495" s="655"/>
      <c r="DL495" s="116"/>
    </row>
    <row r="496" spans="2:116" ht="15.75" customHeight="1" x14ac:dyDescent="0.3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874"/>
      <c r="AR496" s="874"/>
      <c r="AS496" s="874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43"/>
      <c r="BN496" s="116"/>
      <c r="BW496" s="1"/>
      <c r="BX496" s="1"/>
      <c r="BY496" s="1"/>
      <c r="BZ496" s="655"/>
      <c r="CB496" s="656"/>
      <c r="CC496" s="1"/>
      <c r="CD496" s="1"/>
      <c r="CE496" s="1"/>
      <c r="CF496" s="1"/>
      <c r="CG496" s="1"/>
      <c r="CH496" s="1"/>
      <c r="CI496" s="1"/>
      <c r="CJ496" s="1"/>
      <c r="CR496" s="305"/>
      <c r="CT496" s="116"/>
      <c r="DB496" s="1"/>
      <c r="DC496" s="1"/>
      <c r="DD496" s="1"/>
      <c r="DE496" s="1"/>
      <c r="DF496" s="1"/>
      <c r="DG496" s="1"/>
      <c r="DH496" s="1"/>
      <c r="DI496" s="1"/>
      <c r="DJ496" s="655"/>
      <c r="DL496" s="116"/>
    </row>
    <row r="497" spans="2:116" ht="15.75" customHeight="1" x14ac:dyDescent="0.3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874"/>
      <c r="AR497" s="874"/>
      <c r="AS497" s="874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43"/>
      <c r="BN497" s="116"/>
      <c r="BW497" s="1"/>
      <c r="BX497" s="1"/>
      <c r="BY497" s="1"/>
      <c r="BZ497" s="655"/>
      <c r="CB497" s="656"/>
      <c r="CC497" s="1"/>
      <c r="CD497" s="1"/>
      <c r="CE497" s="1"/>
      <c r="CF497" s="1"/>
      <c r="CG497" s="1"/>
      <c r="CH497" s="1"/>
      <c r="CI497" s="1"/>
      <c r="CJ497" s="1"/>
      <c r="CR497" s="305"/>
      <c r="CT497" s="116"/>
      <c r="DB497" s="1"/>
      <c r="DC497" s="1"/>
      <c r="DD497" s="1"/>
      <c r="DE497" s="1"/>
      <c r="DF497" s="1"/>
      <c r="DG497" s="1"/>
      <c r="DH497" s="1"/>
      <c r="DI497" s="1"/>
      <c r="DJ497" s="655"/>
      <c r="DL497" s="116"/>
    </row>
    <row r="498" spans="2:116" ht="15.75" customHeight="1" x14ac:dyDescent="0.3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874"/>
      <c r="AR498" s="874"/>
      <c r="AS498" s="874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43"/>
      <c r="BN498" s="116"/>
      <c r="BW498" s="1"/>
      <c r="BX498" s="1"/>
      <c r="BY498" s="1"/>
      <c r="BZ498" s="655"/>
      <c r="CB498" s="656"/>
      <c r="CC498" s="1"/>
      <c r="CD498" s="1"/>
      <c r="CE498" s="1"/>
      <c r="CF498" s="1"/>
      <c r="CG498" s="1"/>
      <c r="CH498" s="1"/>
      <c r="CI498" s="1"/>
      <c r="CJ498" s="1"/>
      <c r="CR498" s="305"/>
      <c r="CT498" s="116"/>
      <c r="DB498" s="1"/>
      <c r="DC498" s="1"/>
      <c r="DD498" s="1"/>
      <c r="DE498" s="1"/>
      <c r="DF498" s="1"/>
      <c r="DG498" s="1"/>
      <c r="DH498" s="1"/>
      <c r="DI498" s="1"/>
      <c r="DJ498" s="655"/>
      <c r="DL498" s="116"/>
    </row>
    <row r="499" spans="2:116" ht="15.75" customHeight="1" x14ac:dyDescent="0.3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874"/>
      <c r="AR499" s="874"/>
      <c r="AS499" s="874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43"/>
      <c r="BN499" s="116"/>
      <c r="BW499" s="1"/>
      <c r="BX499" s="1"/>
      <c r="BY499" s="1"/>
      <c r="BZ499" s="655"/>
      <c r="CB499" s="656"/>
      <c r="CC499" s="1"/>
      <c r="CD499" s="1"/>
      <c r="CE499" s="1"/>
      <c r="CF499" s="1"/>
      <c r="CG499" s="1"/>
      <c r="CH499" s="1"/>
      <c r="CI499" s="1"/>
      <c r="CJ499" s="1"/>
      <c r="CR499" s="305"/>
      <c r="CT499" s="116"/>
      <c r="DB499" s="1"/>
      <c r="DC499" s="1"/>
      <c r="DD499" s="1"/>
      <c r="DE499" s="1"/>
      <c r="DF499" s="1"/>
      <c r="DG499" s="1"/>
      <c r="DH499" s="1"/>
      <c r="DI499" s="1"/>
      <c r="DJ499" s="655"/>
      <c r="DL499" s="116"/>
    </row>
    <row r="500" spans="2:116" ht="15.75" customHeight="1" x14ac:dyDescent="0.3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874"/>
      <c r="AR500" s="874"/>
      <c r="AS500" s="874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43"/>
      <c r="BN500" s="116"/>
      <c r="BW500" s="1"/>
      <c r="BX500" s="1"/>
      <c r="BY500" s="1"/>
      <c r="BZ500" s="655"/>
      <c r="CB500" s="656"/>
      <c r="CC500" s="1"/>
      <c r="CD500" s="1"/>
      <c r="CE500" s="1"/>
      <c r="CF500" s="1"/>
      <c r="CG500" s="1"/>
      <c r="CH500" s="1"/>
      <c r="CI500" s="1"/>
      <c r="CJ500" s="1"/>
      <c r="CR500" s="305"/>
      <c r="CT500" s="116"/>
      <c r="DB500" s="1"/>
      <c r="DC500" s="1"/>
      <c r="DD500" s="1"/>
      <c r="DE500" s="1"/>
      <c r="DF500" s="1"/>
      <c r="DG500" s="1"/>
      <c r="DH500" s="1"/>
      <c r="DI500" s="1"/>
      <c r="DJ500" s="655"/>
      <c r="DL500" s="116"/>
    </row>
    <row r="501" spans="2:116" ht="15.75" customHeight="1" x14ac:dyDescent="0.3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874"/>
      <c r="AR501" s="874"/>
      <c r="AS501" s="874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43"/>
      <c r="BN501" s="116"/>
      <c r="BW501" s="1"/>
      <c r="BX501" s="1"/>
      <c r="BY501" s="1"/>
      <c r="BZ501" s="655"/>
      <c r="CB501" s="656"/>
      <c r="CC501" s="1"/>
      <c r="CD501" s="1"/>
      <c r="CE501" s="1"/>
      <c r="CF501" s="1"/>
      <c r="CG501" s="1"/>
      <c r="CH501" s="1"/>
      <c r="CI501" s="1"/>
      <c r="CJ501" s="1"/>
      <c r="CR501" s="305"/>
      <c r="CT501" s="116"/>
      <c r="DB501" s="1"/>
      <c r="DC501" s="1"/>
      <c r="DD501" s="1"/>
      <c r="DE501" s="1"/>
      <c r="DF501" s="1"/>
      <c r="DG501" s="1"/>
      <c r="DH501" s="1"/>
      <c r="DI501" s="1"/>
      <c r="DJ501" s="655"/>
      <c r="DL501" s="116"/>
    </row>
    <row r="502" spans="2:116" ht="15.75" customHeight="1" x14ac:dyDescent="0.3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874"/>
      <c r="AR502" s="874"/>
      <c r="AS502" s="874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43"/>
      <c r="BN502" s="116"/>
      <c r="BW502" s="1"/>
      <c r="BX502" s="1"/>
      <c r="BY502" s="1"/>
      <c r="BZ502" s="655"/>
      <c r="CB502" s="656"/>
      <c r="CC502" s="1"/>
      <c r="CD502" s="1"/>
      <c r="CE502" s="1"/>
      <c r="CF502" s="1"/>
      <c r="CG502" s="1"/>
      <c r="CH502" s="1"/>
      <c r="CI502" s="1"/>
      <c r="CJ502" s="1"/>
      <c r="CR502" s="305"/>
      <c r="CT502" s="116"/>
      <c r="DB502" s="1"/>
      <c r="DC502" s="1"/>
      <c r="DD502" s="1"/>
      <c r="DE502" s="1"/>
      <c r="DF502" s="1"/>
      <c r="DG502" s="1"/>
      <c r="DH502" s="1"/>
      <c r="DI502" s="1"/>
      <c r="DJ502" s="655"/>
      <c r="DL502" s="116"/>
    </row>
    <row r="503" spans="2:116" ht="15.75" customHeight="1" x14ac:dyDescent="0.3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874"/>
      <c r="AR503" s="874"/>
      <c r="AS503" s="874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43"/>
      <c r="BN503" s="116"/>
      <c r="BW503" s="1"/>
      <c r="BX503" s="1"/>
      <c r="BY503" s="1"/>
      <c r="BZ503" s="655"/>
      <c r="CB503" s="656"/>
      <c r="CC503" s="1"/>
      <c r="CD503" s="1"/>
      <c r="CE503" s="1"/>
      <c r="CF503" s="1"/>
      <c r="CG503" s="1"/>
      <c r="CH503" s="1"/>
      <c r="CI503" s="1"/>
      <c r="CJ503" s="1"/>
      <c r="CR503" s="305"/>
      <c r="CT503" s="116"/>
      <c r="DB503" s="1"/>
      <c r="DC503" s="1"/>
      <c r="DD503" s="1"/>
      <c r="DE503" s="1"/>
      <c r="DF503" s="1"/>
      <c r="DG503" s="1"/>
      <c r="DH503" s="1"/>
      <c r="DI503" s="1"/>
      <c r="DJ503" s="655"/>
      <c r="DL503" s="116"/>
    </row>
    <row r="504" spans="2:116" ht="15.75" customHeight="1" x14ac:dyDescent="0.3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874"/>
      <c r="AR504" s="874"/>
      <c r="AS504" s="874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43"/>
      <c r="BN504" s="116"/>
      <c r="BW504" s="1"/>
      <c r="BX504" s="1"/>
      <c r="BY504" s="1"/>
      <c r="BZ504" s="655"/>
      <c r="CB504" s="656"/>
      <c r="CC504" s="1"/>
      <c r="CD504" s="1"/>
      <c r="CE504" s="1"/>
      <c r="CF504" s="1"/>
      <c r="CG504" s="1"/>
      <c r="CH504" s="1"/>
      <c r="CI504" s="1"/>
      <c r="CJ504" s="1"/>
      <c r="CR504" s="305"/>
      <c r="CT504" s="116"/>
      <c r="DB504" s="1"/>
      <c r="DC504" s="1"/>
      <c r="DD504" s="1"/>
      <c r="DE504" s="1"/>
      <c r="DF504" s="1"/>
      <c r="DG504" s="1"/>
      <c r="DH504" s="1"/>
      <c r="DI504" s="1"/>
      <c r="DJ504" s="655"/>
      <c r="DL504" s="116"/>
    </row>
    <row r="505" spans="2:116" ht="15.75" customHeight="1" x14ac:dyDescent="0.3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874"/>
      <c r="AR505" s="874"/>
      <c r="AS505" s="874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43"/>
      <c r="BN505" s="116"/>
      <c r="BW505" s="1"/>
      <c r="BX505" s="1"/>
      <c r="BY505" s="1"/>
      <c r="BZ505" s="655"/>
      <c r="CB505" s="656"/>
      <c r="CC505" s="1"/>
      <c r="CD505" s="1"/>
      <c r="CE505" s="1"/>
      <c r="CF505" s="1"/>
      <c r="CG505" s="1"/>
      <c r="CH505" s="1"/>
      <c r="CI505" s="1"/>
      <c r="CJ505" s="1"/>
      <c r="CR505" s="305"/>
      <c r="CT505" s="116"/>
      <c r="DB505" s="1"/>
      <c r="DC505" s="1"/>
      <c r="DD505" s="1"/>
      <c r="DE505" s="1"/>
      <c r="DF505" s="1"/>
      <c r="DG505" s="1"/>
      <c r="DH505" s="1"/>
      <c r="DI505" s="1"/>
      <c r="DJ505" s="655"/>
      <c r="DL505" s="116"/>
    </row>
    <row r="506" spans="2:116" ht="15.75" customHeight="1" x14ac:dyDescent="0.3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874"/>
      <c r="AR506" s="874"/>
      <c r="AS506" s="874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43"/>
      <c r="BN506" s="116"/>
      <c r="BW506" s="1"/>
      <c r="BX506" s="1"/>
      <c r="BY506" s="1"/>
      <c r="BZ506" s="655"/>
      <c r="CB506" s="656"/>
      <c r="CC506" s="1"/>
      <c r="CD506" s="1"/>
      <c r="CE506" s="1"/>
      <c r="CF506" s="1"/>
      <c r="CG506" s="1"/>
      <c r="CH506" s="1"/>
      <c r="CI506" s="1"/>
      <c r="CJ506" s="1"/>
      <c r="CR506" s="305"/>
      <c r="CT506" s="116"/>
      <c r="DB506" s="1"/>
      <c r="DC506" s="1"/>
      <c r="DD506" s="1"/>
      <c r="DE506" s="1"/>
      <c r="DF506" s="1"/>
      <c r="DG506" s="1"/>
      <c r="DH506" s="1"/>
      <c r="DI506" s="1"/>
      <c r="DJ506" s="655"/>
      <c r="DL506" s="116"/>
    </row>
    <row r="507" spans="2:116" ht="15.75" customHeight="1" x14ac:dyDescent="0.3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874"/>
      <c r="AR507" s="874"/>
      <c r="AS507" s="874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43"/>
      <c r="BN507" s="116"/>
      <c r="BW507" s="1"/>
      <c r="BX507" s="1"/>
      <c r="BY507" s="1"/>
      <c r="BZ507" s="655"/>
      <c r="CB507" s="656"/>
      <c r="CC507" s="1"/>
      <c r="CD507" s="1"/>
      <c r="CE507" s="1"/>
      <c r="CF507" s="1"/>
      <c r="CG507" s="1"/>
      <c r="CH507" s="1"/>
      <c r="CI507" s="1"/>
      <c r="CJ507" s="1"/>
      <c r="CR507" s="305"/>
      <c r="CT507" s="116"/>
      <c r="DB507" s="1"/>
      <c r="DC507" s="1"/>
      <c r="DD507" s="1"/>
      <c r="DE507" s="1"/>
      <c r="DF507" s="1"/>
      <c r="DG507" s="1"/>
      <c r="DH507" s="1"/>
      <c r="DI507" s="1"/>
      <c r="DJ507" s="655"/>
      <c r="DL507" s="116"/>
    </row>
    <row r="508" spans="2:116" ht="15.75" customHeight="1" x14ac:dyDescent="0.3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874"/>
      <c r="AR508" s="874"/>
      <c r="AS508" s="874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43"/>
      <c r="BN508" s="116"/>
      <c r="BW508" s="1"/>
      <c r="BX508" s="1"/>
      <c r="BY508" s="1"/>
      <c r="BZ508" s="655"/>
      <c r="CB508" s="656"/>
      <c r="CC508" s="1"/>
      <c r="CD508" s="1"/>
      <c r="CE508" s="1"/>
      <c r="CF508" s="1"/>
      <c r="CG508" s="1"/>
      <c r="CH508" s="1"/>
      <c r="CI508" s="1"/>
      <c r="CJ508" s="1"/>
      <c r="CR508" s="305"/>
      <c r="CT508" s="116"/>
      <c r="DB508" s="1"/>
      <c r="DC508" s="1"/>
      <c r="DD508" s="1"/>
      <c r="DE508" s="1"/>
      <c r="DF508" s="1"/>
      <c r="DG508" s="1"/>
      <c r="DH508" s="1"/>
      <c r="DI508" s="1"/>
      <c r="DJ508" s="655"/>
      <c r="DL508" s="116"/>
    </row>
    <row r="509" spans="2:116" ht="15.75" customHeight="1" x14ac:dyDescent="0.3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874"/>
      <c r="AR509" s="874"/>
      <c r="AS509" s="874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43"/>
      <c r="BN509" s="116"/>
      <c r="BW509" s="1"/>
      <c r="BX509" s="1"/>
      <c r="BY509" s="1"/>
      <c r="BZ509" s="655"/>
      <c r="CB509" s="656"/>
      <c r="CC509" s="1"/>
      <c r="CD509" s="1"/>
      <c r="CE509" s="1"/>
      <c r="CF509" s="1"/>
      <c r="CG509" s="1"/>
      <c r="CH509" s="1"/>
      <c r="CI509" s="1"/>
      <c r="CJ509" s="1"/>
      <c r="CR509" s="305"/>
      <c r="CT509" s="116"/>
      <c r="DB509" s="1"/>
      <c r="DC509" s="1"/>
      <c r="DD509" s="1"/>
      <c r="DE509" s="1"/>
      <c r="DF509" s="1"/>
      <c r="DG509" s="1"/>
      <c r="DH509" s="1"/>
      <c r="DI509" s="1"/>
      <c r="DJ509" s="655"/>
      <c r="DL509" s="116"/>
    </row>
    <row r="510" spans="2:116" ht="15.75" customHeight="1" x14ac:dyDescent="0.3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874"/>
      <c r="AR510" s="874"/>
      <c r="AS510" s="874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43"/>
      <c r="BN510" s="116"/>
      <c r="BW510" s="1"/>
      <c r="BX510" s="1"/>
      <c r="BY510" s="1"/>
      <c r="BZ510" s="655"/>
      <c r="CB510" s="656"/>
      <c r="CC510" s="1"/>
      <c r="CD510" s="1"/>
      <c r="CE510" s="1"/>
      <c r="CF510" s="1"/>
      <c r="CG510" s="1"/>
      <c r="CH510" s="1"/>
      <c r="CI510" s="1"/>
      <c r="CJ510" s="1"/>
      <c r="CR510" s="305"/>
      <c r="CT510" s="116"/>
      <c r="DB510" s="1"/>
      <c r="DC510" s="1"/>
      <c r="DD510" s="1"/>
      <c r="DE510" s="1"/>
      <c r="DF510" s="1"/>
      <c r="DG510" s="1"/>
      <c r="DH510" s="1"/>
      <c r="DI510" s="1"/>
      <c r="DJ510" s="655"/>
      <c r="DL510" s="116"/>
    </row>
    <row r="511" spans="2:116" ht="15.75" customHeight="1" x14ac:dyDescent="0.3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874"/>
      <c r="AR511" s="874"/>
      <c r="AS511" s="874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43"/>
      <c r="BN511" s="116"/>
      <c r="BW511" s="1"/>
      <c r="BX511" s="1"/>
      <c r="BY511" s="1"/>
      <c r="BZ511" s="655"/>
      <c r="CB511" s="656"/>
      <c r="CC511" s="1"/>
      <c r="CD511" s="1"/>
      <c r="CE511" s="1"/>
      <c r="CF511" s="1"/>
      <c r="CG511" s="1"/>
      <c r="CH511" s="1"/>
      <c r="CI511" s="1"/>
      <c r="CJ511" s="1"/>
      <c r="CR511" s="305"/>
      <c r="CT511" s="116"/>
      <c r="DB511" s="1"/>
      <c r="DC511" s="1"/>
      <c r="DD511" s="1"/>
      <c r="DE511" s="1"/>
      <c r="DF511" s="1"/>
      <c r="DG511" s="1"/>
      <c r="DH511" s="1"/>
      <c r="DI511" s="1"/>
      <c r="DJ511" s="655"/>
      <c r="DL511" s="116"/>
    </row>
    <row r="512" spans="2:116" ht="15.75" customHeight="1" x14ac:dyDescent="0.3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874"/>
      <c r="AR512" s="874"/>
      <c r="AS512" s="874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43"/>
      <c r="BN512" s="116"/>
      <c r="BW512" s="1"/>
      <c r="BX512" s="1"/>
      <c r="BY512" s="1"/>
      <c r="BZ512" s="655"/>
      <c r="CB512" s="656"/>
      <c r="CC512" s="1"/>
      <c r="CD512" s="1"/>
      <c r="CE512" s="1"/>
      <c r="CF512" s="1"/>
      <c r="CG512" s="1"/>
      <c r="CH512" s="1"/>
      <c r="CI512" s="1"/>
      <c r="CJ512" s="1"/>
      <c r="CR512" s="305"/>
      <c r="CT512" s="116"/>
      <c r="DB512" s="1"/>
      <c r="DC512" s="1"/>
      <c r="DD512" s="1"/>
      <c r="DE512" s="1"/>
      <c r="DF512" s="1"/>
      <c r="DG512" s="1"/>
      <c r="DH512" s="1"/>
      <c r="DI512" s="1"/>
      <c r="DJ512" s="655"/>
      <c r="DL512" s="116"/>
    </row>
    <row r="513" spans="2:116" ht="15.75" customHeight="1" x14ac:dyDescent="0.3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874"/>
      <c r="AR513" s="874"/>
      <c r="AS513" s="874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43"/>
      <c r="BN513" s="116"/>
      <c r="BW513" s="1"/>
      <c r="BX513" s="1"/>
      <c r="BY513" s="1"/>
      <c r="BZ513" s="655"/>
      <c r="CB513" s="656"/>
      <c r="CC513" s="1"/>
      <c r="CD513" s="1"/>
      <c r="CE513" s="1"/>
      <c r="CF513" s="1"/>
      <c r="CG513" s="1"/>
      <c r="CH513" s="1"/>
      <c r="CI513" s="1"/>
      <c r="CJ513" s="1"/>
      <c r="CR513" s="305"/>
      <c r="CT513" s="116"/>
      <c r="DB513" s="1"/>
      <c r="DC513" s="1"/>
      <c r="DD513" s="1"/>
      <c r="DE513" s="1"/>
      <c r="DF513" s="1"/>
      <c r="DG513" s="1"/>
      <c r="DH513" s="1"/>
      <c r="DI513" s="1"/>
      <c r="DJ513" s="655"/>
      <c r="DL513" s="116"/>
    </row>
    <row r="514" spans="2:116" ht="15.75" customHeight="1" x14ac:dyDescent="0.3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874"/>
      <c r="AR514" s="874"/>
      <c r="AS514" s="874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43"/>
      <c r="BN514" s="116"/>
      <c r="BW514" s="1"/>
      <c r="BX514" s="1"/>
      <c r="BY514" s="1"/>
      <c r="BZ514" s="655"/>
      <c r="CB514" s="656"/>
      <c r="CC514" s="1"/>
      <c r="CD514" s="1"/>
      <c r="CE514" s="1"/>
      <c r="CF514" s="1"/>
      <c r="CG514" s="1"/>
      <c r="CH514" s="1"/>
      <c r="CI514" s="1"/>
      <c r="CJ514" s="1"/>
      <c r="CR514" s="305"/>
      <c r="CT514" s="116"/>
      <c r="DB514" s="1"/>
      <c r="DC514" s="1"/>
      <c r="DD514" s="1"/>
      <c r="DE514" s="1"/>
      <c r="DF514" s="1"/>
      <c r="DG514" s="1"/>
      <c r="DH514" s="1"/>
      <c r="DI514" s="1"/>
      <c r="DJ514" s="655"/>
      <c r="DL514" s="116"/>
    </row>
    <row r="515" spans="2:116" ht="15.75" customHeight="1" x14ac:dyDescent="0.3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874"/>
      <c r="AR515" s="874"/>
      <c r="AS515" s="874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43"/>
      <c r="BN515" s="116"/>
      <c r="BW515" s="1"/>
      <c r="BX515" s="1"/>
      <c r="BY515" s="1"/>
      <c r="BZ515" s="655"/>
      <c r="CB515" s="656"/>
      <c r="CC515" s="1"/>
      <c r="CD515" s="1"/>
      <c r="CE515" s="1"/>
      <c r="CF515" s="1"/>
      <c r="CG515" s="1"/>
      <c r="CH515" s="1"/>
      <c r="CI515" s="1"/>
      <c r="CJ515" s="1"/>
      <c r="CR515" s="305"/>
      <c r="CT515" s="116"/>
      <c r="DB515" s="1"/>
      <c r="DC515" s="1"/>
      <c r="DD515" s="1"/>
      <c r="DE515" s="1"/>
      <c r="DF515" s="1"/>
      <c r="DG515" s="1"/>
      <c r="DH515" s="1"/>
      <c r="DI515" s="1"/>
      <c r="DJ515" s="655"/>
      <c r="DL515" s="116"/>
    </row>
    <row r="516" spans="2:116" ht="15.75" customHeight="1" x14ac:dyDescent="0.3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874"/>
      <c r="AR516" s="874"/>
      <c r="AS516" s="874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43"/>
      <c r="BN516" s="116"/>
      <c r="BW516" s="1"/>
      <c r="BX516" s="1"/>
      <c r="BY516" s="1"/>
      <c r="BZ516" s="655"/>
      <c r="CB516" s="656"/>
      <c r="CC516" s="1"/>
      <c r="CD516" s="1"/>
      <c r="CE516" s="1"/>
      <c r="CF516" s="1"/>
      <c r="CG516" s="1"/>
      <c r="CH516" s="1"/>
      <c r="CI516" s="1"/>
      <c r="CJ516" s="1"/>
      <c r="CR516" s="305"/>
      <c r="CT516" s="116"/>
      <c r="DB516" s="1"/>
      <c r="DC516" s="1"/>
      <c r="DD516" s="1"/>
      <c r="DE516" s="1"/>
      <c r="DF516" s="1"/>
      <c r="DG516" s="1"/>
      <c r="DH516" s="1"/>
      <c r="DI516" s="1"/>
      <c r="DJ516" s="655"/>
      <c r="DL516" s="116"/>
    </row>
    <row r="517" spans="2:116" ht="15.75" customHeight="1" x14ac:dyDescent="0.3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874"/>
      <c r="AR517" s="874"/>
      <c r="AS517" s="874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43"/>
      <c r="BN517" s="116"/>
      <c r="BW517" s="1"/>
      <c r="BX517" s="1"/>
      <c r="BY517" s="1"/>
      <c r="BZ517" s="655"/>
      <c r="CB517" s="656"/>
      <c r="CC517" s="1"/>
      <c r="CD517" s="1"/>
      <c r="CE517" s="1"/>
      <c r="CF517" s="1"/>
      <c r="CG517" s="1"/>
      <c r="CH517" s="1"/>
      <c r="CI517" s="1"/>
      <c r="CJ517" s="1"/>
      <c r="CR517" s="305"/>
      <c r="CT517" s="116"/>
      <c r="DB517" s="1"/>
      <c r="DC517" s="1"/>
      <c r="DD517" s="1"/>
      <c r="DE517" s="1"/>
      <c r="DF517" s="1"/>
      <c r="DG517" s="1"/>
      <c r="DH517" s="1"/>
      <c r="DI517" s="1"/>
      <c r="DJ517" s="655"/>
      <c r="DL517" s="116"/>
    </row>
    <row r="518" spans="2:116" ht="15.75" customHeight="1" x14ac:dyDescent="0.3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874"/>
      <c r="AR518" s="874"/>
      <c r="AS518" s="874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43"/>
      <c r="BN518" s="116"/>
      <c r="BW518" s="1"/>
      <c r="BX518" s="1"/>
      <c r="BY518" s="1"/>
      <c r="BZ518" s="655"/>
      <c r="CB518" s="656"/>
      <c r="CC518" s="1"/>
      <c r="CD518" s="1"/>
      <c r="CE518" s="1"/>
      <c r="CF518" s="1"/>
      <c r="CG518" s="1"/>
      <c r="CH518" s="1"/>
      <c r="CI518" s="1"/>
      <c r="CJ518" s="1"/>
      <c r="CR518" s="305"/>
      <c r="CT518" s="116"/>
      <c r="DB518" s="1"/>
      <c r="DC518" s="1"/>
      <c r="DD518" s="1"/>
      <c r="DE518" s="1"/>
      <c r="DF518" s="1"/>
      <c r="DG518" s="1"/>
      <c r="DH518" s="1"/>
      <c r="DI518" s="1"/>
      <c r="DJ518" s="655"/>
      <c r="DL518" s="116"/>
    </row>
    <row r="519" spans="2:116" ht="15.75" customHeight="1" x14ac:dyDescent="0.3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874"/>
      <c r="AR519" s="874"/>
      <c r="AS519" s="874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43"/>
      <c r="BN519" s="116"/>
      <c r="BW519" s="1"/>
      <c r="BX519" s="1"/>
      <c r="BY519" s="1"/>
      <c r="BZ519" s="655"/>
      <c r="CB519" s="656"/>
      <c r="CC519" s="1"/>
      <c r="CD519" s="1"/>
      <c r="CE519" s="1"/>
      <c r="CF519" s="1"/>
      <c r="CG519" s="1"/>
      <c r="CH519" s="1"/>
      <c r="CI519" s="1"/>
      <c r="CJ519" s="1"/>
      <c r="CR519" s="305"/>
      <c r="CT519" s="116"/>
      <c r="DB519" s="1"/>
      <c r="DC519" s="1"/>
      <c r="DD519" s="1"/>
      <c r="DE519" s="1"/>
      <c r="DF519" s="1"/>
      <c r="DG519" s="1"/>
      <c r="DH519" s="1"/>
      <c r="DI519" s="1"/>
      <c r="DJ519" s="655"/>
      <c r="DL519" s="116"/>
    </row>
    <row r="520" spans="2:116" ht="15.75" customHeight="1" x14ac:dyDescent="0.3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874"/>
      <c r="AR520" s="874"/>
      <c r="AS520" s="874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43"/>
      <c r="BN520" s="116"/>
      <c r="BW520" s="1"/>
      <c r="BX520" s="1"/>
      <c r="BY520" s="1"/>
      <c r="BZ520" s="655"/>
      <c r="CB520" s="656"/>
      <c r="CC520" s="1"/>
      <c r="CD520" s="1"/>
      <c r="CE520" s="1"/>
      <c r="CF520" s="1"/>
      <c r="CG520" s="1"/>
      <c r="CH520" s="1"/>
      <c r="CI520" s="1"/>
      <c r="CJ520" s="1"/>
      <c r="CR520" s="305"/>
      <c r="CT520" s="116"/>
      <c r="DB520" s="1"/>
      <c r="DC520" s="1"/>
      <c r="DD520" s="1"/>
      <c r="DE520" s="1"/>
      <c r="DF520" s="1"/>
      <c r="DG520" s="1"/>
      <c r="DH520" s="1"/>
      <c r="DI520" s="1"/>
      <c r="DJ520" s="655"/>
      <c r="DL520" s="116"/>
    </row>
    <row r="521" spans="2:116" ht="15.75" customHeight="1" x14ac:dyDescent="0.3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874"/>
      <c r="AR521" s="874"/>
      <c r="AS521" s="874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43"/>
      <c r="BN521" s="116"/>
      <c r="BW521" s="1"/>
      <c r="BX521" s="1"/>
      <c r="BY521" s="1"/>
      <c r="BZ521" s="655"/>
      <c r="CB521" s="656"/>
      <c r="CC521" s="1"/>
      <c r="CD521" s="1"/>
      <c r="CE521" s="1"/>
      <c r="CF521" s="1"/>
      <c r="CG521" s="1"/>
      <c r="CH521" s="1"/>
      <c r="CI521" s="1"/>
      <c r="CJ521" s="1"/>
      <c r="CR521" s="305"/>
      <c r="CT521" s="116"/>
      <c r="DB521" s="1"/>
      <c r="DC521" s="1"/>
      <c r="DD521" s="1"/>
      <c r="DE521" s="1"/>
      <c r="DF521" s="1"/>
      <c r="DG521" s="1"/>
      <c r="DH521" s="1"/>
      <c r="DI521" s="1"/>
      <c r="DJ521" s="655"/>
      <c r="DL521" s="116"/>
    </row>
    <row r="522" spans="2:116" ht="15.75" customHeight="1" x14ac:dyDescent="0.3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874"/>
      <c r="AR522" s="874"/>
      <c r="AS522" s="874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43"/>
      <c r="BN522" s="116"/>
      <c r="BW522" s="1"/>
      <c r="BX522" s="1"/>
      <c r="BY522" s="1"/>
      <c r="BZ522" s="655"/>
      <c r="CB522" s="656"/>
      <c r="CC522" s="1"/>
      <c r="CD522" s="1"/>
      <c r="CE522" s="1"/>
      <c r="CF522" s="1"/>
      <c r="CG522" s="1"/>
      <c r="CH522" s="1"/>
      <c r="CI522" s="1"/>
      <c r="CJ522" s="1"/>
      <c r="CR522" s="305"/>
      <c r="CT522" s="116"/>
      <c r="DB522" s="1"/>
      <c r="DC522" s="1"/>
      <c r="DD522" s="1"/>
      <c r="DE522" s="1"/>
      <c r="DF522" s="1"/>
      <c r="DG522" s="1"/>
      <c r="DH522" s="1"/>
      <c r="DI522" s="1"/>
      <c r="DJ522" s="655"/>
      <c r="DL522" s="116"/>
    </row>
    <row r="523" spans="2:116" ht="15.75" customHeight="1" x14ac:dyDescent="0.3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874"/>
      <c r="AR523" s="874"/>
      <c r="AS523" s="874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43"/>
      <c r="BN523" s="116"/>
      <c r="BW523" s="1"/>
      <c r="BX523" s="1"/>
      <c r="BY523" s="1"/>
      <c r="BZ523" s="655"/>
      <c r="CB523" s="656"/>
      <c r="CC523" s="1"/>
      <c r="CD523" s="1"/>
      <c r="CE523" s="1"/>
      <c r="CF523" s="1"/>
      <c r="CG523" s="1"/>
      <c r="CH523" s="1"/>
      <c r="CI523" s="1"/>
      <c r="CJ523" s="1"/>
      <c r="CR523" s="305"/>
      <c r="CT523" s="116"/>
      <c r="DB523" s="1"/>
      <c r="DC523" s="1"/>
      <c r="DD523" s="1"/>
      <c r="DE523" s="1"/>
      <c r="DF523" s="1"/>
      <c r="DG523" s="1"/>
      <c r="DH523" s="1"/>
      <c r="DI523" s="1"/>
      <c r="DJ523" s="655"/>
      <c r="DL523" s="116"/>
    </row>
    <row r="524" spans="2:116" ht="15.75" customHeight="1" x14ac:dyDescent="0.3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874"/>
      <c r="AR524" s="874"/>
      <c r="AS524" s="874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43"/>
      <c r="BN524" s="116"/>
      <c r="BW524" s="1"/>
      <c r="BX524" s="1"/>
      <c r="BY524" s="1"/>
      <c r="BZ524" s="655"/>
      <c r="CB524" s="656"/>
      <c r="CC524" s="1"/>
      <c r="CD524" s="1"/>
      <c r="CE524" s="1"/>
      <c r="CF524" s="1"/>
      <c r="CG524" s="1"/>
      <c r="CH524" s="1"/>
      <c r="CI524" s="1"/>
      <c r="CJ524" s="1"/>
      <c r="CR524" s="305"/>
      <c r="CT524" s="116"/>
      <c r="DB524" s="1"/>
      <c r="DC524" s="1"/>
      <c r="DD524" s="1"/>
      <c r="DE524" s="1"/>
      <c r="DF524" s="1"/>
      <c r="DG524" s="1"/>
      <c r="DH524" s="1"/>
      <c r="DI524" s="1"/>
      <c r="DJ524" s="655"/>
      <c r="DL524" s="116"/>
    </row>
    <row r="525" spans="2:116" ht="15.75" customHeight="1" x14ac:dyDescent="0.3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874"/>
      <c r="AR525" s="874"/>
      <c r="AS525" s="874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43"/>
      <c r="BN525" s="116"/>
      <c r="BW525" s="1"/>
      <c r="BX525" s="1"/>
      <c r="BY525" s="1"/>
      <c r="BZ525" s="655"/>
      <c r="CB525" s="656"/>
      <c r="CC525" s="1"/>
      <c r="CD525" s="1"/>
      <c r="CE525" s="1"/>
      <c r="CF525" s="1"/>
      <c r="CG525" s="1"/>
      <c r="CH525" s="1"/>
      <c r="CI525" s="1"/>
      <c r="CJ525" s="1"/>
      <c r="CR525" s="305"/>
      <c r="CT525" s="116"/>
      <c r="DB525" s="1"/>
      <c r="DC525" s="1"/>
      <c r="DD525" s="1"/>
      <c r="DE525" s="1"/>
      <c r="DF525" s="1"/>
      <c r="DG525" s="1"/>
      <c r="DH525" s="1"/>
      <c r="DI525" s="1"/>
      <c r="DJ525" s="655"/>
      <c r="DL525" s="116"/>
    </row>
    <row r="526" spans="2:116" ht="15.75" customHeight="1" x14ac:dyDescent="0.3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874"/>
      <c r="AR526" s="874"/>
      <c r="AS526" s="874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43"/>
      <c r="BN526" s="116"/>
      <c r="BW526" s="1"/>
      <c r="BX526" s="1"/>
      <c r="BY526" s="1"/>
      <c r="BZ526" s="655"/>
      <c r="CB526" s="656"/>
      <c r="CC526" s="1"/>
      <c r="CD526" s="1"/>
      <c r="CE526" s="1"/>
      <c r="CF526" s="1"/>
      <c r="CG526" s="1"/>
      <c r="CH526" s="1"/>
      <c r="CI526" s="1"/>
      <c r="CJ526" s="1"/>
      <c r="CR526" s="305"/>
      <c r="CT526" s="116"/>
      <c r="DB526" s="1"/>
      <c r="DC526" s="1"/>
      <c r="DD526" s="1"/>
      <c r="DE526" s="1"/>
      <c r="DF526" s="1"/>
      <c r="DG526" s="1"/>
      <c r="DH526" s="1"/>
      <c r="DI526" s="1"/>
      <c r="DJ526" s="655"/>
      <c r="DL526" s="116"/>
    </row>
    <row r="527" spans="2:116" ht="15.75" customHeight="1" x14ac:dyDescent="0.3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874"/>
      <c r="AR527" s="874"/>
      <c r="AS527" s="874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43"/>
      <c r="BN527" s="116"/>
      <c r="BW527" s="1"/>
      <c r="BX527" s="1"/>
      <c r="BY527" s="1"/>
      <c r="BZ527" s="655"/>
      <c r="CB527" s="656"/>
      <c r="CC527" s="1"/>
      <c r="CD527" s="1"/>
      <c r="CE527" s="1"/>
      <c r="CF527" s="1"/>
      <c r="CG527" s="1"/>
      <c r="CH527" s="1"/>
      <c r="CI527" s="1"/>
      <c r="CJ527" s="1"/>
      <c r="CR527" s="305"/>
      <c r="CT527" s="116"/>
      <c r="DB527" s="1"/>
      <c r="DC527" s="1"/>
      <c r="DD527" s="1"/>
      <c r="DE527" s="1"/>
      <c r="DF527" s="1"/>
      <c r="DG527" s="1"/>
      <c r="DH527" s="1"/>
      <c r="DI527" s="1"/>
      <c r="DJ527" s="655"/>
      <c r="DL527" s="116"/>
    </row>
    <row r="528" spans="2:116" ht="15.75" customHeight="1" x14ac:dyDescent="0.3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874"/>
      <c r="AR528" s="874"/>
      <c r="AS528" s="874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43"/>
      <c r="BN528" s="116"/>
      <c r="BW528" s="1"/>
      <c r="BX528" s="1"/>
      <c r="BY528" s="1"/>
      <c r="BZ528" s="655"/>
      <c r="CB528" s="656"/>
      <c r="CC528" s="1"/>
      <c r="CD528" s="1"/>
      <c r="CE528" s="1"/>
      <c r="CF528" s="1"/>
      <c r="CG528" s="1"/>
      <c r="CH528" s="1"/>
      <c r="CI528" s="1"/>
      <c r="CJ528" s="1"/>
      <c r="CR528" s="305"/>
      <c r="CT528" s="116"/>
      <c r="DB528" s="1"/>
      <c r="DC528" s="1"/>
      <c r="DD528" s="1"/>
      <c r="DE528" s="1"/>
      <c r="DF528" s="1"/>
      <c r="DG528" s="1"/>
      <c r="DH528" s="1"/>
      <c r="DI528" s="1"/>
      <c r="DJ528" s="655"/>
      <c r="DL528" s="116"/>
    </row>
    <row r="529" spans="2:116" ht="15.75" customHeight="1" x14ac:dyDescent="0.3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874"/>
      <c r="AR529" s="874"/>
      <c r="AS529" s="874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43"/>
      <c r="BN529" s="116"/>
      <c r="BW529" s="1"/>
      <c r="BX529" s="1"/>
      <c r="BY529" s="1"/>
      <c r="BZ529" s="655"/>
      <c r="CB529" s="656"/>
      <c r="CC529" s="1"/>
      <c r="CD529" s="1"/>
      <c r="CE529" s="1"/>
      <c r="CF529" s="1"/>
      <c r="CG529" s="1"/>
      <c r="CH529" s="1"/>
      <c r="CI529" s="1"/>
      <c r="CJ529" s="1"/>
      <c r="CR529" s="305"/>
      <c r="CT529" s="116"/>
      <c r="DB529" s="1"/>
      <c r="DC529" s="1"/>
      <c r="DD529" s="1"/>
      <c r="DE529" s="1"/>
      <c r="DF529" s="1"/>
      <c r="DG529" s="1"/>
      <c r="DH529" s="1"/>
      <c r="DI529" s="1"/>
      <c r="DJ529" s="655"/>
      <c r="DL529" s="116"/>
    </row>
    <row r="530" spans="2:116" ht="15.75" customHeight="1" x14ac:dyDescent="0.3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874"/>
      <c r="AR530" s="874"/>
      <c r="AS530" s="874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43"/>
      <c r="BN530" s="116"/>
      <c r="BW530" s="1"/>
      <c r="BX530" s="1"/>
      <c r="BY530" s="1"/>
      <c r="BZ530" s="655"/>
      <c r="CB530" s="656"/>
      <c r="CC530" s="1"/>
      <c r="CD530" s="1"/>
      <c r="CE530" s="1"/>
      <c r="CF530" s="1"/>
      <c r="CG530" s="1"/>
      <c r="CH530" s="1"/>
      <c r="CI530" s="1"/>
      <c r="CJ530" s="1"/>
      <c r="CR530" s="305"/>
      <c r="CT530" s="116"/>
      <c r="DB530" s="1"/>
      <c r="DC530" s="1"/>
      <c r="DD530" s="1"/>
      <c r="DE530" s="1"/>
      <c r="DF530" s="1"/>
      <c r="DG530" s="1"/>
      <c r="DH530" s="1"/>
      <c r="DI530" s="1"/>
      <c r="DJ530" s="655"/>
      <c r="DL530" s="116"/>
    </row>
    <row r="531" spans="2:116" ht="15.75" customHeight="1" x14ac:dyDescent="0.3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874"/>
      <c r="AR531" s="874"/>
      <c r="AS531" s="874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43"/>
      <c r="BN531" s="116"/>
      <c r="BW531" s="1"/>
      <c r="BX531" s="1"/>
      <c r="BY531" s="1"/>
      <c r="BZ531" s="655"/>
      <c r="CB531" s="656"/>
      <c r="CC531" s="1"/>
      <c r="CD531" s="1"/>
      <c r="CE531" s="1"/>
      <c r="CF531" s="1"/>
      <c r="CG531" s="1"/>
      <c r="CH531" s="1"/>
      <c r="CI531" s="1"/>
      <c r="CJ531" s="1"/>
      <c r="CR531" s="305"/>
      <c r="CT531" s="116"/>
      <c r="DB531" s="1"/>
      <c r="DC531" s="1"/>
      <c r="DD531" s="1"/>
      <c r="DE531" s="1"/>
      <c r="DF531" s="1"/>
      <c r="DG531" s="1"/>
      <c r="DH531" s="1"/>
      <c r="DI531" s="1"/>
      <c r="DJ531" s="655"/>
      <c r="DL531" s="116"/>
    </row>
    <row r="532" spans="2:116" ht="15.75" customHeight="1" x14ac:dyDescent="0.3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874"/>
      <c r="AR532" s="874"/>
      <c r="AS532" s="874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43"/>
      <c r="BN532" s="116"/>
      <c r="BW532" s="1"/>
      <c r="BX532" s="1"/>
      <c r="BY532" s="1"/>
      <c r="BZ532" s="655"/>
      <c r="CB532" s="656"/>
      <c r="CC532" s="1"/>
      <c r="CD532" s="1"/>
      <c r="CE532" s="1"/>
      <c r="CF532" s="1"/>
      <c r="CG532" s="1"/>
      <c r="CH532" s="1"/>
      <c r="CI532" s="1"/>
      <c r="CJ532" s="1"/>
      <c r="CR532" s="305"/>
      <c r="CT532" s="116"/>
      <c r="DB532" s="1"/>
      <c r="DC532" s="1"/>
      <c r="DD532" s="1"/>
      <c r="DE532" s="1"/>
      <c r="DF532" s="1"/>
      <c r="DG532" s="1"/>
      <c r="DH532" s="1"/>
      <c r="DI532" s="1"/>
      <c r="DJ532" s="655"/>
      <c r="DL532" s="116"/>
    </row>
    <row r="533" spans="2:116" ht="15.75" customHeight="1" x14ac:dyDescent="0.3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874"/>
      <c r="AR533" s="874"/>
      <c r="AS533" s="874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43"/>
      <c r="BN533" s="116"/>
      <c r="BW533" s="1"/>
      <c r="BX533" s="1"/>
      <c r="BY533" s="1"/>
      <c r="BZ533" s="655"/>
      <c r="CB533" s="656"/>
      <c r="CC533" s="1"/>
      <c r="CD533" s="1"/>
      <c r="CE533" s="1"/>
      <c r="CF533" s="1"/>
      <c r="CG533" s="1"/>
      <c r="CH533" s="1"/>
      <c r="CI533" s="1"/>
      <c r="CJ533" s="1"/>
      <c r="CR533" s="305"/>
      <c r="CT533" s="116"/>
      <c r="DB533" s="1"/>
      <c r="DC533" s="1"/>
      <c r="DD533" s="1"/>
      <c r="DE533" s="1"/>
      <c r="DF533" s="1"/>
      <c r="DG533" s="1"/>
      <c r="DH533" s="1"/>
      <c r="DI533" s="1"/>
      <c r="DJ533" s="655"/>
      <c r="DL533" s="116"/>
    </row>
    <row r="534" spans="2:116" ht="15.75" customHeight="1" x14ac:dyDescent="0.3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874"/>
      <c r="AR534" s="874"/>
      <c r="AS534" s="874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43"/>
      <c r="BN534" s="116"/>
      <c r="BW534" s="1"/>
      <c r="BX534" s="1"/>
      <c r="BY534" s="1"/>
      <c r="BZ534" s="655"/>
      <c r="CB534" s="656"/>
      <c r="CC534" s="1"/>
      <c r="CD534" s="1"/>
      <c r="CE534" s="1"/>
      <c r="CF534" s="1"/>
      <c r="CG534" s="1"/>
      <c r="CH534" s="1"/>
      <c r="CI534" s="1"/>
      <c r="CJ534" s="1"/>
      <c r="CR534" s="305"/>
      <c r="CT534" s="116"/>
      <c r="DB534" s="1"/>
      <c r="DC534" s="1"/>
      <c r="DD534" s="1"/>
      <c r="DE534" s="1"/>
      <c r="DF534" s="1"/>
      <c r="DG534" s="1"/>
      <c r="DH534" s="1"/>
      <c r="DI534" s="1"/>
      <c r="DJ534" s="655"/>
      <c r="DL534" s="116"/>
    </row>
    <row r="535" spans="2:116" ht="15.75" customHeight="1" x14ac:dyDescent="0.3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874"/>
      <c r="AR535" s="874"/>
      <c r="AS535" s="874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43"/>
      <c r="BN535" s="116"/>
      <c r="BW535" s="1"/>
      <c r="BX535" s="1"/>
      <c r="BY535" s="1"/>
      <c r="BZ535" s="655"/>
      <c r="CB535" s="656"/>
      <c r="CC535" s="1"/>
      <c r="CD535" s="1"/>
      <c r="CE535" s="1"/>
      <c r="CF535" s="1"/>
      <c r="CG535" s="1"/>
      <c r="CH535" s="1"/>
      <c r="CI535" s="1"/>
      <c r="CJ535" s="1"/>
      <c r="CR535" s="305"/>
      <c r="CT535" s="116"/>
      <c r="DB535" s="1"/>
      <c r="DC535" s="1"/>
      <c r="DD535" s="1"/>
      <c r="DE535" s="1"/>
      <c r="DF535" s="1"/>
      <c r="DG535" s="1"/>
      <c r="DH535" s="1"/>
      <c r="DI535" s="1"/>
      <c r="DJ535" s="655"/>
      <c r="DL535" s="116"/>
    </row>
    <row r="536" spans="2:116" ht="15.75" customHeight="1" x14ac:dyDescent="0.3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874"/>
      <c r="AR536" s="874"/>
      <c r="AS536" s="874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43"/>
      <c r="BN536" s="116"/>
      <c r="BW536" s="1"/>
      <c r="BX536" s="1"/>
      <c r="BY536" s="1"/>
      <c r="BZ536" s="655"/>
      <c r="CB536" s="656"/>
      <c r="CC536" s="1"/>
      <c r="CD536" s="1"/>
      <c r="CE536" s="1"/>
      <c r="CF536" s="1"/>
      <c r="CG536" s="1"/>
      <c r="CH536" s="1"/>
      <c r="CI536" s="1"/>
      <c r="CJ536" s="1"/>
      <c r="CR536" s="305"/>
      <c r="CT536" s="116"/>
      <c r="DB536" s="1"/>
      <c r="DC536" s="1"/>
      <c r="DD536" s="1"/>
      <c r="DE536" s="1"/>
      <c r="DF536" s="1"/>
      <c r="DG536" s="1"/>
      <c r="DH536" s="1"/>
      <c r="DI536" s="1"/>
      <c r="DJ536" s="655"/>
      <c r="DL536" s="116"/>
    </row>
    <row r="537" spans="2:116" ht="15.75" customHeight="1" x14ac:dyDescent="0.3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874"/>
      <c r="AR537" s="874"/>
      <c r="AS537" s="874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43"/>
      <c r="BN537" s="116"/>
      <c r="BW537" s="1"/>
      <c r="BX537" s="1"/>
      <c r="BY537" s="1"/>
      <c r="BZ537" s="655"/>
      <c r="CB537" s="656"/>
      <c r="CC537" s="1"/>
      <c r="CD537" s="1"/>
      <c r="CE537" s="1"/>
      <c r="CF537" s="1"/>
      <c r="CG537" s="1"/>
      <c r="CH537" s="1"/>
      <c r="CI537" s="1"/>
      <c r="CJ537" s="1"/>
      <c r="CR537" s="305"/>
      <c r="CT537" s="116"/>
      <c r="DB537" s="1"/>
      <c r="DC537" s="1"/>
      <c r="DD537" s="1"/>
      <c r="DE537" s="1"/>
      <c r="DF537" s="1"/>
      <c r="DG537" s="1"/>
      <c r="DH537" s="1"/>
      <c r="DI537" s="1"/>
      <c r="DJ537" s="655"/>
      <c r="DL537" s="116"/>
    </row>
    <row r="538" spans="2:116" ht="15.75" customHeight="1" x14ac:dyDescent="0.3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874"/>
      <c r="AR538" s="874"/>
      <c r="AS538" s="874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43"/>
      <c r="BN538" s="116"/>
      <c r="BW538" s="1"/>
      <c r="BX538" s="1"/>
      <c r="BY538" s="1"/>
      <c r="BZ538" s="655"/>
      <c r="CB538" s="656"/>
      <c r="CC538" s="1"/>
      <c r="CD538" s="1"/>
      <c r="CE538" s="1"/>
      <c r="CF538" s="1"/>
      <c r="CG538" s="1"/>
      <c r="CH538" s="1"/>
      <c r="CI538" s="1"/>
      <c r="CJ538" s="1"/>
      <c r="CR538" s="305"/>
      <c r="CT538" s="116"/>
      <c r="DB538" s="1"/>
      <c r="DC538" s="1"/>
      <c r="DD538" s="1"/>
      <c r="DE538" s="1"/>
      <c r="DF538" s="1"/>
      <c r="DG538" s="1"/>
      <c r="DH538" s="1"/>
      <c r="DI538" s="1"/>
      <c r="DJ538" s="655"/>
      <c r="DL538" s="116"/>
    </row>
    <row r="539" spans="2:116" ht="15.75" customHeight="1" x14ac:dyDescent="0.3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874"/>
      <c r="AR539" s="874"/>
      <c r="AS539" s="874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43"/>
      <c r="BN539" s="116"/>
      <c r="BW539" s="1"/>
      <c r="BX539" s="1"/>
      <c r="BY539" s="1"/>
      <c r="BZ539" s="655"/>
      <c r="CB539" s="656"/>
      <c r="CC539" s="1"/>
      <c r="CD539" s="1"/>
      <c r="CE539" s="1"/>
      <c r="CF539" s="1"/>
      <c r="CG539" s="1"/>
      <c r="CH539" s="1"/>
      <c r="CI539" s="1"/>
      <c r="CJ539" s="1"/>
      <c r="CR539" s="305"/>
      <c r="CT539" s="116"/>
      <c r="DB539" s="1"/>
      <c r="DC539" s="1"/>
      <c r="DD539" s="1"/>
      <c r="DE539" s="1"/>
      <c r="DF539" s="1"/>
      <c r="DG539" s="1"/>
      <c r="DH539" s="1"/>
      <c r="DI539" s="1"/>
      <c r="DJ539" s="655"/>
      <c r="DL539" s="116"/>
    </row>
    <row r="540" spans="2:116" ht="15.75" customHeight="1" x14ac:dyDescent="0.3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874"/>
      <c r="AR540" s="874"/>
      <c r="AS540" s="874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43"/>
      <c r="BN540" s="116"/>
      <c r="BW540" s="1"/>
      <c r="BX540" s="1"/>
      <c r="BY540" s="1"/>
      <c r="BZ540" s="655"/>
      <c r="CB540" s="656"/>
      <c r="CC540" s="1"/>
      <c r="CD540" s="1"/>
      <c r="CE540" s="1"/>
      <c r="CF540" s="1"/>
      <c r="CG540" s="1"/>
      <c r="CH540" s="1"/>
      <c r="CI540" s="1"/>
      <c r="CJ540" s="1"/>
      <c r="CR540" s="305"/>
      <c r="CT540" s="116"/>
      <c r="DB540" s="1"/>
      <c r="DC540" s="1"/>
      <c r="DD540" s="1"/>
      <c r="DE540" s="1"/>
      <c r="DF540" s="1"/>
      <c r="DG540" s="1"/>
      <c r="DH540" s="1"/>
      <c r="DI540" s="1"/>
      <c r="DJ540" s="655"/>
      <c r="DL540" s="116"/>
    </row>
    <row r="541" spans="2:116" ht="15.75" customHeight="1" x14ac:dyDescent="0.3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874"/>
      <c r="AR541" s="874"/>
      <c r="AS541" s="874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43"/>
      <c r="BN541" s="116"/>
      <c r="BW541" s="1"/>
      <c r="BX541" s="1"/>
      <c r="BY541" s="1"/>
      <c r="BZ541" s="655"/>
      <c r="CB541" s="656"/>
      <c r="CC541" s="1"/>
      <c r="CD541" s="1"/>
      <c r="CE541" s="1"/>
      <c r="CF541" s="1"/>
      <c r="CG541" s="1"/>
      <c r="CH541" s="1"/>
      <c r="CI541" s="1"/>
      <c r="CJ541" s="1"/>
      <c r="CR541" s="305"/>
      <c r="CT541" s="116"/>
      <c r="DB541" s="1"/>
      <c r="DC541" s="1"/>
      <c r="DD541" s="1"/>
      <c r="DE541" s="1"/>
      <c r="DF541" s="1"/>
      <c r="DG541" s="1"/>
      <c r="DH541" s="1"/>
      <c r="DI541" s="1"/>
      <c r="DJ541" s="655"/>
      <c r="DL541" s="116"/>
    </row>
    <row r="542" spans="2:116" ht="15.75" customHeight="1" x14ac:dyDescent="0.3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874"/>
      <c r="AR542" s="874"/>
      <c r="AS542" s="874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43"/>
      <c r="BN542" s="116"/>
      <c r="BW542" s="1"/>
      <c r="BX542" s="1"/>
      <c r="BY542" s="1"/>
      <c r="BZ542" s="655"/>
      <c r="CB542" s="656"/>
      <c r="CC542" s="1"/>
      <c r="CD542" s="1"/>
      <c r="CE542" s="1"/>
      <c r="CF542" s="1"/>
      <c r="CG542" s="1"/>
      <c r="CH542" s="1"/>
      <c r="CI542" s="1"/>
      <c r="CJ542" s="1"/>
      <c r="CR542" s="305"/>
      <c r="CT542" s="116"/>
      <c r="DB542" s="1"/>
      <c r="DC542" s="1"/>
      <c r="DD542" s="1"/>
      <c r="DE542" s="1"/>
      <c r="DF542" s="1"/>
      <c r="DG542" s="1"/>
      <c r="DH542" s="1"/>
      <c r="DI542" s="1"/>
      <c r="DJ542" s="655"/>
      <c r="DL542" s="116"/>
    </row>
    <row r="543" spans="2:116" ht="15.75" customHeight="1" x14ac:dyDescent="0.3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874"/>
      <c r="AR543" s="874"/>
      <c r="AS543" s="874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43"/>
      <c r="BN543" s="116"/>
      <c r="BW543" s="1"/>
      <c r="BX543" s="1"/>
      <c r="BY543" s="1"/>
      <c r="BZ543" s="655"/>
      <c r="CB543" s="656"/>
      <c r="CC543" s="1"/>
      <c r="CD543" s="1"/>
      <c r="CE543" s="1"/>
      <c r="CF543" s="1"/>
      <c r="CG543" s="1"/>
      <c r="CH543" s="1"/>
      <c r="CI543" s="1"/>
      <c r="CJ543" s="1"/>
      <c r="CR543" s="305"/>
      <c r="CT543" s="116"/>
      <c r="DB543" s="1"/>
      <c r="DC543" s="1"/>
      <c r="DD543" s="1"/>
      <c r="DE543" s="1"/>
      <c r="DF543" s="1"/>
      <c r="DG543" s="1"/>
      <c r="DH543" s="1"/>
      <c r="DI543" s="1"/>
      <c r="DJ543" s="655"/>
      <c r="DL543" s="116"/>
    </row>
    <row r="544" spans="2:116" ht="15.75" customHeight="1" x14ac:dyDescent="0.3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874"/>
      <c r="AR544" s="874"/>
      <c r="AS544" s="874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43"/>
      <c r="BN544" s="116"/>
      <c r="BW544" s="1"/>
      <c r="BX544" s="1"/>
      <c r="BY544" s="1"/>
      <c r="BZ544" s="655"/>
      <c r="CB544" s="656"/>
      <c r="CC544" s="1"/>
      <c r="CD544" s="1"/>
      <c r="CE544" s="1"/>
      <c r="CF544" s="1"/>
      <c r="CG544" s="1"/>
      <c r="CH544" s="1"/>
      <c r="CI544" s="1"/>
      <c r="CJ544" s="1"/>
      <c r="CR544" s="305"/>
      <c r="CT544" s="116"/>
      <c r="DB544" s="1"/>
      <c r="DC544" s="1"/>
      <c r="DD544" s="1"/>
      <c r="DE544" s="1"/>
      <c r="DF544" s="1"/>
      <c r="DG544" s="1"/>
      <c r="DH544" s="1"/>
      <c r="DI544" s="1"/>
      <c r="DJ544" s="655"/>
      <c r="DL544" s="116"/>
    </row>
    <row r="545" spans="2:116" ht="15.75" customHeight="1" x14ac:dyDescent="0.3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874"/>
      <c r="AR545" s="874"/>
      <c r="AS545" s="874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43"/>
      <c r="BN545" s="116"/>
      <c r="BW545" s="1"/>
      <c r="BX545" s="1"/>
      <c r="BY545" s="1"/>
      <c r="BZ545" s="655"/>
      <c r="CB545" s="656"/>
      <c r="CC545" s="1"/>
      <c r="CD545" s="1"/>
      <c r="CE545" s="1"/>
      <c r="CF545" s="1"/>
      <c r="CG545" s="1"/>
      <c r="CH545" s="1"/>
      <c r="CI545" s="1"/>
      <c r="CJ545" s="1"/>
      <c r="CR545" s="305"/>
      <c r="CT545" s="116"/>
      <c r="DB545" s="1"/>
      <c r="DC545" s="1"/>
      <c r="DD545" s="1"/>
      <c r="DE545" s="1"/>
      <c r="DF545" s="1"/>
      <c r="DG545" s="1"/>
      <c r="DH545" s="1"/>
      <c r="DI545" s="1"/>
      <c r="DJ545" s="655"/>
      <c r="DL545" s="116"/>
    </row>
    <row r="546" spans="2:116" ht="15.75" customHeight="1" x14ac:dyDescent="0.3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874"/>
      <c r="AR546" s="874"/>
      <c r="AS546" s="874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43"/>
      <c r="BN546" s="116"/>
      <c r="BW546" s="1"/>
      <c r="BX546" s="1"/>
      <c r="BY546" s="1"/>
      <c r="BZ546" s="655"/>
      <c r="CB546" s="656"/>
      <c r="CC546" s="1"/>
      <c r="CD546" s="1"/>
      <c r="CE546" s="1"/>
      <c r="CF546" s="1"/>
      <c r="CG546" s="1"/>
      <c r="CH546" s="1"/>
      <c r="CI546" s="1"/>
      <c r="CJ546" s="1"/>
      <c r="CR546" s="305"/>
      <c r="CT546" s="116"/>
      <c r="DB546" s="1"/>
      <c r="DC546" s="1"/>
      <c r="DD546" s="1"/>
      <c r="DE546" s="1"/>
      <c r="DF546" s="1"/>
      <c r="DG546" s="1"/>
      <c r="DH546" s="1"/>
      <c r="DI546" s="1"/>
      <c r="DJ546" s="655"/>
      <c r="DL546" s="116"/>
    </row>
    <row r="547" spans="2:116" ht="15.75" customHeight="1" x14ac:dyDescent="0.3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874"/>
      <c r="AR547" s="874"/>
      <c r="AS547" s="874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43"/>
      <c r="BN547" s="116"/>
      <c r="BW547" s="1"/>
      <c r="BX547" s="1"/>
      <c r="BY547" s="1"/>
      <c r="BZ547" s="655"/>
      <c r="CB547" s="656"/>
      <c r="CC547" s="1"/>
      <c r="CD547" s="1"/>
      <c r="CE547" s="1"/>
      <c r="CF547" s="1"/>
      <c r="CG547" s="1"/>
      <c r="CH547" s="1"/>
      <c r="CI547" s="1"/>
      <c r="CJ547" s="1"/>
      <c r="CR547" s="305"/>
      <c r="CT547" s="116"/>
      <c r="DB547" s="1"/>
      <c r="DC547" s="1"/>
      <c r="DD547" s="1"/>
      <c r="DE547" s="1"/>
      <c r="DF547" s="1"/>
      <c r="DG547" s="1"/>
      <c r="DH547" s="1"/>
      <c r="DI547" s="1"/>
      <c r="DJ547" s="655"/>
      <c r="DL547" s="116"/>
    </row>
    <row r="548" spans="2:116" ht="15.75" customHeight="1" x14ac:dyDescent="0.3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874"/>
      <c r="AR548" s="874"/>
      <c r="AS548" s="874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43"/>
      <c r="BN548" s="116"/>
      <c r="BW548" s="1"/>
      <c r="BX548" s="1"/>
      <c r="BY548" s="1"/>
      <c r="BZ548" s="655"/>
      <c r="CB548" s="656"/>
      <c r="CC548" s="1"/>
      <c r="CD548" s="1"/>
      <c r="CE548" s="1"/>
      <c r="CF548" s="1"/>
      <c r="CG548" s="1"/>
      <c r="CH548" s="1"/>
      <c r="CI548" s="1"/>
      <c r="CJ548" s="1"/>
      <c r="CR548" s="305"/>
      <c r="CT548" s="116"/>
      <c r="DB548" s="1"/>
      <c r="DC548" s="1"/>
      <c r="DD548" s="1"/>
      <c r="DE548" s="1"/>
      <c r="DF548" s="1"/>
      <c r="DG548" s="1"/>
      <c r="DH548" s="1"/>
      <c r="DI548" s="1"/>
      <c r="DJ548" s="655"/>
      <c r="DL548" s="116"/>
    </row>
    <row r="549" spans="2:116" ht="15.75" customHeight="1" x14ac:dyDescent="0.3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874"/>
      <c r="AR549" s="874"/>
      <c r="AS549" s="874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43"/>
      <c r="BN549" s="116"/>
      <c r="BW549" s="1"/>
      <c r="BX549" s="1"/>
      <c r="BY549" s="1"/>
      <c r="BZ549" s="655"/>
      <c r="CB549" s="656"/>
      <c r="CC549" s="1"/>
      <c r="CD549" s="1"/>
      <c r="CE549" s="1"/>
      <c r="CF549" s="1"/>
      <c r="CG549" s="1"/>
      <c r="CH549" s="1"/>
      <c r="CI549" s="1"/>
      <c r="CJ549" s="1"/>
      <c r="CR549" s="305"/>
      <c r="CT549" s="116"/>
      <c r="DB549" s="1"/>
      <c r="DC549" s="1"/>
      <c r="DD549" s="1"/>
      <c r="DE549" s="1"/>
      <c r="DF549" s="1"/>
      <c r="DG549" s="1"/>
      <c r="DH549" s="1"/>
      <c r="DI549" s="1"/>
      <c r="DJ549" s="655"/>
      <c r="DL549" s="116"/>
    </row>
    <row r="550" spans="2:116" ht="15.75" customHeight="1" x14ac:dyDescent="0.3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874"/>
      <c r="AR550" s="874"/>
      <c r="AS550" s="874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43"/>
      <c r="BN550" s="116"/>
      <c r="BW550" s="1"/>
      <c r="BX550" s="1"/>
      <c r="BY550" s="1"/>
      <c r="BZ550" s="655"/>
      <c r="CB550" s="656"/>
      <c r="CC550" s="1"/>
      <c r="CD550" s="1"/>
      <c r="CE550" s="1"/>
      <c r="CF550" s="1"/>
      <c r="CG550" s="1"/>
      <c r="CH550" s="1"/>
      <c r="CI550" s="1"/>
      <c r="CJ550" s="1"/>
      <c r="CR550" s="305"/>
      <c r="CT550" s="116"/>
      <c r="DB550" s="1"/>
      <c r="DC550" s="1"/>
      <c r="DD550" s="1"/>
      <c r="DE550" s="1"/>
      <c r="DF550" s="1"/>
      <c r="DG550" s="1"/>
      <c r="DH550" s="1"/>
      <c r="DI550" s="1"/>
      <c r="DJ550" s="655"/>
      <c r="DL550" s="116"/>
    </row>
    <row r="551" spans="2:116" ht="15.75" customHeight="1" x14ac:dyDescent="0.3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874"/>
      <c r="AR551" s="874"/>
      <c r="AS551" s="874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43"/>
      <c r="BN551" s="116"/>
      <c r="BW551" s="1"/>
      <c r="BX551" s="1"/>
      <c r="BY551" s="1"/>
      <c r="BZ551" s="655"/>
      <c r="CB551" s="656"/>
      <c r="CC551" s="1"/>
      <c r="CD551" s="1"/>
      <c r="CE551" s="1"/>
      <c r="CF551" s="1"/>
      <c r="CG551" s="1"/>
      <c r="CH551" s="1"/>
      <c r="CI551" s="1"/>
      <c r="CJ551" s="1"/>
      <c r="CR551" s="305"/>
      <c r="CT551" s="116"/>
      <c r="DB551" s="1"/>
      <c r="DC551" s="1"/>
      <c r="DD551" s="1"/>
      <c r="DE551" s="1"/>
      <c r="DF551" s="1"/>
      <c r="DG551" s="1"/>
      <c r="DH551" s="1"/>
      <c r="DI551" s="1"/>
      <c r="DJ551" s="655"/>
      <c r="DL551" s="116"/>
    </row>
    <row r="552" spans="2:116" ht="15.75" customHeight="1" x14ac:dyDescent="0.3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874"/>
      <c r="AR552" s="874"/>
      <c r="AS552" s="874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43"/>
      <c r="BN552" s="116"/>
      <c r="BW552" s="1"/>
      <c r="BX552" s="1"/>
      <c r="BY552" s="1"/>
      <c r="BZ552" s="655"/>
      <c r="CB552" s="656"/>
      <c r="CC552" s="1"/>
      <c r="CD552" s="1"/>
      <c r="CE552" s="1"/>
      <c r="CF552" s="1"/>
      <c r="CG552" s="1"/>
      <c r="CH552" s="1"/>
      <c r="CI552" s="1"/>
      <c r="CJ552" s="1"/>
      <c r="CR552" s="305"/>
      <c r="CT552" s="116"/>
      <c r="DB552" s="1"/>
      <c r="DC552" s="1"/>
      <c r="DD552" s="1"/>
      <c r="DE552" s="1"/>
      <c r="DF552" s="1"/>
      <c r="DG552" s="1"/>
      <c r="DH552" s="1"/>
      <c r="DI552" s="1"/>
      <c r="DJ552" s="655"/>
      <c r="DL552" s="116"/>
    </row>
    <row r="553" spans="2:116" ht="15.75" customHeight="1" x14ac:dyDescent="0.3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874"/>
      <c r="AR553" s="874"/>
      <c r="AS553" s="874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43"/>
      <c r="BN553" s="116"/>
      <c r="BW553" s="1"/>
      <c r="BX553" s="1"/>
      <c r="BY553" s="1"/>
      <c r="BZ553" s="655"/>
      <c r="CB553" s="656"/>
      <c r="CC553" s="1"/>
      <c r="CD553" s="1"/>
      <c r="CE553" s="1"/>
      <c r="CF553" s="1"/>
      <c r="CG553" s="1"/>
      <c r="CH553" s="1"/>
      <c r="CI553" s="1"/>
      <c r="CJ553" s="1"/>
      <c r="CR553" s="305"/>
      <c r="CT553" s="116"/>
      <c r="DB553" s="1"/>
      <c r="DC553" s="1"/>
      <c r="DD553" s="1"/>
      <c r="DE553" s="1"/>
      <c r="DF553" s="1"/>
      <c r="DG553" s="1"/>
      <c r="DH553" s="1"/>
      <c r="DI553" s="1"/>
      <c r="DJ553" s="655"/>
      <c r="DL553" s="116"/>
    </row>
    <row r="554" spans="2:116" ht="15.75" customHeight="1" x14ac:dyDescent="0.3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874"/>
      <c r="AR554" s="874"/>
      <c r="AS554" s="874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43"/>
      <c r="BN554" s="116"/>
      <c r="BW554" s="1"/>
      <c r="BX554" s="1"/>
      <c r="BY554" s="1"/>
      <c r="BZ554" s="655"/>
      <c r="CB554" s="656"/>
      <c r="CC554" s="1"/>
      <c r="CD554" s="1"/>
      <c r="CE554" s="1"/>
      <c r="CF554" s="1"/>
      <c r="CG554" s="1"/>
      <c r="CH554" s="1"/>
      <c r="CI554" s="1"/>
      <c r="CJ554" s="1"/>
      <c r="CR554" s="305"/>
      <c r="CT554" s="116"/>
      <c r="DB554" s="1"/>
      <c r="DC554" s="1"/>
      <c r="DD554" s="1"/>
      <c r="DE554" s="1"/>
      <c r="DF554" s="1"/>
      <c r="DG554" s="1"/>
      <c r="DH554" s="1"/>
      <c r="DI554" s="1"/>
      <c r="DJ554" s="655"/>
      <c r="DL554" s="116"/>
    </row>
    <row r="555" spans="2:116" ht="15.75" customHeight="1" x14ac:dyDescent="0.3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874"/>
      <c r="AR555" s="874"/>
      <c r="AS555" s="874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43"/>
      <c r="BN555" s="116"/>
      <c r="BW555" s="1"/>
      <c r="BX555" s="1"/>
      <c r="BY555" s="1"/>
      <c r="BZ555" s="655"/>
      <c r="CB555" s="656"/>
      <c r="CC555" s="1"/>
      <c r="CD555" s="1"/>
      <c r="CE555" s="1"/>
      <c r="CF555" s="1"/>
      <c r="CG555" s="1"/>
      <c r="CH555" s="1"/>
      <c r="CI555" s="1"/>
      <c r="CJ555" s="1"/>
      <c r="CR555" s="305"/>
      <c r="CT555" s="116"/>
      <c r="DB555" s="1"/>
      <c r="DC555" s="1"/>
      <c r="DD555" s="1"/>
      <c r="DE555" s="1"/>
      <c r="DF555" s="1"/>
      <c r="DG555" s="1"/>
      <c r="DH555" s="1"/>
      <c r="DI555" s="1"/>
      <c r="DJ555" s="655"/>
      <c r="DL555" s="116"/>
    </row>
    <row r="556" spans="2:116" ht="15.75" customHeight="1" x14ac:dyDescent="0.3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874"/>
      <c r="AR556" s="874"/>
      <c r="AS556" s="874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43"/>
      <c r="BN556" s="116"/>
      <c r="BW556" s="1"/>
      <c r="BX556" s="1"/>
      <c r="BY556" s="1"/>
      <c r="BZ556" s="655"/>
      <c r="CB556" s="656"/>
      <c r="CC556" s="1"/>
      <c r="CD556" s="1"/>
      <c r="CE556" s="1"/>
      <c r="CF556" s="1"/>
      <c r="CG556" s="1"/>
      <c r="CH556" s="1"/>
      <c r="CI556" s="1"/>
      <c r="CJ556" s="1"/>
      <c r="CR556" s="305"/>
      <c r="CT556" s="116"/>
      <c r="DB556" s="1"/>
      <c r="DC556" s="1"/>
      <c r="DD556" s="1"/>
      <c r="DE556" s="1"/>
      <c r="DF556" s="1"/>
      <c r="DG556" s="1"/>
      <c r="DH556" s="1"/>
      <c r="DI556" s="1"/>
      <c r="DJ556" s="655"/>
      <c r="DL556" s="116"/>
    </row>
    <row r="557" spans="2:116" ht="15.75" customHeight="1" x14ac:dyDescent="0.3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874"/>
      <c r="AR557" s="874"/>
      <c r="AS557" s="874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43"/>
      <c r="BN557" s="116"/>
      <c r="BW557" s="1"/>
      <c r="BX557" s="1"/>
      <c r="BY557" s="1"/>
      <c r="BZ557" s="655"/>
      <c r="CB557" s="656"/>
      <c r="CC557" s="1"/>
      <c r="CD557" s="1"/>
      <c r="CE557" s="1"/>
      <c r="CF557" s="1"/>
      <c r="CG557" s="1"/>
      <c r="CH557" s="1"/>
      <c r="CI557" s="1"/>
      <c r="CJ557" s="1"/>
      <c r="CR557" s="305"/>
      <c r="CT557" s="116"/>
      <c r="DB557" s="1"/>
      <c r="DC557" s="1"/>
      <c r="DD557" s="1"/>
      <c r="DE557" s="1"/>
      <c r="DF557" s="1"/>
      <c r="DG557" s="1"/>
      <c r="DH557" s="1"/>
      <c r="DI557" s="1"/>
      <c r="DJ557" s="655"/>
      <c r="DL557" s="116"/>
    </row>
    <row r="558" spans="2:116" ht="15.75" customHeight="1" x14ac:dyDescent="0.3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874"/>
      <c r="AR558" s="874"/>
      <c r="AS558" s="874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43"/>
      <c r="BN558" s="116"/>
      <c r="BW558" s="1"/>
      <c r="BX558" s="1"/>
      <c r="BY558" s="1"/>
      <c r="BZ558" s="655"/>
      <c r="CB558" s="656"/>
      <c r="CC558" s="1"/>
      <c r="CD558" s="1"/>
      <c r="CE558" s="1"/>
      <c r="CF558" s="1"/>
      <c r="CG558" s="1"/>
      <c r="CH558" s="1"/>
      <c r="CI558" s="1"/>
      <c r="CJ558" s="1"/>
      <c r="CR558" s="305"/>
      <c r="CT558" s="116"/>
      <c r="DB558" s="1"/>
      <c r="DC558" s="1"/>
      <c r="DD558" s="1"/>
      <c r="DE558" s="1"/>
      <c r="DF558" s="1"/>
      <c r="DG558" s="1"/>
      <c r="DH558" s="1"/>
      <c r="DI558" s="1"/>
      <c r="DJ558" s="655"/>
      <c r="DL558" s="116"/>
    </row>
    <row r="559" spans="2:116" ht="15.75" customHeight="1" x14ac:dyDescent="0.3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874"/>
      <c r="AR559" s="874"/>
      <c r="AS559" s="874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43"/>
      <c r="BN559" s="116"/>
      <c r="BW559" s="1"/>
      <c r="BX559" s="1"/>
      <c r="BY559" s="1"/>
      <c r="BZ559" s="655"/>
      <c r="CB559" s="656"/>
      <c r="CC559" s="1"/>
      <c r="CD559" s="1"/>
      <c r="CE559" s="1"/>
      <c r="CF559" s="1"/>
      <c r="CG559" s="1"/>
      <c r="CH559" s="1"/>
      <c r="CI559" s="1"/>
      <c r="CJ559" s="1"/>
      <c r="CR559" s="305"/>
      <c r="CT559" s="116"/>
      <c r="DB559" s="1"/>
      <c r="DC559" s="1"/>
      <c r="DD559" s="1"/>
      <c r="DE559" s="1"/>
      <c r="DF559" s="1"/>
      <c r="DG559" s="1"/>
      <c r="DH559" s="1"/>
      <c r="DI559" s="1"/>
      <c r="DJ559" s="655"/>
      <c r="DL559" s="116"/>
    </row>
    <row r="560" spans="2:116" ht="15.75" customHeight="1" x14ac:dyDescent="0.3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874"/>
      <c r="AR560" s="874"/>
      <c r="AS560" s="874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43"/>
      <c r="BN560" s="116"/>
      <c r="BW560" s="1"/>
      <c r="BX560" s="1"/>
      <c r="BY560" s="1"/>
      <c r="BZ560" s="655"/>
      <c r="CB560" s="656"/>
      <c r="CC560" s="1"/>
      <c r="CD560" s="1"/>
      <c r="CE560" s="1"/>
      <c r="CF560" s="1"/>
      <c r="CG560" s="1"/>
      <c r="CH560" s="1"/>
      <c r="CI560" s="1"/>
      <c r="CJ560" s="1"/>
      <c r="CR560" s="305"/>
      <c r="CT560" s="116"/>
      <c r="DB560" s="1"/>
      <c r="DC560" s="1"/>
      <c r="DD560" s="1"/>
      <c r="DE560" s="1"/>
      <c r="DF560" s="1"/>
      <c r="DG560" s="1"/>
      <c r="DH560" s="1"/>
      <c r="DI560" s="1"/>
      <c r="DJ560" s="655"/>
      <c r="DL560" s="116"/>
    </row>
    <row r="561" spans="2:116" ht="15.75" customHeight="1" x14ac:dyDescent="0.3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874"/>
      <c r="AR561" s="874"/>
      <c r="AS561" s="874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43"/>
      <c r="BN561" s="116"/>
      <c r="BW561" s="1"/>
      <c r="BX561" s="1"/>
      <c r="BY561" s="1"/>
      <c r="BZ561" s="655"/>
      <c r="CB561" s="656"/>
      <c r="CC561" s="1"/>
      <c r="CD561" s="1"/>
      <c r="CE561" s="1"/>
      <c r="CF561" s="1"/>
      <c r="CG561" s="1"/>
      <c r="CH561" s="1"/>
      <c r="CI561" s="1"/>
      <c r="CJ561" s="1"/>
      <c r="CR561" s="305"/>
      <c r="CT561" s="116"/>
      <c r="DB561" s="1"/>
      <c r="DC561" s="1"/>
      <c r="DD561" s="1"/>
      <c r="DE561" s="1"/>
      <c r="DF561" s="1"/>
      <c r="DG561" s="1"/>
      <c r="DH561" s="1"/>
      <c r="DI561" s="1"/>
      <c r="DJ561" s="655"/>
      <c r="DL561" s="116"/>
    </row>
    <row r="562" spans="2:116" ht="15.75" customHeight="1" x14ac:dyDescent="0.3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874"/>
      <c r="AR562" s="874"/>
      <c r="AS562" s="874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43"/>
      <c r="BN562" s="116"/>
      <c r="BW562" s="1"/>
      <c r="BX562" s="1"/>
      <c r="BY562" s="1"/>
      <c r="BZ562" s="655"/>
      <c r="CB562" s="656"/>
      <c r="CC562" s="1"/>
      <c r="CD562" s="1"/>
      <c r="CE562" s="1"/>
      <c r="CF562" s="1"/>
      <c r="CG562" s="1"/>
      <c r="CH562" s="1"/>
      <c r="CI562" s="1"/>
      <c r="CJ562" s="1"/>
      <c r="CR562" s="305"/>
      <c r="CT562" s="116"/>
      <c r="DB562" s="1"/>
      <c r="DC562" s="1"/>
      <c r="DD562" s="1"/>
      <c r="DE562" s="1"/>
      <c r="DF562" s="1"/>
      <c r="DG562" s="1"/>
      <c r="DH562" s="1"/>
      <c r="DI562" s="1"/>
      <c r="DJ562" s="655"/>
      <c r="DL562" s="116"/>
    </row>
    <row r="563" spans="2:116" ht="15.75" customHeight="1" x14ac:dyDescent="0.3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874"/>
      <c r="AR563" s="874"/>
      <c r="AS563" s="874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43"/>
      <c r="BN563" s="116"/>
      <c r="BW563" s="1"/>
      <c r="BX563" s="1"/>
      <c r="BY563" s="1"/>
      <c r="BZ563" s="655"/>
      <c r="CB563" s="656"/>
      <c r="CC563" s="1"/>
      <c r="CD563" s="1"/>
      <c r="CE563" s="1"/>
      <c r="CF563" s="1"/>
      <c r="CG563" s="1"/>
      <c r="CH563" s="1"/>
      <c r="CI563" s="1"/>
      <c r="CJ563" s="1"/>
      <c r="CR563" s="305"/>
      <c r="CT563" s="116"/>
      <c r="DB563" s="1"/>
      <c r="DC563" s="1"/>
      <c r="DD563" s="1"/>
      <c r="DE563" s="1"/>
      <c r="DF563" s="1"/>
      <c r="DG563" s="1"/>
      <c r="DH563" s="1"/>
      <c r="DI563" s="1"/>
      <c r="DJ563" s="655"/>
      <c r="DL563" s="116"/>
    </row>
    <row r="564" spans="2:116" ht="15.75" customHeight="1" x14ac:dyDescent="0.3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874"/>
      <c r="AR564" s="874"/>
      <c r="AS564" s="874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43"/>
      <c r="BN564" s="116"/>
      <c r="BW564" s="1"/>
      <c r="BX564" s="1"/>
      <c r="BY564" s="1"/>
      <c r="BZ564" s="655"/>
      <c r="CB564" s="656"/>
      <c r="CC564" s="1"/>
      <c r="CD564" s="1"/>
      <c r="CE564" s="1"/>
      <c r="CF564" s="1"/>
      <c r="CG564" s="1"/>
      <c r="CH564" s="1"/>
      <c r="CI564" s="1"/>
      <c r="CJ564" s="1"/>
      <c r="CR564" s="305"/>
      <c r="CT564" s="116"/>
      <c r="DB564" s="1"/>
      <c r="DC564" s="1"/>
      <c r="DD564" s="1"/>
      <c r="DE564" s="1"/>
      <c r="DF564" s="1"/>
      <c r="DG564" s="1"/>
      <c r="DH564" s="1"/>
      <c r="DI564" s="1"/>
      <c r="DJ564" s="655"/>
      <c r="DL564" s="116"/>
    </row>
    <row r="565" spans="2:116" ht="15.75" customHeight="1" x14ac:dyDescent="0.3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874"/>
      <c r="AR565" s="874"/>
      <c r="AS565" s="874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43"/>
      <c r="BN565" s="116"/>
      <c r="BW565" s="1"/>
      <c r="BX565" s="1"/>
      <c r="BY565" s="1"/>
      <c r="BZ565" s="655"/>
      <c r="CB565" s="656"/>
      <c r="CC565" s="1"/>
      <c r="CD565" s="1"/>
      <c r="CE565" s="1"/>
      <c r="CF565" s="1"/>
      <c r="CG565" s="1"/>
      <c r="CH565" s="1"/>
      <c r="CI565" s="1"/>
      <c r="CJ565" s="1"/>
      <c r="CR565" s="305"/>
      <c r="CT565" s="116"/>
      <c r="DB565" s="1"/>
      <c r="DC565" s="1"/>
      <c r="DD565" s="1"/>
      <c r="DE565" s="1"/>
      <c r="DF565" s="1"/>
      <c r="DG565" s="1"/>
      <c r="DH565" s="1"/>
      <c r="DI565" s="1"/>
      <c r="DJ565" s="655"/>
      <c r="DL565" s="116"/>
    </row>
    <row r="566" spans="2:116" ht="15.75" customHeight="1" x14ac:dyDescent="0.3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874"/>
      <c r="AR566" s="874"/>
      <c r="AS566" s="874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43"/>
      <c r="BN566" s="116"/>
      <c r="BW566" s="1"/>
      <c r="BX566" s="1"/>
      <c r="BY566" s="1"/>
      <c r="BZ566" s="655"/>
      <c r="CB566" s="656"/>
      <c r="CC566" s="1"/>
      <c r="CD566" s="1"/>
      <c r="CE566" s="1"/>
      <c r="CF566" s="1"/>
      <c r="CG566" s="1"/>
      <c r="CH566" s="1"/>
      <c r="CI566" s="1"/>
      <c r="CJ566" s="1"/>
      <c r="CR566" s="305"/>
      <c r="CT566" s="116"/>
      <c r="DB566" s="1"/>
      <c r="DC566" s="1"/>
      <c r="DD566" s="1"/>
      <c r="DE566" s="1"/>
      <c r="DF566" s="1"/>
      <c r="DG566" s="1"/>
      <c r="DH566" s="1"/>
      <c r="DI566" s="1"/>
      <c r="DJ566" s="655"/>
      <c r="DL566" s="116"/>
    </row>
    <row r="567" spans="2:116" ht="15.75" customHeight="1" x14ac:dyDescent="0.3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874"/>
      <c r="AR567" s="874"/>
      <c r="AS567" s="874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43"/>
      <c r="BN567" s="116"/>
      <c r="BW567" s="1"/>
      <c r="BX567" s="1"/>
      <c r="BY567" s="1"/>
      <c r="BZ567" s="655"/>
      <c r="CB567" s="656"/>
      <c r="CC567" s="1"/>
      <c r="CD567" s="1"/>
      <c r="CE567" s="1"/>
      <c r="CF567" s="1"/>
      <c r="CG567" s="1"/>
      <c r="CH567" s="1"/>
      <c r="CI567" s="1"/>
      <c r="CJ567" s="1"/>
      <c r="CR567" s="305"/>
      <c r="CT567" s="116"/>
      <c r="DB567" s="1"/>
      <c r="DC567" s="1"/>
      <c r="DD567" s="1"/>
      <c r="DE567" s="1"/>
      <c r="DF567" s="1"/>
      <c r="DG567" s="1"/>
      <c r="DH567" s="1"/>
      <c r="DI567" s="1"/>
      <c r="DJ567" s="655"/>
      <c r="DL567" s="116"/>
    </row>
    <row r="568" spans="2:116" ht="15.75" customHeight="1" x14ac:dyDescent="0.3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874"/>
      <c r="AR568" s="874"/>
      <c r="AS568" s="874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43"/>
      <c r="BN568" s="116"/>
      <c r="BW568" s="1"/>
      <c r="BX568" s="1"/>
      <c r="BY568" s="1"/>
      <c r="BZ568" s="655"/>
      <c r="CB568" s="656"/>
      <c r="CC568" s="1"/>
      <c r="CD568" s="1"/>
      <c r="CE568" s="1"/>
      <c r="CF568" s="1"/>
      <c r="CG568" s="1"/>
      <c r="CH568" s="1"/>
      <c r="CI568" s="1"/>
      <c r="CJ568" s="1"/>
      <c r="CR568" s="305"/>
      <c r="CT568" s="116"/>
      <c r="DB568" s="1"/>
      <c r="DC568" s="1"/>
      <c r="DD568" s="1"/>
      <c r="DE568" s="1"/>
      <c r="DF568" s="1"/>
      <c r="DG568" s="1"/>
      <c r="DH568" s="1"/>
      <c r="DI568" s="1"/>
      <c r="DJ568" s="655"/>
      <c r="DL568" s="116"/>
    </row>
    <row r="569" spans="2:116" ht="15.75" customHeight="1" x14ac:dyDescent="0.3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874"/>
      <c r="AR569" s="874"/>
      <c r="AS569" s="874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43"/>
      <c r="BN569" s="116"/>
      <c r="BW569" s="1"/>
      <c r="BX569" s="1"/>
      <c r="BY569" s="1"/>
      <c r="BZ569" s="655"/>
      <c r="CB569" s="656"/>
      <c r="CC569" s="1"/>
      <c r="CD569" s="1"/>
      <c r="CE569" s="1"/>
      <c r="CF569" s="1"/>
      <c r="CG569" s="1"/>
      <c r="CH569" s="1"/>
      <c r="CI569" s="1"/>
      <c r="CJ569" s="1"/>
      <c r="CR569" s="305"/>
      <c r="CT569" s="116"/>
      <c r="DB569" s="1"/>
      <c r="DC569" s="1"/>
      <c r="DD569" s="1"/>
      <c r="DE569" s="1"/>
      <c r="DF569" s="1"/>
      <c r="DG569" s="1"/>
      <c r="DH569" s="1"/>
      <c r="DI569" s="1"/>
      <c r="DJ569" s="655"/>
      <c r="DL569" s="116"/>
    </row>
    <row r="570" spans="2:116" ht="15.75" customHeight="1" x14ac:dyDescent="0.3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874"/>
      <c r="AR570" s="874"/>
      <c r="AS570" s="874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43"/>
      <c r="BN570" s="116"/>
      <c r="BW570" s="1"/>
      <c r="BX570" s="1"/>
      <c r="BY570" s="1"/>
      <c r="BZ570" s="655"/>
      <c r="CB570" s="656"/>
      <c r="CC570" s="1"/>
      <c r="CD570" s="1"/>
      <c r="CE570" s="1"/>
      <c r="CF570" s="1"/>
      <c r="CG570" s="1"/>
      <c r="CH570" s="1"/>
      <c r="CI570" s="1"/>
      <c r="CJ570" s="1"/>
      <c r="CR570" s="305"/>
      <c r="CT570" s="116"/>
      <c r="DB570" s="1"/>
      <c r="DC570" s="1"/>
      <c r="DD570" s="1"/>
      <c r="DE570" s="1"/>
      <c r="DF570" s="1"/>
      <c r="DG570" s="1"/>
      <c r="DH570" s="1"/>
      <c r="DI570" s="1"/>
      <c r="DJ570" s="655"/>
      <c r="DL570" s="116"/>
    </row>
    <row r="571" spans="2:116" ht="15.75" customHeight="1" x14ac:dyDescent="0.3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874"/>
      <c r="AR571" s="874"/>
      <c r="AS571" s="874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43"/>
      <c r="BN571" s="116"/>
      <c r="BW571" s="1"/>
      <c r="BX571" s="1"/>
      <c r="BY571" s="1"/>
      <c r="BZ571" s="655"/>
      <c r="CB571" s="656"/>
      <c r="CC571" s="1"/>
      <c r="CD571" s="1"/>
      <c r="CE571" s="1"/>
      <c r="CF571" s="1"/>
      <c r="CG571" s="1"/>
      <c r="CH571" s="1"/>
      <c r="CI571" s="1"/>
      <c r="CJ571" s="1"/>
      <c r="CR571" s="305"/>
      <c r="CT571" s="116"/>
      <c r="DB571" s="1"/>
      <c r="DC571" s="1"/>
      <c r="DD571" s="1"/>
      <c r="DE571" s="1"/>
      <c r="DF571" s="1"/>
      <c r="DG571" s="1"/>
      <c r="DH571" s="1"/>
      <c r="DI571" s="1"/>
      <c r="DJ571" s="655"/>
      <c r="DL571" s="116"/>
    </row>
    <row r="572" spans="2:116" ht="15.75" customHeight="1" x14ac:dyDescent="0.3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874"/>
      <c r="AR572" s="874"/>
      <c r="AS572" s="874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43"/>
      <c r="BN572" s="116"/>
      <c r="BW572" s="1"/>
      <c r="BX572" s="1"/>
      <c r="BY572" s="1"/>
      <c r="BZ572" s="655"/>
      <c r="CB572" s="656"/>
      <c r="CC572" s="1"/>
      <c r="CD572" s="1"/>
      <c r="CE572" s="1"/>
      <c r="CF572" s="1"/>
      <c r="CG572" s="1"/>
      <c r="CH572" s="1"/>
      <c r="CI572" s="1"/>
      <c r="CJ572" s="1"/>
      <c r="CR572" s="305"/>
      <c r="CT572" s="116"/>
      <c r="DB572" s="1"/>
      <c r="DC572" s="1"/>
      <c r="DD572" s="1"/>
      <c r="DE572" s="1"/>
      <c r="DF572" s="1"/>
      <c r="DG572" s="1"/>
      <c r="DH572" s="1"/>
      <c r="DI572" s="1"/>
      <c r="DJ572" s="655"/>
      <c r="DL572" s="116"/>
    </row>
    <row r="573" spans="2:116" ht="15.75" customHeight="1" x14ac:dyDescent="0.3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874"/>
      <c r="AR573" s="874"/>
      <c r="AS573" s="874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43"/>
      <c r="BN573" s="116"/>
      <c r="BW573" s="1"/>
      <c r="BX573" s="1"/>
      <c r="BY573" s="1"/>
      <c r="BZ573" s="655"/>
      <c r="CB573" s="656"/>
      <c r="CC573" s="1"/>
      <c r="CD573" s="1"/>
      <c r="CE573" s="1"/>
      <c r="CF573" s="1"/>
      <c r="CG573" s="1"/>
      <c r="CH573" s="1"/>
      <c r="CI573" s="1"/>
      <c r="CJ573" s="1"/>
      <c r="CR573" s="305"/>
      <c r="CT573" s="116"/>
      <c r="DB573" s="1"/>
      <c r="DC573" s="1"/>
      <c r="DD573" s="1"/>
      <c r="DE573" s="1"/>
      <c r="DF573" s="1"/>
      <c r="DG573" s="1"/>
      <c r="DH573" s="1"/>
      <c r="DI573" s="1"/>
      <c r="DJ573" s="655"/>
      <c r="DL573" s="116"/>
    </row>
    <row r="574" spans="2:116" ht="15.75" customHeight="1" x14ac:dyDescent="0.3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874"/>
      <c r="AR574" s="874"/>
      <c r="AS574" s="874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43"/>
      <c r="BN574" s="116"/>
      <c r="BW574" s="1"/>
      <c r="BX574" s="1"/>
      <c r="BY574" s="1"/>
      <c r="BZ574" s="655"/>
      <c r="CB574" s="656"/>
      <c r="CC574" s="1"/>
      <c r="CD574" s="1"/>
      <c r="CE574" s="1"/>
      <c r="CF574" s="1"/>
      <c r="CG574" s="1"/>
      <c r="CH574" s="1"/>
      <c r="CI574" s="1"/>
      <c r="CJ574" s="1"/>
      <c r="CR574" s="305"/>
      <c r="CT574" s="116"/>
      <c r="DB574" s="1"/>
      <c r="DC574" s="1"/>
      <c r="DD574" s="1"/>
      <c r="DE574" s="1"/>
      <c r="DF574" s="1"/>
      <c r="DG574" s="1"/>
      <c r="DH574" s="1"/>
      <c r="DI574" s="1"/>
      <c r="DJ574" s="655"/>
      <c r="DL574" s="116"/>
    </row>
    <row r="575" spans="2:116" ht="15.75" customHeight="1" x14ac:dyDescent="0.3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874"/>
      <c r="AR575" s="874"/>
      <c r="AS575" s="874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43"/>
      <c r="BN575" s="116"/>
      <c r="BW575" s="1"/>
      <c r="BX575" s="1"/>
      <c r="BY575" s="1"/>
      <c r="BZ575" s="655"/>
      <c r="CB575" s="656"/>
      <c r="CC575" s="1"/>
      <c r="CD575" s="1"/>
      <c r="CE575" s="1"/>
      <c r="CF575" s="1"/>
      <c r="CG575" s="1"/>
      <c r="CH575" s="1"/>
      <c r="CI575" s="1"/>
      <c r="CJ575" s="1"/>
      <c r="CR575" s="305"/>
      <c r="CT575" s="116"/>
      <c r="DB575" s="1"/>
      <c r="DC575" s="1"/>
      <c r="DD575" s="1"/>
      <c r="DE575" s="1"/>
      <c r="DF575" s="1"/>
      <c r="DG575" s="1"/>
      <c r="DH575" s="1"/>
      <c r="DI575" s="1"/>
      <c r="DJ575" s="655"/>
      <c r="DL575" s="116"/>
    </row>
    <row r="576" spans="2:116" ht="15.75" customHeight="1" x14ac:dyDescent="0.3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874"/>
      <c r="AR576" s="874"/>
      <c r="AS576" s="874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43"/>
      <c r="BN576" s="116"/>
      <c r="BW576" s="1"/>
      <c r="BX576" s="1"/>
      <c r="BY576" s="1"/>
      <c r="BZ576" s="655"/>
      <c r="CB576" s="656"/>
      <c r="CC576" s="1"/>
      <c r="CD576" s="1"/>
      <c r="CE576" s="1"/>
      <c r="CF576" s="1"/>
      <c r="CG576" s="1"/>
      <c r="CH576" s="1"/>
      <c r="CI576" s="1"/>
      <c r="CJ576" s="1"/>
      <c r="CR576" s="305"/>
      <c r="CT576" s="116"/>
      <c r="DB576" s="1"/>
      <c r="DC576" s="1"/>
      <c r="DD576" s="1"/>
      <c r="DE576" s="1"/>
      <c r="DF576" s="1"/>
      <c r="DG576" s="1"/>
      <c r="DH576" s="1"/>
      <c r="DI576" s="1"/>
      <c r="DJ576" s="655"/>
      <c r="DL576" s="116"/>
    </row>
    <row r="577" spans="2:116" ht="15.75" customHeight="1" x14ac:dyDescent="0.3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874"/>
      <c r="AR577" s="874"/>
      <c r="AS577" s="874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43"/>
      <c r="BN577" s="116"/>
      <c r="BW577" s="1"/>
      <c r="BX577" s="1"/>
      <c r="BY577" s="1"/>
      <c r="BZ577" s="655"/>
      <c r="CB577" s="656"/>
      <c r="CC577" s="1"/>
      <c r="CD577" s="1"/>
      <c r="CE577" s="1"/>
      <c r="CF577" s="1"/>
      <c r="CG577" s="1"/>
      <c r="CH577" s="1"/>
      <c r="CI577" s="1"/>
      <c r="CJ577" s="1"/>
      <c r="CR577" s="305"/>
      <c r="CT577" s="116"/>
      <c r="DB577" s="1"/>
      <c r="DC577" s="1"/>
      <c r="DD577" s="1"/>
      <c r="DE577" s="1"/>
      <c r="DF577" s="1"/>
      <c r="DG577" s="1"/>
      <c r="DH577" s="1"/>
      <c r="DI577" s="1"/>
      <c r="DJ577" s="655"/>
      <c r="DL577" s="116"/>
    </row>
    <row r="578" spans="2:116" ht="15.75" customHeight="1" x14ac:dyDescent="0.3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874"/>
      <c r="AR578" s="874"/>
      <c r="AS578" s="874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43"/>
      <c r="BN578" s="116"/>
      <c r="BW578" s="1"/>
      <c r="BX578" s="1"/>
      <c r="BY578" s="1"/>
      <c r="BZ578" s="655"/>
      <c r="CB578" s="656"/>
      <c r="CC578" s="1"/>
      <c r="CD578" s="1"/>
      <c r="CE578" s="1"/>
      <c r="CF578" s="1"/>
      <c r="CG578" s="1"/>
      <c r="CH578" s="1"/>
      <c r="CI578" s="1"/>
      <c r="CJ578" s="1"/>
      <c r="CR578" s="305"/>
      <c r="CT578" s="116"/>
      <c r="DB578" s="1"/>
      <c r="DC578" s="1"/>
      <c r="DD578" s="1"/>
      <c r="DE578" s="1"/>
      <c r="DF578" s="1"/>
      <c r="DG578" s="1"/>
      <c r="DH578" s="1"/>
      <c r="DI578" s="1"/>
      <c r="DJ578" s="655"/>
      <c r="DL578" s="116"/>
    </row>
    <row r="579" spans="2:116" ht="15.75" customHeight="1" x14ac:dyDescent="0.3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874"/>
      <c r="AR579" s="874"/>
      <c r="AS579" s="874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43"/>
      <c r="BN579" s="116"/>
      <c r="BW579" s="1"/>
      <c r="BX579" s="1"/>
      <c r="BY579" s="1"/>
      <c r="BZ579" s="655"/>
      <c r="CB579" s="656"/>
      <c r="CC579" s="1"/>
      <c r="CD579" s="1"/>
      <c r="CE579" s="1"/>
      <c r="CF579" s="1"/>
      <c r="CG579" s="1"/>
      <c r="CH579" s="1"/>
      <c r="CI579" s="1"/>
      <c r="CJ579" s="1"/>
      <c r="CR579" s="305"/>
      <c r="CT579" s="116"/>
      <c r="DB579" s="1"/>
      <c r="DC579" s="1"/>
      <c r="DD579" s="1"/>
      <c r="DE579" s="1"/>
      <c r="DF579" s="1"/>
      <c r="DG579" s="1"/>
      <c r="DH579" s="1"/>
      <c r="DI579" s="1"/>
      <c r="DJ579" s="655"/>
      <c r="DL579" s="116"/>
    </row>
    <row r="580" spans="2:116" ht="15.75" customHeight="1" x14ac:dyDescent="0.3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874"/>
      <c r="AR580" s="874"/>
      <c r="AS580" s="874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43"/>
      <c r="BN580" s="116"/>
      <c r="BW580" s="1"/>
      <c r="BX580" s="1"/>
      <c r="BY580" s="1"/>
      <c r="BZ580" s="655"/>
      <c r="CB580" s="656"/>
      <c r="CC580" s="1"/>
      <c r="CD580" s="1"/>
      <c r="CE580" s="1"/>
      <c r="CF580" s="1"/>
      <c r="CG580" s="1"/>
      <c r="CH580" s="1"/>
      <c r="CI580" s="1"/>
      <c r="CJ580" s="1"/>
      <c r="CR580" s="305"/>
      <c r="CT580" s="116"/>
      <c r="DB580" s="1"/>
      <c r="DC580" s="1"/>
      <c r="DD580" s="1"/>
      <c r="DE580" s="1"/>
      <c r="DF580" s="1"/>
      <c r="DG580" s="1"/>
      <c r="DH580" s="1"/>
      <c r="DI580" s="1"/>
      <c r="DJ580" s="655"/>
      <c r="DL580" s="116"/>
    </row>
    <row r="581" spans="2:116" ht="15.75" customHeight="1" x14ac:dyDescent="0.3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874"/>
      <c r="AR581" s="874"/>
      <c r="AS581" s="874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43"/>
      <c r="BN581" s="116"/>
      <c r="BW581" s="1"/>
      <c r="BX581" s="1"/>
      <c r="BY581" s="1"/>
      <c r="BZ581" s="655"/>
      <c r="CB581" s="656"/>
      <c r="CC581" s="1"/>
      <c r="CD581" s="1"/>
      <c r="CE581" s="1"/>
      <c r="CF581" s="1"/>
      <c r="CG581" s="1"/>
      <c r="CH581" s="1"/>
      <c r="CI581" s="1"/>
      <c r="CJ581" s="1"/>
      <c r="CR581" s="305"/>
      <c r="CT581" s="116"/>
      <c r="DB581" s="1"/>
      <c r="DC581" s="1"/>
      <c r="DD581" s="1"/>
      <c r="DE581" s="1"/>
      <c r="DF581" s="1"/>
      <c r="DG581" s="1"/>
      <c r="DH581" s="1"/>
      <c r="DI581" s="1"/>
      <c r="DJ581" s="655"/>
      <c r="DL581" s="116"/>
    </row>
    <row r="582" spans="2:116" ht="15.75" customHeight="1" x14ac:dyDescent="0.3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874"/>
      <c r="AR582" s="874"/>
      <c r="AS582" s="874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43"/>
      <c r="BN582" s="116"/>
      <c r="BW582" s="1"/>
      <c r="BX582" s="1"/>
      <c r="BY582" s="1"/>
      <c r="BZ582" s="655"/>
      <c r="CB582" s="656"/>
      <c r="CC582" s="1"/>
      <c r="CD582" s="1"/>
      <c r="CE582" s="1"/>
      <c r="CF582" s="1"/>
      <c r="CG582" s="1"/>
      <c r="CH582" s="1"/>
      <c r="CI582" s="1"/>
      <c r="CJ582" s="1"/>
      <c r="CR582" s="305"/>
      <c r="CT582" s="116"/>
      <c r="DB582" s="1"/>
      <c r="DC582" s="1"/>
      <c r="DD582" s="1"/>
      <c r="DE582" s="1"/>
      <c r="DF582" s="1"/>
      <c r="DG582" s="1"/>
      <c r="DH582" s="1"/>
      <c r="DI582" s="1"/>
      <c r="DJ582" s="655"/>
      <c r="DL582" s="116"/>
    </row>
    <row r="583" spans="2:116" ht="15.75" customHeight="1" x14ac:dyDescent="0.3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874"/>
      <c r="AR583" s="874"/>
      <c r="AS583" s="874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43"/>
      <c r="BN583" s="116"/>
      <c r="BW583" s="1"/>
      <c r="BX583" s="1"/>
      <c r="BY583" s="1"/>
      <c r="BZ583" s="655"/>
      <c r="CB583" s="656"/>
      <c r="CC583" s="1"/>
      <c r="CD583" s="1"/>
      <c r="CE583" s="1"/>
      <c r="CF583" s="1"/>
      <c r="CG583" s="1"/>
      <c r="CH583" s="1"/>
      <c r="CI583" s="1"/>
      <c r="CJ583" s="1"/>
      <c r="CR583" s="305"/>
      <c r="CT583" s="116"/>
      <c r="DB583" s="1"/>
      <c r="DC583" s="1"/>
      <c r="DD583" s="1"/>
      <c r="DE583" s="1"/>
      <c r="DF583" s="1"/>
      <c r="DG583" s="1"/>
      <c r="DH583" s="1"/>
      <c r="DI583" s="1"/>
      <c r="DJ583" s="655"/>
      <c r="DL583" s="116"/>
    </row>
    <row r="584" spans="2:116" ht="15.75" customHeight="1" x14ac:dyDescent="0.3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874"/>
      <c r="AR584" s="874"/>
      <c r="AS584" s="874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43"/>
      <c r="BN584" s="116"/>
      <c r="BW584" s="1"/>
      <c r="BX584" s="1"/>
      <c r="BY584" s="1"/>
      <c r="BZ584" s="655"/>
      <c r="CB584" s="656"/>
      <c r="CC584" s="1"/>
      <c r="CD584" s="1"/>
      <c r="CE584" s="1"/>
      <c r="CF584" s="1"/>
      <c r="CG584" s="1"/>
      <c r="CH584" s="1"/>
      <c r="CI584" s="1"/>
      <c r="CJ584" s="1"/>
      <c r="CR584" s="305"/>
      <c r="CT584" s="116"/>
      <c r="DB584" s="1"/>
      <c r="DC584" s="1"/>
      <c r="DD584" s="1"/>
      <c r="DE584" s="1"/>
      <c r="DF584" s="1"/>
      <c r="DG584" s="1"/>
      <c r="DH584" s="1"/>
      <c r="DI584" s="1"/>
      <c r="DJ584" s="655"/>
      <c r="DL584" s="116"/>
    </row>
    <row r="585" spans="2:116" ht="15.75" customHeight="1" x14ac:dyDescent="0.3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874"/>
      <c r="AR585" s="874"/>
      <c r="AS585" s="874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43"/>
      <c r="BN585" s="116"/>
      <c r="BW585" s="1"/>
      <c r="BX585" s="1"/>
      <c r="BY585" s="1"/>
      <c r="BZ585" s="655"/>
      <c r="CB585" s="656"/>
      <c r="CC585" s="1"/>
      <c r="CD585" s="1"/>
      <c r="CE585" s="1"/>
      <c r="CF585" s="1"/>
      <c r="CG585" s="1"/>
      <c r="CH585" s="1"/>
      <c r="CI585" s="1"/>
      <c r="CJ585" s="1"/>
      <c r="CR585" s="305"/>
      <c r="CT585" s="116"/>
      <c r="DB585" s="1"/>
      <c r="DC585" s="1"/>
      <c r="DD585" s="1"/>
      <c r="DE585" s="1"/>
      <c r="DF585" s="1"/>
      <c r="DG585" s="1"/>
      <c r="DH585" s="1"/>
      <c r="DI585" s="1"/>
      <c r="DJ585" s="655"/>
      <c r="DL585" s="116"/>
    </row>
    <row r="586" spans="2:116" ht="15.75" customHeight="1" x14ac:dyDescent="0.3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874"/>
      <c r="AR586" s="874"/>
      <c r="AS586" s="874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43"/>
      <c r="BN586" s="116"/>
      <c r="BW586" s="1"/>
      <c r="BX586" s="1"/>
      <c r="BY586" s="1"/>
      <c r="BZ586" s="655"/>
      <c r="CB586" s="656"/>
      <c r="CC586" s="1"/>
      <c r="CD586" s="1"/>
      <c r="CE586" s="1"/>
      <c r="CF586" s="1"/>
      <c r="CG586" s="1"/>
      <c r="CH586" s="1"/>
      <c r="CI586" s="1"/>
      <c r="CJ586" s="1"/>
      <c r="CR586" s="305"/>
      <c r="CT586" s="116"/>
      <c r="DB586" s="1"/>
      <c r="DC586" s="1"/>
      <c r="DD586" s="1"/>
      <c r="DE586" s="1"/>
      <c r="DF586" s="1"/>
      <c r="DG586" s="1"/>
      <c r="DH586" s="1"/>
      <c r="DI586" s="1"/>
      <c r="DJ586" s="655"/>
      <c r="DL586" s="116"/>
    </row>
    <row r="587" spans="2:116" ht="15.75" customHeight="1" x14ac:dyDescent="0.3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874"/>
      <c r="AR587" s="874"/>
      <c r="AS587" s="874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43"/>
      <c r="BN587" s="116"/>
      <c r="BW587" s="1"/>
      <c r="BX587" s="1"/>
      <c r="BY587" s="1"/>
      <c r="BZ587" s="655"/>
      <c r="CB587" s="656"/>
      <c r="CC587" s="1"/>
      <c r="CD587" s="1"/>
      <c r="CE587" s="1"/>
      <c r="CF587" s="1"/>
      <c r="CG587" s="1"/>
      <c r="CH587" s="1"/>
      <c r="CI587" s="1"/>
      <c r="CJ587" s="1"/>
      <c r="CR587" s="305"/>
      <c r="CT587" s="116"/>
      <c r="DB587" s="1"/>
      <c r="DC587" s="1"/>
      <c r="DD587" s="1"/>
      <c r="DE587" s="1"/>
      <c r="DF587" s="1"/>
      <c r="DG587" s="1"/>
      <c r="DH587" s="1"/>
      <c r="DI587" s="1"/>
      <c r="DJ587" s="655"/>
      <c r="DL587" s="116"/>
    </row>
    <row r="588" spans="2:116" ht="15.75" customHeight="1" x14ac:dyDescent="0.3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874"/>
      <c r="AR588" s="874"/>
      <c r="AS588" s="874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43"/>
      <c r="BN588" s="116"/>
      <c r="BW588" s="1"/>
      <c r="BX588" s="1"/>
      <c r="BY588" s="1"/>
      <c r="BZ588" s="655"/>
      <c r="CB588" s="656"/>
      <c r="CC588" s="1"/>
      <c r="CD588" s="1"/>
      <c r="CE588" s="1"/>
      <c r="CF588" s="1"/>
      <c r="CG588" s="1"/>
      <c r="CH588" s="1"/>
      <c r="CI588" s="1"/>
      <c r="CJ588" s="1"/>
      <c r="CR588" s="305"/>
      <c r="CT588" s="116"/>
      <c r="DB588" s="1"/>
      <c r="DC588" s="1"/>
      <c r="DD588" s="1"/>
      <c r="DE588" s="1"/>
      <c r="DF588" s="1"/>
      <c r="DG588" s="1"/>
      <c r="DH588" s="1"/>
      <c r="DI588" s="1"/>
      <c r="DJ588" s="655"/>
      <c r="DL588" s="116"/>
    </row>
    <row r="589" spans="2:116" ht="15.75" customHeight="1" x14ac:dyDescent="0.3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874"/>
      <c r="AR589" s="874"/>
      <c r="AS589" s="874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43"/>
      <c r="BN589" s="116"/>
      <c r="BW589" s="1"/>
      <c r="BX589" s="1"/>
      <c r="BY589" s="1"/>
      <c r="BZ589" s="655"/>
      <c r="CB589" s="656"/>
      <c r="CC589" s="1"/>
      <c r="CD589" s="1"/>
      <c r="CE589" s="1"/>
      <c r="CF589" s="1"/>
      <c r="CG589" s="1"/>
      <c r="CH589" s="1"/>
      <c r="CI589" s="1"/>
      <c r="CJ589" s="1"/>
      <c r="CR589" s="305"/>
      <c r="CT589" s="116"/>
      <c r="DB589" s="1"/>
      <c r="DC589" s="1"/>
      <c r="DD589" s="1"/>
      <c r="DE589" s="1"/>
      <c r="DF589" s="1"/>
      <c r="DG589" s="1"/>
      <c r="DH589" s="1"/>
      <c r="DI589" s="1"/>
      <c r="DJ589" s="655"/>
      <c r="DL589" s="116"/>
    </row>
    <row r="590" spans="2:116" ht="15.75" customHeight="1" x14ac:dyDescent="0.3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874"/>
      <c r="AR590" s="874"/>
      <c r="AS590" s="874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43"/>
      <c r="BN590" s="116"/>
      <c r="BW590" s="1"/>
      <c r="BX590" s="1"/>
      <c r="BY590" s="1"/>
      <c r="BZ590" s="655"/>
      <c r="CB590" s="656"/>
      <c r="CC590" s="1"/>
      <c r="CD590" s="1"/>
      <c r="CE590" s="1"/>
      <c r="CF590" s="1"/>
      <c r="CG590" s="1"/>
      <c r="CH590" s="1"/>
      <c r="CI590" s="1"/>
      <c r="CJ590" s="1"/>
      <c r="CR590" s="305"/>
      <c r="CT590" s="116"/>
      <c r="DB590" s="1"/>
      <c r="DC590" s="1"/>
      <c r="DD590" s="1"/>
      <c r="DE590" s="1"/>
      <c r="DF590" s="1"/>
      <c r="DG590" s="1"/>
      <c r="DH590" s="1"/>
      <c r="DI590" s="1"/>
      <c r="DJ590" s="655"/>
      <c r="DL590" s="116"/>
    </row>
    <row r="591" spans="2:116" ht="15.75" customHeight="1" x14ac:dyDescent="0.3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874"/>
      <c r="AR591" s="874"/>
      <c r="AS591" s="874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43"/>
      <c r="BN591" s="116"/>
      <c r="BW591" s="1"/>
      <c r="BX591" s="1"/>
      <c r="BY591" s="1"/>
      <c r="BZ591" s="655"/>
      <c r="CB591" s="656"/>
      <c r="CC591" s="1"/>
      <c r="CD591" s="1"/>
      <c r="CE591" s="1"/>
      <c r="CF591" s="1"/>
      <c r="CG591" s="1"/>
      <c r="CH591" s="1"/>
      <c r="CI591" s="1"/>
      <c r="CJ591" s="1"/>
      <c r="CR591" s="305"/>
      <c r="CT591" s="116"/>
      <c r="DB591" s="1"/>
      <c r="DC591" s="1"/>
      <c r="DD591" s="1"/>
      <c r="DE591" s="1"/>
      <c r="DF591" s="1"/>
      <c r="DG591" s="1"/>
      <c r="DH591" s="1"/>
      <c r="DI591" s="1"/>
      <c r="DJ591" s="655"/>
      <c r="DL591" s="116"/>
    </row>
    <row r="592" spans="2:116" ht="15.75" customHeight="1" x14ac:dyDescent="0.3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874"/>
      <c r="AR592" s="874"/>
      <c r="AS592" s="874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43"/>
      <c r="BN592" s="116"/>
      <c r="BW592" s="1"/>
      <c r="BX592" s="1"/>
      <c r="BY592" s="1"/>
      <c r="BZ592" s="655"/>
      <c r="CB592" s="656"/>
      <c r="CC592" s="1"/>
      <c r="CD592" s="1"/>
      <c r="CE592" s="1"/>
      <c r="CF592" s="1"/>
      <c r="CG592" s="1"/>
      <c r="CH592" s="1"/>
      <c r="CI592" s="1"/>
      <c r="CJ592" s="1"/>
      <c r="CR592" s="305"/>
      <c r="CT592" s="116"/>
      <c r="DB592" s="1"/>
      <c r="DC592" s="1"/>
      <c r="DD592" s="1"/>
      <c r="DE592" s="1"/>
      <c r="DF592" s="1"/>
      <c r="DG592" s="1"/>
      <c r="DH592" s="1"/>
      <c r="DI592" s="1"/>
      <c r="DJ592" s="655"/>
      <c r="DL592" s="116"/>
    </row>
    <row r="593" spans="2:116" ht="15.75" customHeight="1" x14ac:dyDescent="0.3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874"/>
      <c r="AR593" s="874"/>
      <c r="AS593" s="874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43"/>
      <c r="BN593" s="116"/>
      <c r="BW593" s="1"/>
      <c r="BX593" s="1"/>
      <c r="BY593" s="1"/>
      <c r="BZ593" s="655"/>
      <c r="CB593" s="656"/>
      <c r="CC593" s="1"/>
      <c r="CD593" s="1"/>
      <c r="CE593" s="1"/>
      <c r="CF593" s="1"/>
      <c r="CG593" s="1"/>
      <c r="CH593" s="1"/>
      <c r="CI593" s="1"/>
      <c r="CJ593" s="1"/>
      <c r="CR593" s="305"/>
      <c r="CT593" s="116"/>
      <c r="DB593" s="1"/>
      <c r="DC593" s="1"/>
      <c r="DD593" s="1"/>
      <c r="DE593" s="1"/>
      <c r="DF593" s="1"/>
      <c r="DG593" s="1"/>
      <c r="DH593" s="1"/>
      <c r="DI593" s="1"/>
      <c r="DJ593" s="655"/>
      <c r="DL593" s="116"/>
    </row>
    <row r="594" spans="2:116" ht="15.75" customHeight="1" x14ac:dyDescent="0.3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874"/>
      <c r="AR594" s="874"/>
      <c r="AS594" s="874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43"/>
      <c r="BN594" s="116"/>
      <c r="BW594" s="1"/>
      <c r="BX594" s="1"/>
      <c r="BY594" s="1"/>
      <c r="BZ594" s="655"/>
      <c r="CB594" s="656"/>
      <c r="CC594" s="1"/>
      <c r="CD594" s="1"/>
      <c r="CE594" s="1"/>
      <c r="CF594" s="1"/>
      <c r="CG594" s="1"/>
      <c r="CH594" s="1"/>
      <c r="CI594" s="1"/>
      <c r="CJ594" s="1"/>
      <c r="CR594" s="305"/>
      <c r="CT594" s="116"/>
      <c r="DB594" s="1"/>
      <c r="DC594" s="1"/>
      <c r="DD594" s="1"/>
      <c r="DE594" s="1"/>
      <c r="DF594" s="1"/>
      <c r="DG594" s="1"/>
      <c r="DH594" s="1"/>
      <c r="DI594" s="1"/>
      <c r="DJ594" s="655"/>
      <c r="DL594" s="116"/>
    </row>
    <row r="595" spans="2:116" ht="15.75" customHeight="1" x14ac:dyDescent="0.3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874"/>
      <c r="AR595" s="874"/>
      <c r="AS595" s="874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43"/>
      <c r="BN595" s="116"/>
      <c r="BW595" s="1"/>
      <c r="BX595" s="1"/>
      <c r="BY595" s="1"/>
      <c r="BZ595" s="655"/>
      <c r="CB595" s="656"/>
      <c r="CC595" s="1"/>
      <c r="CD595" s="1"/>
      <c r="CE595" s="1"/>
      <c r="CF595" s="1"/>
      <c r="CG595" s="1"/>
      <c r="CH595" s="1"/>
      <c r="CI595" s="1"/>
      <c r="CJ595" s="1"/>
      <c r="CR595" s="305"/>
      <c r="CT595" s="116"/>
      <c r="DB595" s="1"/>
      <c r="DC595" s="1"/>
      <c r="DD595" s="1"/>
      <c r="DE595" s="1"/>
      <c r="DF595" s="1"/>
      <c r="DG595" s="1"/>
      <c r="DH595" s="1"/>
      <c r="DI595" s="1"/>
      <c r="DJ595" s="655"/>
      <c r="DL595" s="116"/>
    </row>
    <row r="596" spans="2:116" ht="15.75" customHeight="1" x14ac:dyDescent="0.3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874"/>
      <c r="AR596" s="874"/>
      <c r="AS596" s="874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43"/>
      <c r="BN596" s="116"/>
      <c r="BW596" s="1"/>
      <c r="BX596" s="1"/>
      <c r="BY596" s="1"/>
      <c r="BZ596" s="655"/>
      <c r="CB596" s="656"/>
      <c r="CC596" s="1"/>
      <c r="CD596" s="1"/>
      <c r="CE596" s="1"/>
      <c r="CF596" s="1"/>
      <c r="CG596" s="1"/>
      <c r="CH596" s="1"/>
      <c r="CI596" s="1"/>
      <c r="CJ596" s="1"/>
      <c r="CR596" s="305"/>
      <c r="CT596" s="116"/>
      <c r="DB596" s="1"/>
      <c r="DC596" s="1"/>
      <c r="DD596" s="1"/>
      <c r="DE596" s="1"/>
      <c r="DF596" s="1"/>
      <c r="DG596" s="1"/>
      <c r="DH596" s="1"/>
      <c r="DI596" s="1"/>
      <c r="DJ596" s="655"/>
      <c r="DL596" s="116"/>
    </row>
    <row r="597" spans="2:116" ht="15.75" customHeight="1" x14ac:dyDescent="0.3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874"/>
      <c r="AR597" s="874"/>
      <c r="AS597" s="874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43"/>
      <c r="BN597" s="116"/>
      <c r="BW597" s="1"/>
      <c r="BX597" s="1"/>
      <c r="BY597" s="1"/>
      <c r="BZ597" s="655"/>
      <c r="CB597" s="656"/>
      <c r="CC597" s="1"/>
      <c r="CD597" s="1"/>
      <c r="CE597" s="1"/>
      <c r="CF597" s="1"/>
      <c r="CG597" s="1"/>
      <c r="CH597" s="1"/>
      <c r="CI597" s="1"/>
      <c r="CJ597" s="1"/>
      <c r="CR597" s="305"/>
      <c r="CT597" s="116"/>
      <c r="DB597" s="1"/>
      <c r="DC597" s="1"/>
      <c r="DD597" s="1"/>
      <c r="DE597" s="1"/>
      <c r="DF597" s="1"/>
      <c r="DG597" s="1"/>
      <c r="DH597" s="1"/>
      <c r="DI597" s="1"/>
      <c r="DJ597" s="655"/>
      <c r="DL597" s="116"/>
    </row>
    <row r="598" spans="2:116" ht="15.75" customHeight="1" x14ac:dyDescent="0.3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874"/>
      <c r="AR598" s="874"/>
      <c r="AS598" s="874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43"/>
      <c r="BN598" s="116"/>
      <c r="BW598" s="1"/>
      <c r="BX598" s="1"/>
      <c r="BY598" s="1"/>
      <c r="BZ598" s="655"/>
      <c r="CB598" s="656"/>
      <c r="CC598" s="1"/>
      <c r="CD598" s="1"/>
      <c r="CE598" s="1"/>
      <c r="CF598" s="1"/>
      <c r="CG598" s="1"/>
      <c r="CH598" s="1"/>
      <c r="CI598" s="1"/>
      <c r="CJ598" s="1"/>
      <c r="CR598" s="305"/>
      <c r="CT598" s="116"/>
      <c r="DB598" s="1"/>
      <c r="DC598" s="1"/>
      <c r="DD598" s="1"/>
      <c r="DE598" s="1"/>
      <c r="DF598" s="1"/>
      <c r="DG598" s="1"/>
      <c r="DH598" s="1"/>
      <c r="DI598" s="1"/>
      <c r="DJ598" s="655"/>
      <c r="DL598" s="116"/>
    </row>
    <row r="599" spans="2:116" ht="15.75" customHeight="1" x14ac:dyDescent="0.3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874"/>
      <c r="AR599" s="874"/>
      <c r="AS599" s="874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43"/>
      <c r="BN599" s="116"/>
      <c r="BW599" s="1"/>
      <c r="BX599" s="1"/>
      <c r="BY599" s="1"/>
      <c r="BZ599" s="655"/>
      <c r="CB599" s="656"/>
      <c r="CC599" s="1"/>
      <c r="CD599" s="1"/>
      <c r="CE599" s="1"/>
      <c r="CF599" s="1"/>
      <c r="CG599" s="1"/>
      <c r="CH599" s="1"/>
      <c r="CI599" s="1"/>
      <c r="CJ599" s="1"/>
      <c r="CR599" s="305"/>
      <c r="CT599" s="116"/>
      <c r="DB599" s="1"/>
      <c r="DC599" s="1"/>
      <c r="DD599" s="1"/>
      <c r="DE599" s="1"/>
      <c r="DF599" s="1"/>
      <c r="DG599" s="1"/>
      <c r="DH599" s="1"/>
      <c r="DI599" s="1"/>
      <c r="DJ599" s="655"/>
      <c r="DL599" s="116"/>
    </row>
    <row r="600" spans="2:116" ht="15.75" customHeight="1" x14ac:dyDescent="0.3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874"/>
      <c r="AR600" s="874"/>
      <c r="AS600" s="874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43"/>
      <c r="BN600" s="116"/>
      <c r="BW600" s="1"/>
      <c r="BX600" s="1"/>
      <c r="BY600" s="1"/>
      <c r="BZ600" s="655"/>
      <c r="CB600" s="656"/>
      <c r="CC600" s="1"/>
      <c r="CD600" s="1"/>
      <c r="CE600" s="1"/>
      <c r="CF600" s="1"/>
      <c r="CG600" s="1"/>
      <c r="CH600" s="1"/>
      <c r="CI600" s="1"/>
      <c r="CJ600" s="1"/>
      <c r="CR600" s="305"/>
      <c r="CT600" s="116"/>
      <c r="DB600" s="1"/>
      <c r="DC600" s="1"/>
      <c r="DD600" s="1"/>
      <c r="DE600" s="1"/>
      <c r="DF600" s="1"/>
      <c r="DG600" s="1"/>
      <c r="DH600" s="1"/>
      <c r="DI600" s="1"/>
      <c r="DJ600" s="655"/>
      <c r="DL600" s="116"/>
    </row>
    <row r="601" spans="2:116" ht="15.75" customHeight="1" x14ac:dyDescent="0.3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874"/>
      <c r="AR601" s="874"/>
      <c r="AS601" s="874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43"/>
      <c r="BN601" s="116"/>
      <c r="BW601" s="1"/>
      <c r="BX601" s="1"/>
      <c r="BY601" s="1"/>
      <c r="BZ601" s="655"/>
      <c r="CB601" s="656"/>
      <c r="CC601" s="1"/>
      <c r="CD601" s="1"/>
      <c r="CE601" s="1"/>
      <c r="CF601" s="1"/>
      <c r="CG601" s="1"/>
      <c r="CH601" s="1"/>
      <c r="CI601" s="1"/>
      <c r="CJ601" s="1"/>
      <c r="CR601" s="305"/>
      <c r="CT601" s="116"/>
      <c r="DB601" s="1"/>
      <c r="DC601" s="1"/>
      <c r="DD601" s="1"/>
      <c r="DE601" s="1"/>
      <c r="DF601" s="1"/>
      <c r="DG601" s="1"/>
      <c r="DH601" s="1"/>
      <c r="DI601" s="1"/>
      <c r="DJ601" s="655"/>
      <c r="DL601" s="116"/>
    </row>
    <row r="602" spans="2:116" ht="15.75" customHeight="1" x14ac:dyDescent="0.3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874"/>
      <c r="AR602" s="874"/>
      <c r="AS602" s="874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43"/>
      <c r="BN602" s="116"/>
      <c r="BW602" s="1"/>
      <c r="BX602" s="1"/>
      <c r="BY602" s="1"/>
      <c r="BZ602" s="655"/>
      <c r="CB602" s="656"/>
      <c r="CC602" s="1"/>
      <c r="CD602" s="1"/>
      <c r="CE602" s="1"/>
      <c r="CF602" s="1"/>
      <c r="CG602" s="1"/>
      <c r="CH602" s="1"/>
      <c r="CI602" s="1"/>
      <c r="CJ602" s="1"/>
      <c r="CR602" s="305"/>
      <c r="CT602" s="116"/>
      <c r="DB602" s="1"/>
      <c r="DC602" s="1"/>
      <c r="DD602" s="1"/>
      <c r="DE602" s="1"/>
      <c r="DF602" s="1"/>
      <c r="DG602" s="1"/>
      <c r="DH602" s="1"/>
      <c r="DI602" s="1"/>
      <c r="DJ602" s="655"/>
      <c r="DL602" s="116"/>
    </row>
    <row r="603" spans="2:116" ht="15.75" customHeight="1" x14ac:dyDescent="0.3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874"/>
      <c r="AR603" s="874"/>
      <c r="AS603" s="874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43"/>
      <c r="BN603" s="116"/>
      <c r="BW603" s="1"/>
      <c r="BX603" s="1"/>
      <c r="BY603" s="1"/>
      <c r="BZ603" s="655"/>
      <c r="CB603" s="656"/>
      <c r="CC603" s="1"/>
      <c r="CD603" s="1"/>
      <c r="CE603" s="1"/>
      <c r="CF603" s="1"/>
      <c r="CG603" s="1"/>
      <c r="CH603" s="1"/>
      <c r="CI603" s="1"/>
      <c r="CJ603" s="1"/>
      <c r="CR603" s="305"/>
      <c r="CT603" s="116"/>
      <c r="DB603" s="1"/>
      <c r="DC603" s="1"/>
      <c r="DD603" s="1"/>
      <c r="DE603" s="1"/>
      <c r="DF603" s="1"/>
      <c r="DG603" s="1"/>
      <c r="DH603" s="1"/>
      <c r="DI603" s="1"/>
      <c r="DJ603" s="655"/>
      <c r="DL603" s="116"/>
    </row>
    <row r="604" spans="2:116" ht="15.75" customHeight="1" x14ac:dyDescent="0.3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874"/>
      <c r="AR604" s="874"/>
      <c r="AS604" s="874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43"/>
      <c r="BN604" s="116"/>
      <c r="BW604" s="1"/>
      <c r="BX604" s="1"/>
      <c r="BY604" s="1"/>
      <c r="BZ604" s="655"/>
      <c r="CB604" s="656"/>
      <c r="CC604" s="1"/>
      <c r="CD604" s="1"/>
      <c r="CE604" s="1"/>
      <c r="CF604" s="1"/>
      <c r="CG604" s="1"/>
      <c r="CH604" s="1"/>
      <c r="CI604" s="1"/>
      <c r="CJ604" s="1"/>
      <c r="CR604" s="305"/>
      <c r="CT604" s="116"/>
      <c r="DB604" s="1"/>
      <c r="DC604" s="1"/>
      <c r="DD604" s="1"/>
      <c r="DE604" s="1"/>
      <c r="DF604" s="1"/>
      <c r="DG604" s="1"/>
      <c r="DH604" s="1"/>
      <c r="DI604" s="1"/>
      <c r="DJ604" s="655"/>
      <c r="DL604" s="116"/>
    </row>
    <row r="605" spans="2:116" ht="15.75" customHeight="1" x14ac:dyDescent="0.3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874"/>
      <c r="AR605" s="874"/>
      <c r="AS605" s="874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43"/>
      <c r="BN605" s="116"/>
      <c r="BW605" s="1"/>
      <c r="BX605" s="1"/>
      <c r="BY605" s="1"/>
      <c r="BZ605" s="655"/>
      <c r="CB605" s="656"/>
      <c r="CC605" s="1"/>
      <c r="CD605" s="1"/>
      <c r="CE605" s="1"/>
      <c r="CF605" s="1"/>
      <c r="CG605" s="1"/>
      <c r="CH605" s="1"/>
      <c r="CI605" s="1"/>
      <c r="CJ605" s="1"/>
      <c r="CR605" s="305"/>
      <c r="CT605" s="116"/>
      <c r="DB605" s="1"/>
      <c r="DC605" s="1"/>
      <c r="DD605" s="1"/>
      <c r="DE605" s="1"/>
      <c r="DF605" s="1"/>
      <c r="DG605" s="1"/>
      <c r="DH605" s="1"/>
      <c r="DI605" s="1"/>
      <c r="DJ605" s="655"/>
      <c r="DL605" s="116"/>
    </row>
    <row r="606" spans="2:116" ht="15.75" customHeight="1" x14ac:dyDescent="0.3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874"/>
      <c r="AR606" s="874"/>
      <c r="AS606" s="874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43"/>
      <c r="BN606" s="116"/>
      <c r="BW606" s="1"/>
      <c r="BX606" s="1"/>
      <c r="BY606" s="1"/>
      <c r="BZ606" s="655"/>
      <c r="CB606" s="656"/>
      <c r="CC606" s="1"/>
      <c r="CD606" s="1"/>
      <c r="CE606" s="1"/>
      <c r="CF606" s="1"/>
      <c r="CG606" s="1"/>
      <c r="CH606" s="1"/>
      <c r="CI606" s="1"/>
      <c r="CJ606" s="1"/>
      <c r="CR606" s="305"/>
      <c r="CT606" s="116"/>
      <c r="DB606" s="1"/>
      <c r="DC606" s="1"/>
      <c r="DD606" s="1"/>
      <c r="DE606" s="1"/>
      <c r="DF606" s="1"/>
      <c r="DG606" s="1"/>
      <c r="DH606" s="1"/>
      <c r="DI606" s="1"/>
      <c r="DJ606" s="655"/>
      <c r="DL606" s="116"/>
    </row>
    <row r="607" spans="2:116" ht="15.75" customHeight="1" x14ac:dyDescent="0.3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874"/>
      <c r="AR607" s="874"/>
      <c r="AS607" s="874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43"/>
      <c r="BN607" s="116"/>
      <c r="BW607" s="1"/>
      <c r="BX607" s="1"/>
      <c r="BY607" s="1"/>
      <c r="BZ607" s="655"/>
      <c r="CB607" s="656"/>
      <c r="CC607" s="1"/>
      <c r="CD607" s="1"/>
      <c r="CE607" s="1"/>
      <c r="CF607" s="1"/>
      <c r="CG607" s="1"/>
      <c r="CH607" s="1"/>
      <c r="CI607" s="1"/>
      <c r="CJ607" s="1"/>
      <c r="CR607" s="305"/>
      <c r="CT607" s="116"/>
      <c r="DB607" s="1"/>
      <c r="DC607" s="1"/>
      <c r="DD607" s="1"/>
      <c r="DE607" s="1"/>
      <c r="DF607" s="1"/>
      <c r="DG607" s="1"/>
      <c r="DH607" s="1"/>
      <c r="DI607" s="1"/>
      <c r="DJ607" s="655"/>
      <c r="DL607" s="116"/>
    </row>
    <row r="608" spans="2:116" ht="15.75" customHeight="1" x14ac:dyDescent="0.3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874"/>
      <c r="AR608" s="874"/>
      <c r="AS608" s="874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43"/>
      <c r="BN608" s="116"/>
      <c r="BW608" s="1"/>
      <c r="BX608" s="1"/>
      <c r="BY608" s="1"/>
      <c r="BZ608" s="655"/>
      <c r="CB608" s="656"/>
      <c r="CC608" s="1"/>
      <c r="CD608" s="1"/>
      <c r="CE608" s="1"/>
      <c r="CF608" s="1"/>
      <c r="CG608" s="1"/>
      <c r="CH608" s="1"/>
      <c r="CI608" s="1"/>
      <c r="CJ608" s="1"/>
      <c r="CR608" s="305"/>
      <c r="CT608" s="116"/>
      <c r="DB608" s="1"/>
      <c r="DC608" s="1"/>
      <c r="DD608" s="1"/>
      <c r="DE608" s="1"/>
      <c r="DF608" s="1"/>
      <c r="DG608" s="1"/>
      <c r="DH608" s="1"/>
      <c r="DI608" s="1"/>
      <c r="DJ608" s="655"/>
      <c r="DL608" s="116"/>
    </row>
    <row r="609" spans="2:116" ht="15.75" customHeight="1" x14ac:dyDescent="0.3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874"/>
      <c r="AR609" s="874"/>
      <c r="AS609" s="874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43"/>
      <c r="BN609" s="116"/>
      <c r="BW609" s="1"/>
      <c r="BX609" s="1"/>
      <c r="BY609" s="1"/>
      <c r="BZ609" s="655"/>
      <c r="CB609" s="656"/>
      <c r="CC609" s="1"/>
      <c r="CD609" s="1"/>
      <c r="CE609" s="1"/>
      <c r="CF609" s="1"/>
      <c r="CG609" s="1"/>
      <c r="CH609" s="1"/>
      <c r="CI609" s="1"/>
      <c r="CJ609" s="1"/>
      <c r="CR609" s="305"/>
      <c r="CT609" s="116"/>
      <c r="DB609" s="1"/>
      <c r="DC609" s="1"/>
      <c r="DD609" s="1"/>
      <c r="DE609" s="1"/>
      <c r="DF609" s="1"/>
      <c r="DG609" s="1"/>
      <c r="DH609" s="1"/>
      <c r="DI609" s="1"/>
      <c r="DJ609" s="655"/>
      <c r="DL609" s="116"/>
    </row>
    <row r="610" spans="2:116" ht="15.75" customHeight="1" x14ac:dyDescent="0.3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874"/>
      <c r="AR610" s="874"/>
      <c r="AS610" s="874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43"/>
      <c r="BN610" s="116"/>
      <c r="BW610" s="1"/>
      <c r="BX610" s="1"/>
      <c r="BY610" s="1"/>
      <c r="BZ610" s="655"/>
      <c r="CB610" s="656"/>
      <c r="CC610" s="1"/>
      <c r="CD610" s="1"/>
      <c r="CE610" s="1"/>
      <c r="CF610" s="1"/>
      <c r="CG610" s="1"/>
      <c r="CH610" s="1"/>
      <c r="CI610" s="1"/>
      <c r="CJ610" s="1"/>
      <c r="CR610" s="305"/>
      <c r="CT610" s="116"/>
      <c r="DB610" s="1"/>
      <c r="DC610" s="1"/>
      <c r="DD610" s="1"/>
      <c r="DE610" s="1"/>
      <c r="DF610" s="1"/>
      <c r="DG610" s="1"/>
      <c r="DH610" s="1"/>
      <c r="DI610" s="1"/>
      <c r="DJ610" s="655"/>
      <c r="DL610" s="116"/>
    </row>
    <row r="611" spans="2:116" ht="15.75" customHeight="1" x14ac:dyDescent="0.3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874"/>
      <c r="AR611" s="874"/>
      <c r="AS611" s="874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43"/>
      <c r="BN611" s="116"/>
      <c r="BW611" s="1"/>
      <c r="BX611" s="1"/>
      <c r="BY611" s="1"/>
      <c r="BZ611" s="655"/>
      <c r="CB611" s="656"/>
      <c r="CC611" s="1"/>
      <c r="CD611" s="1"/>
      <c r="CE611" s="1"/>
      <c r="CF611" s="1"/>
      <c r="CG611" s="1"/>
      <c r="CH611" s="1"/>
      <c r="CI611" s="1"/>
      <c r="CJ611" s="1"/>
      <c r="CR611" s="305"/>
      <c r="CT611" s="116"/>
      <c r="DB611" s="1"/>
      <c r="DC611" s="1"/>
      <c r="DD611" s="1"/>
      <c r="DE611" s="1"/>
      <c r="DF611" s="1"/>
      <c r="DG611" s="1"/>
      <c r="DH611" s="1"/>
      <c r="DI611" s="1"/>
      <c r="DJ611" s="655"/>
      <c r="DL611" s="116"/>
    </row>
    <row r="612" spans="2:116" ht="15.75" customHeight="1" x14ac:dyDescent="0.3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874"/>
      <c r="AR612" s="874"/>
      <c r="AS612" s="874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43"/>
      <c r="BN612" s="116"/>
      <c r="BW612" s="1"/>
      <c r="BX612" s="1"/>
      <c r="BY612" s="1"/>
      <c r="BZ612" s="655"/>
      <c r="CB612" s="656"/>
      <c r="CC612" s="1"/>
      <c r="CD612" s="1"/>
      <c r="CE612" s="1"/>
      <c r="CF612" s="1"/>
      <c r="CG612" s="1"/>
      <c r="CH612" s="1"/>
      <c r="CI612" s="1"/>
      <c r="CJ612" s="1"/>
      <c r="CR612" s="305"/>
      <c r="CT612" s="116"/>
      <c r="DB612" s="1"/>
      <c r="DC612" s="1"/>
      <c r="DD612" s="1"/>
      <c r="DE612" s="1"/>
      <c r="DF612" s="1"/>
      <c r="DG612" s="1"/>
      <c r="DH612" s="1"/>
      <c r="DI612" s="1"/>
      <c r="DJ612" s="655"/>
      <c r="DL612" s="116"/>
    </row>
    <row r="613" spans="2:116" ht="15.75" customHeight="1" x14ac:dyDescent="0.3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874"/>
      <c r="AR613" s="874"/>
      <c r="AS613" s="874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43"/>
      <c r="BN613" s="116"/>
      <c r="BW613" s="1"/>
      <c r="BX613" s="1"/>
      <c r="BY613" s="1"/>
      <c r="BZ613" s="655"/>
      <c r="CB613" s="656"/>
      <c r="CC613" s="1"/>
      <c r="CD613" s="1"/>
      <c r="CE613" s="1"/>
      <c r="CF613" s="1"/>
      <c r="CG613" s="1"/>
      <c r="CH613" s="1"/>
      <c r="CI613" s="1"/>
      <c r="CJ613" s="1"/>
      <c r="CR613" s="305"/>
      <c r="CT613" s="116"/>
      <c r="DB613" s="1"/>
      <c r="DC613" s="1"/>
      <c r="DD613" s="1"/>
      <c r="DE613" s="1"/>
      <c r="DF613" s="1"/>
      <c r="DG613" s="1"/>
      <c r="DH613" s="1"/>
      <c r="DI613" s="1"/>
      <c r="DJ613" s="655"/>
      <c r="DL613" s="116"/>
    </row>
    <row r="614" spans="2:116" ht="15.75" customHeight="1" x14ac:dyDescent="0.3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874"/>
      <c r="AR614" s="874"/>
      <c r="AS614" s="874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43"/>
      <c r="BN614" s="116"/>
      <c r="BW614" s="1"/>
      <c r="BX614" s="1"/>
      <c r="BY614" s="1"/>
      <c r="BZ614" s="655"/>
      <c r="CB614" s="656"/>
      <c r="CC614" s="1"/>
      <c r="CD614" s="1"/>
      <c r="CE614" s="1"/>
      <c r="CF614" s="1"/>
      <c r="CG614" s="1"/>
      <c r="CH614" s="1"/>
      <c r="CI614" s="1"/>
      <c r="CJ614" s="1"/>
      <c r="CR614" s="305"/>
      <c r="CT614" s="116"/>
      <c r="DB614" s="1"/>
      <c r="DC614" s="1"/>
      <c r="DD614" s="1"/>
      <c r="DE614" s="1"/>
      <c r="DF614" s="1"/>
      <c r="DG614" s="1"/>
      <c r="DH614" s="1"/>
      <c r="DI614" s="1"/>
      <c r="DJ614" s="655"/>
      <c r="DL614" s="116"/>
    </row>
    <row r="615" spans="2:116" ht="15.75" customHeight="1" x14ac:dyDescent="0.3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874"/>
      <c r="AR615" s="874"/>
      <c r="AS615" s="874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43"/>
      <c r="BN615" s="116"/>
      <c r="BW615" s="1"/>
      <c r="BX615" s="1"/>
      <c r="BY615" s="1"/>
      <c r="BZ615" s="655"/>
      <c r="CB615" s="656"/>
      <c r="CC615" s="1"/>
      <c r="CD615" s="1"/>
      <c r="CE615" s="1"/>
      <c r="CF615" s="1"/>
      <c r="CG615" s="1"/>
      <c r="CH615" s="1"/>
      <c r="CI615" s="1"/>
      <c r="CJ615" s="1"/>
      <c r="CR615" s="305"/>
      <c r="CT615" s="116"/>
      <c r="DB615" s="1"/>
      <c r="DC615" s="1"/>
      <c r="DD615" s="1"/>
      <c r="DE615" s="1"/>
      <c r="DF615" s="1"/>
      <c r="DG615" s="1"/>
      <c r="DH615" s="1"/>
      <c r="DI615" s="1"/>
      <c r="DJ615" s="655"/>
      <c r="DL615" s="116"/>
    </row>
    <row r="616" spans="2:116" ht="15.75" customHeight="1" x14ac:dyDescent="0.3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874"/>
      <c r="AR616" s="874"/>
      <c r="AS616" s="874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43"/>
      <c r="BN616" s="116"/>
      <c r="BW616" s="1"/>
      <c r="BX616" s="1"/>
      <c r="BY616" s="1"/>
      <c r="BZ616" s="655"/>
      <c r="CB616" s="656"/>
      <c r="CC616" s="1"/>
      <c r="CD616" s="1"/>
      <c r="CE616" s="1"/>
      <c r="CF616" s="1"/>
      <c r="CG616" s="1"/>
      <c r="CH616" s="1"/>
      <c r="CI616" s="1"/>
      <c r="CJ616" s="1"/>
      <c r="CR616" s="305"/>
      <c r="CT616" s="116"/>
      <c r="DB616" s="1"/>
      <c r="DC616" s="1"/>
      <c r="DD616" s="1"/>
      <c r="DE616" s="1"/>
      <c r="DF616" s="1"/>
      <c r="DG616" s="1"/>
      <c r="DH616" s="1"/>
      <c r="DI616" s="1"/>
      <c r="DJ616" s="655"/>
      <c r="DL616" s="116"/>
    </row>
    <row r="617" spans="2:116" ht="15.75" customHeight="1" x14ac:dyDescent="0.3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874"/>
      <c r="AR617" s="874"/>
      <c r="AS617" s="874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43"/>
      <c r="BN617" s="116"/>
      <c r="BW617" s="1"/>
      <c r="BX617" s="1"/>
      <c r="BY617" s="1"/>
      <c r="BZ617" s="655"/>
      <c r="CB617" s="656"/>
      <c r="CC617" s="1"/>
      <c r="CD617" s="1"/>
      <c r="CE617" s="1"/>
      <c r="CF617" s="1"/>
      <c r="CG617" s="1"/>
      <c r="CH617" s="1"/>
      <c r="CI617" s="1"/>
      <c r="CJ617" s="1"/>
      <c r="CR617" s="305"/>
      <c r="CT617" s="116"/>
      <c r="DB617" s="1"/>
      <c r="DC617" s="1"/>
      <c r="DD617" s="1"/>
      <c r="DE617" s="1"/>
      <c r="DF617" s="1"/>
      <c r="DG617" s="1"/>
      <c r="DH617" s="1"/>
      <c r="DI617" s="1"/>
      <c r="DJ617" s="655"/>
      <c r="DL617" s="116"/>
    </row>
    <row r="618" spans="2:116" ht="15.75" customHeight="1" x14ac:dyDescent="0.3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874"/>
      <c r="AR618" s="874"/>
      <c r="AS618" s="874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43"/>
      <c r="BN618" s="116"/>
      <c r="BW618" s="1"/>
      <c r="BX618" s="1"/>
      <c r="BY618" s="1"/>
      <c r="BZ618" s="655"/>
      <c r="CB618" s="656"/>
      <c r="CC618" s="1"/>
      <c r="CD618" s="1"/>
      <c r="CE618" s="1"/>
      <c r="CF618" s="1"/>
      <c r="CG618" s="1"/>
      <c r="CH618" s="1"/>
      <c r="CI618" s="1"/>
      <c r="CJ618" s="1"/>
      <c r="CR618" s="305"/>
      <c r="CT618" s="116"/>
      <c r="DB618" s="1"/>
      <c r="DC618" s="1"/>
      <c r="DD618" s="1"/>
      <c r="DE618" s="1"/>
      <c r="DF618" s="1"/>
      <c r="DG618" s="1"/>
      <c r="DH618" s="1"/>
      <c r="DI618" s="1"/>
      <c r="DJ618" s="655"/>
      <c r="DL618" s="116"/>
    </row>
    <row r="619" spans="2:116" ht="15.75" customHeight="1" x14ac:dyDescent="0.3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874"/>
      <c r="AR619" s="874"/>
      <c r="AS619" s="874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43"/>
      <c r="BN619" s="116"/>
      <c r="BW619" s="1"/>
      <c r="BX619" s="1"/>
      <c r="BY619" s="1"/>
      <c r="BZ619" s="655"/>
      <c r="CB619" s="656"/>
      <c r="CC619" s="1"/>
      <c r="CD619" s="1"/>
      <c r="CE619" s="1"/>
      <c r="CF619" s="1"/>
      <c r="CG619" s="1"/>
      <c r="CH619" s="1"/>
      <c r="CI619" s="1"/>
      <c r="CJ619" s="1"/>
      <c r="CR619" s="305"/>
      <c r="CT619" s="116"/>
      <c r="DB619" s="1"/>
      <c r="DC619" s="1"/>
      <c r="DD619" s="1"/>
      <c r="DE619" s="1"/>
      <c r="DF619" s="1"/>
      <c r="DG619" s="1"/>
      <c r="DH619" s="1"/>
      <c r="DI619" s="1"/>
      <c r="DJ619" s="655"/>
      <c r="DL619" s="116"/>
    </row>
    <row r="620" spans="2:116" ht="15.75" customHeight="1" x14ac:dyDescent="0.3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874"/>
      <c r="AR620" s="874"/>
      <c r="AS620" s="874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43"/>
      <c r="BN620" s="116"/>
      <c r="BW620" s="1"/>
      <c r="BX620" s="1"/>
      <c r="BY620" s="1"/>
      <c r="BZ620" s="655"/>
      <c r="CB620" s="656"/>
      <c r="CC620" s="1"/>
      <c r="CD620" s="1"/>
      <c r="CE620" s="1"/>
      <c r="CF620" s="1"/>
      <c r="CG620" s="1"/>
      <c r="CH620" s="1"/>
      <c r="CI620" s="1"/>
      <c r="CJ620" s="1"/>
      <c r="CR620" s="305"/>
      <c r="CT620" s="116"/>
      <c r="DB620" s="1"/>
      <c r="DC620" s="1"/>
      <c r="DD620" s="1"/>
      <c r="DE620" s="1"/>
      <c r="DF620" s="1"/>
      <c r="DG620" s="1"/>
      <c r="DH620" s="1"/>
      <c r="DI620" s="1"/>
      <c r="DJ620" s="655"/>
      <c r="DL620" s="116"/>
    </row>
    <row r="621" spans="2:116" ht="15.75" customHeight="1" x14ac:dyDescent="0.3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874"/>
      <c r="AR621" s="874"/>
      <c r="AS621" s="874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43"/>
      <c r="BN621" s="116"/>
      <c r="BW621" s="1"/>
      <c r="BX621" s="1"/>
      <c r="BY621" s="1"/>
      <c r="BZ621" s="655"/>
      <c r="CB621" s="656"/>
      <c r="CC621" s="1"/>
      <c r="CD621" s="1"/>
      <c r="CE621" s="1"/>
      <c r="CF621" s="1"/>
      <c r="CG621" s="1"/>
      <c r="CH621" s="1"/>
      <c r="CI621" s="1"/>
      <c r="CJ621" s="1"/>
      <c r="CR621" s="305"/>
      <c r="CT621" s="116"/>
      <c r="DB621" s="1"/>
      <c r="DC621" s="1"/>
      <c r="DD621" s="1"/>
      <c r="DE621" s="1"/>
      <c r="DF621" s="1"/>
      <c r="DG621" s="1"/>
      <c r="DH621" s="1"/>
      <c r="DI621" s="1"/>
      <c r="DJ621" s="655"/>
      <c r="DL621" s="116"/>
    </row>
    <row r="622" spans="2:116" ht="15.75" customHeight="1" x14ac:dyDescent="0.3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874"/>
      <c r="AR622" s="874"/>
      <c r="AS622" s="874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43"/>
      <c r="BN622" s="116"/>
      <c r="BW622" s="1"/>
      <c r="BX622" s="1"/>
      <c r="BY622" s="1"/>
      <c r="BZ622" s="655"/>
      <c r="CB622" s="656"/>
      <c r="CC622" s="1"/>
      <c r="CD622" s="1"/>
      <c r="CE622" s="1"/>
      <c r="CF622" s="1"/>
      <c r="CG622" s="1"/>
      <c r="CH622" s="1"/>
      <c r="CI622" s="1"/>
      <c r="CJ622" s="1"/>
      <c r="CR622" s="305"/>
      <c r="CT622" s="116"/>
      <c r="DB622" s="1"/>
      <c r="DC622" s="1"/>
      <c r="DD622" s="1"/>
      <c r="DE622" s="1"/>
      <c r="DF622" s="1"/>
      <c r="DG622" s="1"/>
      <c r="DH622" s="1"/>
      <c r="DI622" s="1"/>
      <c r="DJ622" s="655"/>
      <c r="DL622" s="116"/>
    </row>
    <row r="623" spans="2:116" ht="15.75" customHeight="1" x14ac:dyDescent="0.3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874"/>
      <c r="AR623" s="874"/>
      <c r="AS623" s="874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43"/>
      <c r="BN623" s="116"/>
      <c r="BW623" s="1"/>
      <c r="BX623" s="1"/>
      <c r="BY623" s="1"/>
      <c r="BZ623" s="655"/>
      <c r="CB623" s="656"/>
      <c r="CC623" s="1"/>
      <c r="CD623" s="1"/>
      <c r="CE623" s="1"/>
      <c r="CF623" s="1"/>
      <c r="CG623" s="1"/>
      <c r="CH623" s="1"/>
      <c r="CI623" s="1"/>
      <c r="CJ623" s="1"/>
      <c r="CR623" s="305"/>
      <c r="CT623" s="116"/>
      <c r="DB623" s="1"/>
      <c r="DC623" s="1"/>
      <c r="DD623" s="1"/>
      <c r="DE623" s="1"/>
      <c r="DF623" s="1"/>
      <c r="DG623" s="1"/>
      <c r="DH623" s="1"/>
      <c r="DI623" s="1"/>
      <c r="DJ623" s="655"/>
      <c r="DL623" s="116"/>
    </row>
    <row r="624" spans="2:116" ht="15.75" customHeight="1" x14ac:dyDescent="0.3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874"/>
      <c r="AR624" s="874"/>
      <c r="AS624" s="874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43"/>
      <c r="BN624" s="116"/>
      <c r="BW624" s="1"/>
      <c r="BX624" s="1"/>
      <c r="BY624" s="1"/>
      <c r="BZ624" s="655"/>
      <c r="CB624" s="656"/>
      <c r="CC624" s="1"/>
      <c r="CD624" s="1"/>
      <c r="CE624" s="1"/>
      <c r="CF624" s="1"/>
      <c r="CG624" s="1"/>
      <c r="CH624" s="1"/>
      <c r="CI624" s="1"/>
      <c r="CJ624" s="1"/>
      <c r="CR624" s="305"/>
      <c r="CT624" s="116"/>
      <c r="DB624" s="1"/>
      <c r="DC624" s="1"/>
      <c r="DD624" s="1"/>
      <c r="DE624" s="1"/>
      <c r="DF624" s="1"/>
      <c r="DG624" s="1"/>
      <c r="DH624" s="1"/>
      <c r="DI624" s="1"/>
      <c r="DJ624" s="655"/>
      <c r="DL624" s="116"/>
    </row>
    <row r="625" spans="2:116" ht="15.75" customHeight="1" x14ac:dyDescent="0.3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874"/>
      <c r="AR625" s="874"/>
      <c r="AS625" s="874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43"/>
      <c r="BN625" s="116"/>
      <c r="BW625" s="1"/>
      <c r="BX625" s="1"/>
      <c r="BY625" s="1"/>
      <c r="BZ625" s="655"/>
      <c r="CB625" s="656"/>
      <c r="CC625" s="1"/>
      <c r="CD625" s="1"/>
      <c r="CE625" s="1"/>
      <c r="CF625" s="1"/>
      <c r="CG625" s="1"/>
      <c r="CH625" s="1"/>
      <c r="CI625" s="1"/>
      <c r="CJ625" s="1"/>
      <c r="CR625" s="305"/>
      <c r="CT625" s="116"/>
      <c r="DB625" s="1"/>
      <c r="DC625" s="1"/>
      <c r="DD625" s="1"/>
      <c r="DE625" s="1"/>
      <c r="DF625" s="1"/>
      <c r="DG625" s="1"/>
      <c r="DH625" s="1"/>
      <c r="DI625" s="1"/>
      <c r="DJ625" s="655"/>
      <c r="DL625" s="116"/>
    </row>
    <row r="626" spans="2:116" ht="15.75" customHeight="1" x14ac:dyDescent="0.3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874"/>
      <c r="AR626" s="874"/>
      <c r="AS626" s="874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43"/>
      <c r="BN626" s="116"/>
      <c r="BW626" s="1"/>
      <c r="BX626" s="1"/>
      <c r="BY626" s="1"/>
      <c r="BZ626" s="655"/>
      <c r="CB626" s="656"/>
      <c r="CC626" s="1"/>
      <c r="CD626" s="1"/>
      <c r="CE626" s="1"/>
      <c r="CF626" s="1"/>
      <c r="CG626" s="1"/>
      <c r="CH626" s="1"/>
      <c r="CI626" s="1"/>
      <c r="CJ626" s="1"/>
      <c r="CR626" s="305"/>
      <c r="CT626" s="116"/>
      <c r="DB626" s="1"/>
      <c r="DC626" s="1"/>
      <c r="DD626" s="1"/>
      <c r="DE626" s="1"/>
      <c r="DF626" s="1"/>
      <c r="DG626" s="1"/>
      <c r="DH626" s="1"/>
      <c r="DI626" s="1"/>
      <c r="DJ626" s="655"/>
      <c r="DL626" s="116"/>
    </row>
    <row r="627" spans="2:116" ht="15.75" customHeight="1" x14ac:dyDescent="0.3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874"/>
      <c r="AR627" s="874"/>
      <c r="AS627" s="874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43"/>
      <c r="BN627" s="116"/>
      <c r="BW627" s="1"/>
      <c r="BX627" s="1"/>
      <c r="BY627" s="1"/>
      <c r="BZ627" s="655"/>
      <c r="CB627" s="656"/>
      <c r="CC627" s="1"/>
      <c r="CD627" s="1"/>
      <c r="CE627" s="1"/>
      <c r="CF627" s="1"/>
      <c r="CG627" s="1"/>
      <c r="CH627" s="1"/>
      <c r="CI627" s="1"/>
      <c r="CJ627" s="1"/>
      <c r="CR627" s="305"/>
      <c r="CT627" s="116"/>
      <c r="DB627" s="1"/>
      <c r="DC627" s="1"/>
      <c r="DD627" s="1"/>
      <c r="DE627" s="1"/>
      <c r="DF627" s="1"/>
      <c r="DG627" s="1"/>
      <c r="DH627" s="1"/>
      <c r="DI627" s="1"/>
      <c r="DJ627" s="655"/>
      <c r="DL627" s="116"/>
    </row>
    <row r="628" spans="2:116" ht="15.75" customHeight="1" x14ac:dyDescent="0.3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874"/>
      <c r="AR628" s="874"/>
      <c r="AS628" s="874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43"/>
      <c r="BN628" s="116"/>
      <c r="BW628" s="1"/>
      <c r="BX628" s="1"/>
      <c r="BY628" s="1"/>
      <c r="BZ628" s="655"/>
      <c r="CB628" s="656"/>
      <c r="CC628" s="1"/>
      <c r="CD628" s="1"/>
      <c r="CE628" s="1"/>
      <c r="CF628" s="1"/>
      <c r="CG628" s="1"/>
      <c r="CH628" s="1"/>
      <c r="CI628" s="1"/>
      <c r="CJ628" s="1"/>
      <c r="CR628" s="305"/>
      <c r="CT628" s="116"/>
      <c r="DB628" s="1"/>
      <c r="DC628" s="1"/>
      <c r="DD628" s="1"/>
      <c r="DE628" s="1"/>
      <c r="DF628" s="1"/>
      <c r="DG628" s="1"/>
      <c r="DH628" s="1"/>
      <c r="DI628" s="1"/>
      <c r="DJ628" s="655"/>
      <c r="DL628" s="116"/>
    </row>
    <row r="629" spans="2:116" ht="15.75" customHeight="1" x14ac:dyDescent="0.3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874"/>
      <c r="AR629" s="874"/>
      <c r="AS629" s="874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43"/>
      <c r="BN629" s="116"/>
      <c r="BW629" s="1"/>
      <c r="BX629" s="1"/>
      <c r="BY629" s="1"/>
      <c r="BZ629" s="655"/>
      <c r="CB629" s="656"/>
      <c r="CC629" s="1"/>
      <c r="CD629" s="1"/>
      <c r="CE629" s="1"/>
      <c r="CF629" s="1"/>
      <c r="CG629" s="1"/>
      <c r="CH629" s="1"/>
      <c r="CI629" s="1"/>
      <c r="CJ629" s="1"/>
      <c r="CR629" s="305"/>
      <c r="CT629" s="116"/>
      <c r="DB629" s="1"/>
      <c r="DC629" s="1"/>
      <c r="DD629" s="1"/>
      <c r="DE629" s="1"/>
      <c r="DF629" s="1"/>
      <c r="DG629" s="1"/>
      <c r="DH629" s="1"/>
      <c r="DI629" s="1"/>
      <c r="DJ629" s="655"/>
      <c r="DL629" s="116"/>
    </row>
    <row r="630" spans="2:116" ht="15.75" customHeight="1" x14ac:dyDescent="0.3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874"/>
      <c r="AR630" s="874"/>
      <c r="AS630" s="874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43"/>
      <c r="BN630" s="116"/>
      <c r="BW630" s="1"/>
      <c r="BX630" s="1"/>
      <c r="BY630" s="1"/>
      <c r="BZ630" s="655"/>
      <c r="CB630" s="656"/>
      <c r="CC630" s="1"/>
      <c r="CD630" s="1"/>
      <c r="CE630" s="1"/>
      <c r="CF630" s="1"/>
      <c r="CG630" s="1"/>
      <c r="CH630" s="1"/>
      <c r="CI630" s="1"/>
      <c r="CJ630" s="1"/>
      <c r="CR630" s="305"/>
      <c r="CT630" s="116"/>
      <c r="DB630" s="1"/>
      <c r="DC630" s="1"/>
      <c r="DD630" s="1"/>
      <c r="DE630" s="1"/>
      <c r="DF630" s="1"/>
      <c r="DG630" s="1"/>
      <c r="DH630" s="1"/>
      <c r="DI630" s="1"/>
      <c r="DJ630" s="655"/>
      <c r="DL630" s="116"/>
    </row>
    <row r="631" spans="2:116" ht="15.75" customHeight="1" x14ac:dyDescent="0.3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874"/>
      <c r="AR631" s="874"/>
      <c r="AS631" s="874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43"/>
      <c r="BN631" s="116"/>
      <c r="BW631" s="1"/>
      <c r="BX631" s="1"/>
      <c r="BY631" s="1"/>
      <c r="BZ631" s="655"/>
      <c r="CB631" s="656"/>
      <c r="CC631" s="1"/>
      <c r="CD631" s="1"/>
      <c r="CE631" s="1"/>
      <c r="CF631" s="1"/>
      <c r="CG631" s="1"/>
      <c r="CH631" s="1"/>
      <c r="CI631" s="1"/>
      <c r="CJ631" s="1"/>
      <c r="CR631" s="305"/>
      <c r="CT631" s="116"/>
      <c r="DB631" s="1"/>
      <c r="DC631" s="1"/>
      <c r="DD631" s="1"/>
      <c r="DE631" s="1"/>
      <c r="DF631" s="1"/>
      <c r="DG631" s="1"/>
      <c r="DH631" s="1"/>
      <c r="DI631" s="1"/>
      <c r="DJ631" s="655"/>
      <c r="DL631" s="116"/>
    </row>
    <row r="632" spans="2:116" ht="15.75" customHeight="1" x14ac:dyDescent="0.3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874"/>
      <c r="AR632" s="874"/>
      <c r="AS632" s="874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43"/>
      <c r="BN632" s="116"/>
      <c r="BW632" s="1"/>
      <c r="BX632" s="1"/>
      <c r="BY632" s="1"/>
      <c r="BZ632" s="655"/>
      <c r="CB632" s="656"/>
      <c r="CC632" s="1"/>
      <c r="CD632" s="1"/>
      <c r="CE632" s="1"/>
      <c r="CF632" s="1"/>
      <c r="CG632" s="1"/>
      <c r="CH632" s="1"/>
      <c r="CI632" s="1"/>
      <c r="CJ632" s="1"/>
      <c r="CR632" s="305"/>
      <c r="CT632" s="116"/>
      <c r="DB632" s="1"/>
      <c r="DC632" s="1"/>
      <c r="DD632" s="1"/>
      <c r="DE632" s="1"/>
      <c r="DF632" s="1"/>
      <c r="DG632" s="1"/>
      <c r="DH632" s="1"/>
      <c r="DI632" s="1"/>
      <c r="DJ632" s="655"/>
      <c r="DL632" s="116"/>
    </row>
    <row r="633" spans="2:116" ht="15.75" customHeight="1" x14ac:dyDescent="0.3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874"/>
      <c r="AR633" s="874"/>
      <c r="AS633" s="874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43"/>
      <c r="BN633" s="116"/>
      <c r="BW633" s="1"/>
      <c r="BX633" s="1"/>
      <c r="BY633" s="1"/>
      <c r="BZ633" s="655"/>
      <c r="CB633" s="656"/>
      <c r="CC633" s="1"/>
      <c r="CD633" s="1"/>
      <c r="CE633" s="1"/>
      <c r="CF633" s="1"/>
      <c r="CG633" s="1"/>
      <c r="CH633" s="1"/>
      <c r="CI633" s="1"/>
      <c r="CJ633" s="1"/>
      <c r="CR633" s="305"/>
      <c r="CT633" s="116"/>
      <c r="DB633" s="1"/>
      <c r="DC633" s="1"/>
      <c r="DD633" s="1"/>
      <c r="DE633" s="1"/>
      <c r="DF633" s="1"/>
      <c r="DG633" s="1"/>
      <c r="DH633" s="1"/>
      <c r="DI633" s="1"/>
      <c r="DJ633" s="655"/>
      <c r="DL633" s="116"/>
    </row>
    <row r="634" spans="2:116" ht="15.75" customHeight="1" x14ac:dyDescent="0.3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874"/>
      <c r="AR634" s="874"/>
      <c r="AS634" s="874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43"/>
      <c r="BN634" s="116"/>
      <c r="BW634" s="1"/>
      <c r="BX634" s="1"/>
      <c r="BY634" s="1"/>
      <c r="BZ634" s="655"/>
      <c r="CB634" s="656"/>
      <c r="CC634" s="1"/>
      <c r="CD634" s="1"/>
      <c r="CE634" s="1"/>
      <c r="CF634" s="1"/>
      <c r="CG634" s="1"/>
      <c r="CH634" s="1"/>
      <c r="CI634" s="1"/>
      <c r="CJ634" s="1"/>
      <c r="CR634" s="305"/>
      <c r="CT634" s="116"/>
      <c r="DB634" s="1"/>
      <c r="DC634" s="1"/>
      <c r="DD634" s="1"/>
      <c r="DE634" s="1"/>
      <c r="DF634" s="1"/>
      <c r="DG634" s="1"/>
      <c r="DH634" s="1"/>
      <c r="DI634" s="1"/>
      <c r="DJ634" s="655"/>
      <c r="DL634" s="116"/>
    </row>
    <row r="635" spans="2:116" ht="15.75" customHeight="1" x14ac:dyDescent="0.3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874"/>
      <c r="AR635" s="874"/>
      <c r="AS635" s="874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43"/>
      <c r="BN635" s="116"/>
      <c r="BW635" s="1"/>
      <c r="BX635" s="1"/>
      <c r="BY635" s="1"/>
      <c r="BZ635" s="655"/>
      <c r="CB635" s="656"/>
      <c r="CC635" s="1"/>
      <c r="CD635" s="1"/>
      <c r="CE635" s="1"/>
      <c r="CF635" s="1"/>
      <c r="CG635" s="1"/>
      <c r="CH635" s="1"/>
      <c r="CI635" s="1"/>
      <c r="CJ635" s="1"/>
      <c r="CR635" s="305"/>
      <c r="CT635" s="116"/>
      <c r="DB635" s="1"/>
      <c r="DC635" s="1"/>
      <c r="DD635" s="1"/>
      <c r="DE635" s="1"/>
      <c r="DF635" s="1"/>
      <c r="DG635" s="1"/>
      <c r="DH635" s="1"/>
      <c r="DI635" s="1"/>
      <c r="DJ635" s="655"/>
      <c r="DL635" s="116"/>
    </row>
    <row r="636" spans="2:116" ht="15.75" customHeight="1" x14ac:dyDescent="0.3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874"/>
      <c r="AR636" s="874"/>
      <c r="AS636" s="874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43"/>
      <c r="BN636" s="116"/>
      <c r="BW636" s="1"/>
      <c r="BX636" s="1"/>
      <c r="BY636" s="1"/>
      <c r="BZ636" s="655"/>
      <c r="CB636" s="656"/>
      <c r="CC636" s="1"/>
      <c r="CD636" s="1"/>
      <c r="CE636" s="1"/>
      <c r="CF636" s="1"/>
      <c r="CG636" s="1"/>
      <c r="CH636" s="1"/>
      <c r="CI636" s="1"/>
      <c r="CJ636" s="1"/>
      <c r="CR636" s="305"/>
      <c r="CT636" s="116"/>
      <c r="DB636" s="1"/>
      <c r="DC636" s="1"/>
      <c r="DD636" s="1"/>
      <c r="DE636" s="1"/>
      <c r="DF636" s="1"/>
      <c r="DG636" s="1"/>
      <c r="DH636" s="1"/>
      <c r="DI636" s="1"/>
      <c r="DJ636" s="655"/>
      <c r="DL636" s="116"/>
    </row>
    <row r="637" spans="2:116" ht="15.75" customHeight="1" x14ac:dyDescent="0.3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874"/>
      <c r="AR637" s="874"/>
      <c r="AS637" s="874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43"/>
      <c r="BN637" s="116"/>
      <c r="BW637" s="1"/>
      <c r="BX637" s="1"/>
      <c r="BY637" s="1"/>
      <c r="BZ637" s="655"/>
      <c r="CB637" s="656"/>
      <c r="CC637" s="1"/>
      <c r="CD637" s="1"/>
      <c r="CE637" s="1"/>
      <c r="CF637" s="1"/>
      <c r="CG637" s="1"/>
      <c r="CH637" s="1"/>
      <c r="CI637" s="1"/>
      <c r="CJ637" s="1"/>
      <c r="CR637" s="305"/>
      <c r="CT637" s="116"/>
      <c r="DB637" s="1"/>
      <c r="DC637" s="1"/>
      <c r="DD637" s="1"/>
      <c r="DE637" s="1"/>
      <c r="DF637" s="1"/>
      <c r="DG637" s="1"/>
      <c r="DH637" s="1"/>
      <c r="DI637" s="1"/>
      <c r="DJ637" s="655"/>
      <c r="DL637" s="116"/>
    </row>
    <row r="638" spans="2:116" ht="15.75" customHeight="1" x14ac:dyDescent="0.3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874"/>
      <c r="AR638" s="874"/>
      <c r="AS638" s="874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43"/>
      <c r="BN638" s="116"/>
      <c r="BW638" s="1"/>
      <c r="BX638" s="1"/>
      <c r="BY638" s="1"/>
      <c r="BZ638" s="655"/>
      <c r="CB638" s="656"/>
      <c r="CC638" s="1"/>
      <c r="CD638" s="1"/>
      <c r="CE638" s="1"/>
      <c r="CF638" s="1"/>
      <c r="CG638" s="1"/>
      <c r="CH638" s="1"/>
      <c r="CI638" s="1"/>
      <c r="CJ638" s="1"/>
      <c r="CR638" s="305"/>
      <c r="CT638" s="116"/>
      <c r="DB638" s="1"/>
      <c r="DC638" s="1"/>
      <c r="DD638" s="1"/>
      <c r="DE638" s="1"/>
      <c r="DF638" s="1"/>
      <c r="DG638" s="1"/>
      <c r="DH638" s="1"/>
      <c r="DI638" s="1"/>
      <c r="DJ638" s="655"/>
      <c r="DL638" s="116"/>
    </row>
    <row r="639" spans="2:116" ht="15.75" customHeight="1" x14ac:dyDescent="0.3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874"/>
      <c r="AR639" s="874"/>
      <c r="AS639" s="874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43"/>
      <c r="BN639" s="116"/>
      <c r="BW639" s="1"/>
      <c r="BX639" s="1"/>
      <c r="BY639" s="1"/>
      <c r="BZ639" s="655"/>
      <c r="CB639" s="656"/>
      <c r="CC639" s="1"/>
      <c r="CD639" s="1"/>
      <c r="CE639" s="1"/>
      <c r="CF639" s="1"/>
      <c r="CG639" s="1"/>
      <c r="CH639" s="1"/>
      <c r="CI639" s="1"/>
      <c r="CJ639" s="1"/>
      <c r="CR639" s="305"/>
      <c r="CT639" s="116"/>
      <c r="DB639" s="1"/>
      <c r="DC639" s="1"/>
      <c r="DD639" s="1"/>
      <c r="DE639" s="1"/>
      <c r="DF639" s="1"/>
      <c r="DG639" s="1"/>
      <c r="DH639" s="1"/>
      <c r="DI639" s="1"/>
      <c r="DJ639" s="655"/>
      <c r="DL639" s="116"/>
    </row>
    <row r="640" spans="2:116" ht="15.75" customHeight="1" x14ac:dyDescent="0.3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874"/>
      <c r="AR640" s="874"/>
      <c r="AS640" s="874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43"/>
      <c r="BN640" s="116"/>
      <c r="BW640" s="1"/>
      <c r="BX640" s="1"/>
      <c r="BY640" s="1"/>
      <c r="BZ640" s="655"/>
      <c r="CB640" s="656"/>
      <c r="CC640" s="1"/>
      <c r="CD640" s="1"/>
      <c r="CE640" s="1"/>
      <c r="CF640" s="1"/>
      <c r="CG640" s="1"/>
      <c r="CH640" s="1"/>
      <c r="CI640" s="1"/>
      <c r="CJ640" s="1"/>
      <c r="CR640" s="305"/>
      <c r="CT640" s="116"/>
      <c r="DB640" s="1"/>
      <c r="DC640" s="1"/>
      <c r="DD640" s="1"/>
      <c r="DE640" s="1"/>
      <c r="DF640" s="1"/>
      <c r="DG640" s="1"/>
      <c r="DH640" s="1"/>
      <c r="DI640" s="1"/>
      <c r="DJ640" s="655"/>
      <c r="DL640" s="116"/>
    </row>
    <row r="641" spans="2:116" ht="15.75" customHeight="1" x14ac:dyDescent="0.3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874"/>
      <c r="AR641" s="874"/>
      <c r="AS641" s="874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43"/>
      <c r="BN641" s="116"/>
      <c r="BW641" s="1"/>
      <c r="BX641" s="1"/>
      <c r="BY641" s="1"/>
      <c r="BZ641" s="655"/>
      <c r="CB641" s="656"/>
      <c r="CC641" s="1"/>
      <c r="CD641" s="1"/>
      <c r="CE641" s="1"/>
      <c r="CF641" s="1"/>
      <c r="CG641" s="1"/>
      <c r="CH641" s="1"/>
      <c r="CI641" s="1"/>
      <c r="CJ641" s="1"/>
      <c r="CR641" s="305"/>
      <c r="CT641" s="116"/>
      <c r="DB641" s="1"/>
      <c r="DC641" s="1"/>
      <c r="DD641" s="1"/>
      <c r="DE641" s="1"/>
      <c r="DF641" s="1"/>
      <c r="DG641" s="1"/>
      <c r="DH641" s="1"/>
      <c r="DI641" s="1"/>
      <c r="DJ641" s="655"/>
      <c r="DL641" s="116"/>
    </row>
    <row r="642" spans="2:116" ht="15.75" customHeight="1" x14ac:dyDescent="0.3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874"/>
      <c r="AR642" s="874"/>
      <c r="AS642" s="874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43"/>
      <c r="BN642" s="116"/>
      <c r="BW642" s="1"/>
      <c r="BX642" s="1"/>
      <c r="BY642" s="1"/>
      <c r="BZ642" s="655"/>
      <c r="CB642" s="656"/>
      <c r="CC642" s="1"/>
      <c r="CD642" s="1"/>
      <c r="CE642" s="1"/>
      <c r="CF642" s="1"/>
      <c r="CG642" s="1"/>
      <c r="CH642" s="1"/>
      <c r="CI642" s="1"/>
      <c r="CJ642" s="1"/>
      <c r="CR642" s="305"/>
      <c r="CT642" s="116"/>
      <c r="DB642" s="1"/>
      <c r="DC642" s="1"/>
      <c r="DD642" s="1"/>
      <c r="DE642" s="1"/>
      <c r="DF642" s="1"/>
      <c r="DG642" s="1"/>
      <c r="DH642" s="1"/>
      <c r="DI642" s="1"/>
      <c r="DJ642" s="655"/>
      <c r="DL642" s="116"/>
    </row>
    <row r="643" spans="2:116" ht="15.75" customHeight="1" x14ac:dyDescent="0.3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874"/>
      <c r="AR643" s="874"/>
      <c r="AS643" s="874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43"/>
      <c r="BN643" s="116"/>
      <c r="BW643" s="1"/>
      <c r="BX643" s="1"/>
      <c r="BY643" s="1"/>
      <c r="BZ643" s="655"/>
      <c r="CB643" s="656"/>
      <c r="CC643" s="1"/>
      <c r="CD643" s="1"/>
      <c r="CE643" s="1"/>
      <c r="CF643" s="1"/>
      <c r="CG643" s="1"/>
      <c r="CH643" s="1"/>
      <c r="CI643" s="1"/>
      <c r="CJ643" s="1"/>
      <c r="CR643" s="305"/>
      <c r="CT643" s="116"/>
      <c r="DB643" s="1"/>
      <c r="DC643" s="1"/>
      <c r="DD643" s="1"/>
      <c r="DE643" s="1"/>
      <c r="DF643" s="1"/>
      <c r="DG643" s="1"/>
      <c r="DH643" s="1"/>
      <c r="DI643" s="1"/>
      <c r="DJ643" s="655"/>
      <c r="DL643" s="116"/>
    </row>
    <row r="644" spans="2:116" ht="15.75" customHeight="1" x14ac:dyDescent="0.3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874"/>
      <c r="AR644" s="874"/>
      <c r="AS644" s="874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43"/>
      <c r="BN644" s="116"/>
      <c r="BW644" s="1"/>
      <c r="BX644" s="1"/>
      <c r="BY644" s="1"/>
      <c r="BZ644" s="655"/>
      <c r="CB644" s="656"/>
      <c r="CC644" s="1"/>
      <c r="CD644" s="1"/>
      <c r="CE644" s="1"/>
      <c r="CF644" s="1"/>
      <c r="CG644" s="1"/>
      <c r="CH644" s="1"/>
      <c r="CI644" s="1"/>
      <c r="CJ644" s="1"/>
      <c r="CR644" s="305"/>
      <c r="CT644" s="116"/>
      <c r="DB644" s="1"/>
      <c r="DC644" s="1"/>
      <c r="DD644" s="1"/>
      <c r="DE644" s="1"/>
      <c r="DF644" s="1"/>
      <c r="DG644" s="1"/>
      <c r="DH644" s="1"/>
      <c r="DI644" s="1"/>
      <c r="DJ644" s="655"/>
      <c r="DL644" s="116"/>
    </row>
    <row r="645" spans="2:116" ht="15.75" customHeight="1" x14ac:dyDescent="0.3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874"/>
      <c r="AR645" s="874"/>
      <c r="AS645" s="874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43"/>
      <c r="BN645" s="116"/>
      <c r="BW645" s="1"/>
      <c r="BX645" s="1"/>
      <c r="BY645" s="1"/>
      <c r="BZ645" s="655"/>
      <c r="CB645" s="656"/>
      <c r="CC645" s="1"/>
      <c r="CD645" s="1"/>
      <c r="CE645" s="1"/>
      <c r="CF645" s="1"/>
      <c r="CG645" s="1"/>
      <c r="CH645" s="1"/>
      <c r="CI645" s="1"/>
      <c r="CJ645" s="1"/>
      <c r="CR645" s="305"/>
      <c r="CT645" s="116"/>
      <c r="DB645" s="1"/>
      <c r="DC645" s="1"/>
      <c r="DD645" s="1"/>
      <c r="DE645" s="1"/>
      <c r="DF645" s="1"/>
      <c r="DG645" s="1"/>
      <c r="DH645" s="1"/>
      <c r="DI645" s="1"/>
      <c r="DJ645" s="655"/>
      <c r="DL645" s="116"/>
    </row>
    <row r="646" spans="2:116" ht="15.75" customHeight="1" x14ac:dyDescent="0.3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874"/>
      <c r="AR646" s="874"/>
      <c r="AS646" s="874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43"/>
      <c r="BN646" s="116"/>
      <c r="BW646" s="1"/>
      <c r="BX646" s="1"/>
      <c r="BY646" s="1"/>
      <c r="BZ646" s="655"/>
      <c r="CB646" s="656"/>
      <c r="CC646" s="1"/>
      <c r="CD646" s="1"/>
      <c r="CE646" s="1"/>
      <c r="CF646" s="1"/>
      <c r="CG646" s="1"/>
      <c r="CH646" s="1"/>
      <c r="CI646" s="1"/>
      <c r="CJ646" s="1"/>
      <c r="CR646" s="305"/>
      <c r="CT646" s="116"/>
      <c r="DB646" s="1"/>
      <c r="DC646" s="1"/>
      <c r="DD646" s="1"/>
      <c r="DE646" s="1"/>
      <c r="DF646" s="1"/>
      <c r="DG646" s="1"/>
      <c r="DH646" s="1"/>
      <c r="DI646" s="1"/>
      <c r="DJ646" s="655"/>
      <c r="DL646" s="116"/>
    </row>
    <row r="647" spans="2:116" ht="15.75" customHeight="1" x14ac:dyDescent="0.3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874"/>
      <c r="AR647" s="874"/>
      <c r="AS647" s="874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43"/>
      <c r="BN647" s="116"/>
      <c r="BW647" s="1"/>
      <c r="BX647" s="1"/>
      <c r="BY647" s="1"/>
      <c r="BZ647" s="655"/>
      <c r="CB647" s="656"/>
      <c r="CC647" s="1"/>
      <c r="CD647" s="1"/>
      <c r="CE647" s="1"/>
      <c r="CF647" s="1"/>
      <c r="CG647" s="1"/>
      <c r="CH647" s="1"/>
      <c r="CI647" s="1"/>
      <c r="CJ647" s="1"/>
      <c r="CR647" s="305"/>
      <c r="CT647" s="116"/>
      <c r="DB647" s="1"/>
      <c r="DC647" s="1"/>
      <c r="DD647" s="1"/>
      <c r="DE647" s="1"/>
      <c r="DF647" s="1"/>
      <c r="DG647" s="1"/>
      <c r="DH647" s="1"/>
      <c r="DI647" s="1"/>
      <c r="DJ647" s="655"/>
      <c r="DL647" s="116"/>
    </row>
    <row r="648" spans="2:116" ht="15.75" customHeight="1" x14ac:dyDescent="0.3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874"/>
      <c r="AR648" s="874"/>
      <c r="AS648" s="874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43"/>
      <c r="BN648" s="116"/>
      <c r="BW648" s="1"/>
      <c r="BX648" s="1"/>
      <c r="BY648" s="1"/>
      <c r="BZ648" s="655"/>
      <c r="CB648" s="656"/>
      <c r="CC648" s="1"/>
      <c r="CD648" s="1"/>
      <c r="CE648" s="1"/>
      <c r="CF648" s="1"/>
      <c r="CG648" s="1"/>
      <c r="CH648" s="1"/>
      <c r="CI648" s="1"/>
      <c r="CJ648" s="1"/>
      <c r="CR648" s="305"/>
      <c r="CT648" s="116"/>
      <c r="DB648" s="1"/>
      <c r="DC648" s="1"/>
      <c r="DD648" s="1"/>
      <c r="DE648" s="1"/>
      <c r="DF648" s="1"/>
      <c r="DG648" s="1"/>
      <c r="DH648" s="1"/>
      <c r="DI648" s="1"/>
      <c r="DJ648" s="655"/>
      <c r="DL648" s="116"/>
    </row>
    <row r="649" spans="2:116" ht="15.75" customHeight="1" x14ac:dyDescent="0.3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874"/>
      <c r="AR649" s="874"/>
      <c r="AS649" s="874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43"/>
      <c r="BN649" s="116"/>
      <c r="BW649" s="1"/>
      <c r="BX649" s="1"/>
      <c r="BY649" s="1"/>
      <c r="BZ649" s="655"/>
      <c r="CB649" s="656"/>
      <c r="CC649" s="1"/>
      <c r="CD649" s="1"/>
      <c r="CE649" s="1"/>
      <c r="CF649" s="1"/>
      <c r="CG649" s="1"/>
      <c r="CH649" s="1"/>
      <c r="CI649" s="1"/>
      <c r="CJ649" s="1"/>
      <c r="CR649" s="305"/>
      <c r="CT649" s="116"/>
      <c r="DB649" s="1"/>
      <c r="DC649" s="1"/>
      <c r="DD649" s="1"/>
      <c r="DE649" s="1"/>
      <c r="DF649" s="1"/>
      <c r="DG649" s="1"/>
      <c r="DH649" s="1"/>
      <c r="DI649" s="1"/>
      <c r="DJ649" s="655"/>
      <c r="DL649" s="116"/>
    </row>
    <row r="650" spans="2:116" ht="15.75" customHeight="1" x14ac:dyDescent="0.3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874"/>
      <c r="AR650" s="874"/>
      <c r="AS650" s="874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43"/>
      <c r="BN650" s="116"/>
      <c r="BW650" s="1"/>
      <c r="BX650" s="1"/>
      <c r="BY650" s="1"/>
      <c r="BZ650" s="655"/>
      <c r="CB650" s="656"/>
      <c r="CC650" s="1"/>
      <c r="CD650" s="1"/>
      <c r="CE650" s="1"/>
      <c r="CF650" s="1"/>
      <c r="CG650" s="1"/>
      <c r="CH650" s="1"/>
      <c r="CI650" s="1"/>
      <c r="CJ650" s="1"/>
      <c r="CR650" s="305"/>
      <c r="CT650" s="116"/>
      <c r="DB650" s="1"/>
      <c r="DC650" s="1"/>
      <c r="DD650" s="1"/>
      <c r="DE650" s="1"/>
      <c r="DF650" s="1"/>
      <c r="DG650" s="1"/>
      <c r="DH650" s="1"/>
      <c r="DI650" s="1"/>
      <c r="DJ650" s="655"/>
      <c r="DL650" s="116"/>
    </row>
    <row r="651" spans="2:116" ht="15.75" customHeight="1" x14ac:dyDescent="0.3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874"/>
      <c r="AR651" s="874"/>
      <c r="AS651" s="874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43"/>
      <c r="BN651" s="116"/>
      <c r="BW651" s="1"/>
      <c r="BX651" s="1"/>
      <c r="BY651" s="1"/>
      <c r="BZ651" s="655"/>
      <c r="CB651" s="656"/>
      <c r="CC651" s="1"/>
      <c r="CD651" s="1"/>
      <c r="CE651" s="1"/>
      <c r="CF651" s="1"/>
      <c r="CG651" s="1"/>
      <c r="CH651" s="1"/>
      <c r="CI651" s="1"/>
      <c r="CJ651" s="1"/>
      <c r="CR651" s="305"/>
      <c r="CT651" s="116"/>
      <c r="DB651" s="1"/>
      <c r="DC651" s="1"/>
      <c r="DD651" s="1"/>
      <c r="DE651" s="1"/>
      <c r="DF651" s="1"/>
      <c r="DG651" s="1"/>
      <c r="DH651" s="1"/>
      <c r="DI651" s="1"/>
      <c r="DJ651" s="655"/>
      <c r="DL651" s="116"/>
    </row>
    <row r="652" spans="2:116" ht="15.75" customHeight="1" x14ac:dyDescent="0.3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874"/>
      <c r="AR652" s="874"/>
      <c r="AS652" s="874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43"/>
      <c r="BN652" s="116"/>
      <c r="BW652" s="1"/>
      <c r="BX652" s="1"/>
      <c r="BY652" s="1"/>
      <c r="BZ652" s="655"/>
      <c r="CB652" s="656"/>
      <c r="CC652" s="1"/>
      <c r="CD652" s="1"/>
      <c r="CE652" s="1"/>
      <c r="CF652" s="1"/>
      <c r="CG652" s="1"/>
      <c r="CH652" s="1"/>
      <c r="CI652" s="1"/>
      <c r="CJ652" s="1"/>
      <c r="CR652" s="305"/>
      <c r="CT652" s="116"/>
      <c r="DB652" s="1"/>
      <c r="DC652" s="1"/>
      <c r="DD652" s="1"/>
      <c r="DE652" s="1"/>
      <c r="DF652" s="1"/>
      <c r="DG652" s="1"/>
      <c r="DH652" s="1"/>
      <c r="DI652" s="1"/>
      <c r="DJ652" s="655"/>
      <c r="DL652" s="116"/>
    </row>
    <row r="653" spans="2:116" ht="15.75" customHeight="1" x14ac:dyDescent="0.3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874"/>
      <c r="AR653" s="874"/>
      <c r="AS653" s="874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43"/>
      <c r="BN653" s="116"/>
      <c r="BW653" s="1"/>
      <c r="BX653" s="1"/>
      <c r="BY653" s="1"/>
      <c r="BZ653" s="655"/>
      <c r="CB653" s="656"/>
      <c r="CC653" s="1"/>
      <c r="CD653" s="1"/>
      <c r="CE653" s="1"/>
      <c r="CF653" s="1"/>
      <c r="CG653" s="1"/>
      <c r="CH653" s="1"/>
      <c r="CI653" s="1"/>
      <c r="CJ653" s="1"/>
      <c r="CR653" s="305"/>
      <c r="CT653" s="116"/>
      <c r="DB653" s="1"/>
      <c r="DC653" s="1"/>
      <c r="DD653" s="1"/>
      <c r="DE653" s="1"/>
      <c r="DF653" s="1"/>
      <c r="DG653" s="1"/>
      <c r="DH653" s="1"/>
      <c r="DI653" s="1"/>
      <c r="DJ653" s="655"/>
      <c r="DL653" s="116"/>
    </row>
    <row r="654" spans="2:116" ht="15.75" customHeight="1" x14ac:dyDescent="0.3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874"/>
      <c r="AR654" s="874"/>
      <c r="AS654" s="874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43"/>
      <c r="BN654" s="116"/>
      <c r="BW654" s="1"/>
      <c r="BX654" s="1"/>
      <c r="BY654" s="1"/>
      <c r="BZ654" s="655"/>
      <c r="CB654" s="656"/>
      <c r="CC654" s="1"/>
      <c r="CD654" s="1"/>
      <c r="CE654" s="1"/>
      <c r="CF654" s="1"/>
      <c r="CG654" s="1"/>
      <c r="CH654" s="1"/>
      <c r="CI654" s="1"/>
      <c r="CJ654" s="1"/>
      <c r="CR654" s="305"/>
      <c r="CT654" s="116"/>
      <c r="DB654" s="1"/>
      <c r="DC654" s="1"/>
      <c r="DD654" s="1"/>
      <c r="DE654" s="1"/>
      <c r="DF654" s="1"/>
      <c r="DG654" s="1"/>
      <c r="DH654" s="1"/>
      <c r="DI654" s="1"/>
      <c r="DJ654" s="655"/>
      <c r="DL654" s="116"/>
    </row>
    <row r="655" spans="2:116" ht="15.75" customHeight="1" x14ac:dyDescent="0.3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874"/>
      <c r="AR655" s="874"/>
      <c r="AS655" s="874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43"/>
      <c r="BN655" s="116"/>
      <c r="BW655" s="1"/>
      <c r="BX655" s="1"/>
      <c r="BY655" s="1"/>
      <c r="BZ655" s="655"/>
      <c r="CB655" s="656"/>
      <c r="CC655" s="1"/>
      <c r="CD655" s="1"/>
      <c r="CE655" s="1"/>
      <c r="CF655" s="1"/>
      <c r="CG655" s="1"/>
      <c r="CH655" s="1"/>
      <c r="CI655" s="1"/>
      <c r="CJ655" s="1"/>
      <c r="CR655" s="305"/>
      <c r="CT655" s="116"/>
      <c r="DB655" s="1"/>
      <c r="DC655" s="1"/>
      <c r="DD655" s="1"/>
      <c r="DE655" s="1"/>
      <c r="DF655" s="1"/>
      <c r="DG655" s="1"/>
      <c r="DH655" s="1"/>
      <c r="DI655" s="1"/>
      <c r="DJ655" s="655"/>
      <c r="DL655" s="116"/>
    </row>
    <row r="656" spans="2:116" ht="15.75" customHeight="1" x14ac:dyDescent="0.3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874"/>
      <c r="AR656" s="874"/>
      <c r="AS656" s="874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43"/>
      <c r="BN656" s="116"/>
      <c r="BW656" s="1"/>
      <c r="BX656" s="1"/>
      <c r="BY656" s="1"/>
      <c r="BZ656" s="655"/>
      <c r="CB656" s="656"/>
      <c r="CC656" s="1"/>
      <c r="CD656" s="1"/>
      <c r="CE656" s="1"/>
      <c r="CF656" s="1"/>
      <c r="CG656" s="1"/>
      <c r="CH656" s="1"/>
      <c r="CI656" s="1"/>
      <c r="CJ656" s="1"/>
      <c r="CR656" s="305"/>
      <c r="CT656" s="116"/>
      <c r="DB656" s="1"/>
      <c r="DC656" s="1"/>
      <c r="DD656" s="1"/>
      <c r="DE656" s="1"/>
      <c r="DF656" s="1"/>
      <c r="DG656" s="1"/>
      <c r="DH656" s="1"/>
      <c r="DI656" s="1"/>
      <c r="DJ656" s="655"/>
      <c r="DL656" s="116"/>
    </row>
    <row r="657" spans="2:116" ht="15.75" customHeight="1" x14ac:dyDescent="0.3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874"/>
      <c r="AR657" s="874"/>
      <c r="AS657" s="874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43"/>
      <c r="BN657" s="116"/>
      <c r="BW657" s="1"/>
      <c r="BX657" s="1"/>
      <c r="BY657" s="1"/>
      <c r="BZ657" s="655"/>
      <c r="CB657" s="656"/>
      <c r="CC657" s="1"/>
      <c r="CD657" s="1"/>
      <c r="CE657" s="1"/>
      <c r="CF657" s="1"/>
      <c r="CG657" s="1"/>
      <c r="CH657" s="1"/>
      <c r="CI657" s="1"/>
      <c r="CJ657" s="1"/>
      <c r="CR657" s="305"/>
      <c r="CT657" s="116"/>
      <c r="DB657" s="1"/>
      <c r="DC657" s="1"/>
      <c r="DD657" s="1"/>
      <c r="DE657" s="1"/>
      <c r="DF657" s="1"/>
      <c r="DG657" s="1"/>
      <c r="DH657" s="1"/>
      <c r="DI657" s="1"/>
      <c r="DJ657" s="655"/>
      <c r="DL657" s="116"/>
    </row>
    <row r="658" spans="2:116" ht="15.75" customHeight="1" x14ac:dyDescent="0.3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874"/>
      <c r="AR658" s="874"/>
      <c r="AS658" s="874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43"/>
      <c r="BN658" s="116"/>
      <c r="BW658" s="1"/>
      <c r="BX658" s="1"/>
      <c r="BY658" s="1"/>
      <c r="BZ658" s="655"/>
      <c r="CB658" s="656"/>
      <c r="CC658" s="1"/>
      <c r="CD658" s="1"/>
      <c r="CE658" s="1"/>
      <c r="CF658" s="1"/>
      <c r="CG658" s="1"/>
      <c r="CH658" s="1"/>
      <c r="CI658" s="1"/>
      <c r="CJ658" s="1"/>
      <c r="CR658" s="305"/>
      <c r="CT658" s="116"/>
      <c r="DB658" s="1"/>
      <c r="DC658" s="1"/>
      <c r="DD658" s="1"/>
      <c r="DE658" s="1"/>
      <c r="DF658" s="1"/>
      <c r="DG658" s="1"/>
      <c r="DH658" s="1"/>
      <c r="DI658" s="1"/>
      <c r="DJ658" s="655"/>
      <c r="DL658" s="116"/>
    </row>
    <row r="659" spans="2:116" ht="15.75" customHeight="1" x14ac:dyDescent="0.3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874"/>
      <c r="AR659" s="874"/>
      <c r="AS659" s="874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43"/>
      <c r="BN659" s="116"/>
      <c r="BW659" s="1"/>
      <c r="BX659" s="1"/>
      <c r="BY659" s="1"/>
      <c r="BZ659" s="655"/>
      <c r="CB659" s="656"/>
      <c r="CC659" s="1"/>
      <c r="CD659" s="1"/>
      <c r="CE659" s="1"/>
      <c r="CF659" s="1"/>
      <c r="CG659" s="1"/>
      <c r="CH659" s="1"/>
      <c r="CI659" s="1"/>
      <c r="CJ659" s="1"/>
      <c r="CR659" s="305"/>
      <c r="CT659" s="116"/>
      <c r="DB659" s="1"/>
      <c r="DC659" s="1"/>
      <c r="DD659" s="1"/>
      <c r="DE659" s="1"/>
      <c r="DF659" s="1"/>
      <c r="DG659" s="1"/>
      <c r="DH659" s="1"/>
      <c r="DI659" s="1"/>
      <c r="DJ659" s="655"/>
      <c r="DL659" s="116"/>
    </row>
    <row r="660" spans="2:116" ht="15.75" customHeight="1" x14ac:dyDescent="0.3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874"/>
      <c r="AR660" s="874"/>
      <c r="AS660" s="874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43"/>
      <c r="BN660" s="116"/>
      <c r="BW660" s="1"/>
      <c r="BX660" s="1"/>
      <c r="BY660" s="1"/>
      <c r="BZ660" s="655"/>
      <c r="CB660" s="656"/>
      <c r="CC660" s="1"/>
      <c r="CD660" s="1"/>
      <c r="CE660" s="1"/>
      <c r="CF660" s="1"/>
      <c r="CG660" s="1"/>
      <c r="CH660" s="1"/>
      <c r="CI660" s="1"/>
      <c r="CJ660" s="1"/>
      <c r="CR660" s="305"/>
      <c r="CT660" s="116"/>
      <c r="DB660" s="1"/>
      <c r="DC660" s="1"/>
      <c r="DD660" s="1"/>
      <c r="DE660" s="1"/>
      <c r="DF660" s="1"/>
      <c r="DG660" s="1"/>
      <c r="DH660" s="1"/>
      <c r="DI660" s="1"/>
      <c r="DJ660" s="655"/>
      <c r="DL660" s="116"/>
    </row>
    <row r="661" spans="2:116" ht="15.75" customHeight="1" x14ac:dyDescent="0.3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874"/>
      <c r="AR661" s="874"/>
      <c r="AS661" s="874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43"/>
      <c r="BN661" s="116"/>
      <c r="BW661" s="1"/>
      <c r="BX661" s="1"/>
      <c r="BY661" s="1"/>
      <c r="BZ661" s="655"/>
      <c r="CB661" s="656"/>
      <c r="CC661" s="1"/>
      <c r="CD661" s="1"/>
      <c r="CE661" s="1"/>
      <c r="CF661" s="1"/>
      <c r="CG661" s="1"/>
      <c r="CH661" s="1"/>
      <c r="CI661" s="1"/>
      <c r="CJ661" s="1"/>
      <c r="CR661" s="305"/>
      <c r="CT661" s="116"/>
      <c r="DB661" s="1"/>
      <c r="DC661" s="1"/>
      <c r="DD661" s="1"/>
      <c r="DE661" s="1"/>
      <c r="DF661" s="1"/>
      <c r="DG661" s="1"/>
      <c r="DH661" s="1"/>
      <c r="DI661" s="1"/>
      <c r="DJ661" s="655"/>
      <c r="DL661" s="116"/>
    </row>
    <row r="662" spans="2:116" ht="15.75" customHeight="1" x14ac:dyDescent="0.3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874"/>
      <c r="AR662" s="874"/>
      <c r="AS662" s="874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43"/>
      <c r="BN662" s="116"/>
      <c r="BW662" s="1"/>
      <c r="BX662" s="1"/>
      <c r="BY662" s="1"/>
      <c r="BZ662" s="655"/>
      <c r="CB662" s="656"/>
      <c r="CC662" s="1"/>
      <c r="CD662" s="1"/>
      <c r="CE662" s="1"/>
      <c r="CF662" s="1"/>
      <c r="CG662" s="1"/>
      <c r="CH662" s="1"/>
      <c r="CI662" s="1"/>
      <c r="CJ662" s="1"/>
      <c r="CR662" s="305"/>
      <c r="CT662" s="116"/>
      <c r="DB662" s="1"/>
      <c r="DC662" s="1"/>
      <c r="DD662" s="1"/>
      <c r="DE662" s="1"/>
      <c r="DF662" s="1"/>
      <c r="DG662" s="1"/>
      <c r="DH662" s="1"/>
      <c r="DI662" s="1"/>
      <c r="DJ662" s="655"/>
      <c r="DL662" s="116"/>
    </row>
    <row r="663" spans="2:116" ht="15.75" customHeight="1" x14ac:dyDescent="0.3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874"/>
      <c r="AR663" s="874"/>
      <c r="AS663" s="874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43"/>
      <c r="BN663" s="116"/>
      <c r="BW663" s="1"/>
      <c r="BX663" s="1"/>
      <c r="BY663" s="1"/>
      <c r="BZ663" s="655"/>
      <c r="CB663" s="656"/>
      <c r="CC663" s="1"/>
      <c r="CD663" s="1"/>
      <c r="CE663" s="1"/>
      <c r="CF663" s="1"/>
      <c r="CG663" s="1"/>
      <c r="CH663" s="1"/>
      <c r="CI663" s="1"/>
      <c r="CJ663" s="1"/>
      <c r="CR663" s="305"/>
      <c r="CT663" s="116"/>
      <c r="DB663" s="1"/>
      <c r="DC663" s="1"/>
      <c r="DD663" s="1"/>
      <c r="DE663" s="1"/>
      <c r="DF663" s="1"/>
      <c r="DG663" s="1"/>
      <c r="DH663" s="1"/>
      <c r="DI663" s="1"/>
      <c r="DJ663" s="655"/>
      <c r="DL663" s="116"/>
    </row>
    <row r="664" spans="2:116" ht="15.75" customHeight="1" x14ac:dyDescent="0.3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874"/>
      <c r="AR664" s="874"/>
      <c r="AS664" s="874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43"/>
      <c r="BN664" s="116"/>
      <c r="BW664" s="1"/>
      <c r="BX664" s="1"/>
      <c r="BY664" s="1"/>
      <c r="BZ664" s="655"/>
      <c r="CB664" s="656"/>
      <c r="CC664" s="1"/>
      <c r="CD664" s="1"/>
      <c r="CE664" s="1"/>
      <c r="CF664" s="1"/>
      <c r="CG664" s="1"/>
      <c r="CH664" s="1"/>
      <c r="CI664" s="1"/>
      <c r="CJ664" s="1"/>
      <c r="CR664" s="305"/>
      <c r="CT664" s="116"/>
      <c r="DB664" s="1"/>
      <c r="DC664" s="1"/>
      <c r="DD664" s="1"/>
      <c r="DE664" s="1"/>
      <c r="DF664" s="1"/>
      <c r="DG664" s="1"/>
      <c r="DH664" s="1"/>
      <c r="DI664" s="1"/>
      <c r="DJ664" s="655"/>
      <c r="DL664" s="116"/>
    </row>
    <row r="665" spans="2:116" ht="15.75" customHeight="1" x14ac:dyDescent="0.3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874"/>
      <c r="AR665" s="874"/>
      <c r="AS665" s="874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43"/>
      <c r="BN665" s="116"/>
      <c r="BW665" s="1"/>
      <c r="BX665" s="1"/>
      <c r="BY665" s="1"/>
      <c r="BZ665" s="655"/>
      <c r="CB665" s="656"/>
      <c r="CC665" s="1"/>
      <c r="CD665" s="1"/>
      <c r="CE665" s="1"/>
      <c r="CF665" s="1"/>
      <c r="CG665" s="1"/>
      <c r="CH665" s="1"/>
      <c r="CI665" s="1"/>
      <c r="CJ665" s="1"/>
      <c r="CR665" s="305"/>
      <c r="CT665" s="116"/>
      <c r="DB665" s="1"/>
      <c r="DC665" s="1"/>
      <c r="DD665" s="1"/>
      <c r="DE665" s="1"/>
      <c r="DF665" s="1"/>
      <c r="DG665" s="1"/>
      <c r="DH665" s="1"/>
      <c r="DI665" s="1"/>
      <c r="DJ665" s="655"/>
      <c r="DL665" s="116"/>
    </row>
    <row r="666" spans="2:116" ht="15.75" customHeight="1" x14ac:dyDescent="0.3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874"/>
      <c r="AR666" s="874"/>
      <c r="AS666" s="874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43"/>
      <c r="BN666" s="116"/>
      <c r="BW666" s="1"/>
      <c r="BX666" s="1"/>
      <c r="BY666" s="1"/>
      <c r="BZ666" s="655"/>
      <c r="CB666" s="656"/>
      <c r="CC666" s="1"/>
      <c r="CD666" s="1"/>
      <c r="CE666" s="1"/>
      <c r="CF666" s="1"/>
      <c r="CG666" s="1"/>
      <c r="CH666" s="1"/>
      <c r="CI666" s="1"/>
      <c r="CJ666" s="1"/>
      <c r="CR666" s="305"/>
      <c r="CT666" s="116"/>
      <c r="DB666" s="1"/>
      <c r="DC666" s="1"/>
      <c r="DD666" s="1"/>
      <c r="DE666" s="1"/>
      <c r="DF666" s="1"/>
      <c r="DG666" s="1"/>
      <c r="DH666" s="1"/>
      <c r="DI666" s="1"/>
      <c r="DJ666" s="655"/>
      <c r="DL666" s="116"/>
    </row>
    <row r="667" spans="2:116" ht="15.75" customHeight="1" x14ac:dyDescent="0.3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874"/>
      <c r="AR667" s="874"/>
      <c r="AS667" s="874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43"/>
      <c r="BN667" s="116"/>
      <c r="BW667" s="1"/>
      <c r="BX667" s="1"/>
      <c r="BY667" s="1"/>
      <c r="BZ667" s="655"/>
      <c r="CB667" s="656"/>
      <c r="CC667" s="1"/>
      <c r="CD667" s="1"/>
      <c r="CE667" s="1"/>
      <c r="CF667" s="1"/>
      <c r="CG667" s="1"/>
      <c r="CH667" s="1"/>
      <c r="CI667" s="1"/>
      <c r="CJ667" s="1"/>
      <c r="CR667" s="305"/>
      <c r="CT667" s="116"/>
      <c r="DB667" s="1"/>
      <c r="DC667" s="1"/>
      <c r="DD667" s="1"/>
      <c r="DE667" s="1"/>
      <c r="DF667" s="1"/>
      <c r="DG667" s="1"/>
      <c r="DH667" s="1"/>
      <c r="DI667" s="1"/>
      <c r="DJ667" s="655"/>
      <c r="DL667" s="116"/>
    </row>
    <row r="668" spans="2:116" ht="15.75" customHeight="1" x14ac:dyDescent="0.3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874"/>
      <c r="AR668" s="874"/>
      <c r="AS668" s="874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43"/>
      <c r="BN668" s="116"/>
      <c r="BW668" s="1"/>
      <c r="BX668" s="1"/>
      <c r="BY668" s="1"/>
      <c r="BZ668" s="655"/>
      <c r="CB668" s="656"/>
      <c r="CC668" s="1"/>
      <c r="CD668" s="1"/>
      <c r="CE668" s="1"/>
      <c r="CF668" s="1"/>
      <c r="CG668" s="1"/>
      <c r="CH668" s="1"/>
      <c r="CI668" s="1"/>
      <c r="CJ668" s="1"/>
      <c r="CR668" s="305"/>
      <c r="CT668" s="116"/>
      <c r="DB668" s="1"/>
      <c r="DC668" s="1"/>
      <c r="DD668" s="1"/>
      <c r="DE668" s="1"/>
      <c r="DF668" s="1"/>
      <c r="DG668" s="1"/>
      <c r="DH668" s="1"/>
      <c r="DI668" s="1"/>
      <c r="DJ668" s="655"/>
      <c r="DL668" s="116"/>
    </row>
    <row r="669" spans="2:116" ht="15.75" customHeight="1" x14ac:dyDescent="0.3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874"/>
      <c r="AR669" s="874"/>
      <c r="AS669" s="874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43"/>
      <c r="BN669" s="116"/>
      <c r="BW669" s="1"/>
      <c r="BX669" s="1"/>
      <c r="BY669" s="1"/>
      <c r="BZ669" s="655"/>
      <c r="CB669" s="656"/>
      <c r="CC669" s="1"/>
      <c r="CD669" s="1"/>
      <c r="CE669" s="1"/>
      <c r="CF669" s="1"/>
      <c r="CG669" s="1"/>
      <c r="CH669" s="1"/>
      <c r="CI669" s="1"/>
      <c r="CJ669" s="1"/>
      <c r="CR669" s="305"/>
      <c r="CT669" s="116"/>
      <c r="DB669" s="1"/>
      <c r="DC669" s="1"/>
      <c r="DD669" s="1"/>
      <c r="DE669" s="1"/>
      <c r="DF669" s="1"/>
      <c r="DG669" s="1"/>
      <c r="DH669" s="1"/>
      <c r="DI669" s="1"/>
      <c r="DJ669" s="655"/>
      <c r="DL669" s="116"/>
    </row>
    <row r="670" spans="2:116" ht="15.75" customHeight="1" x14ac:dyDescent="0.3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874"/>
      <c r="AR670" s="874"/>
      <c r="AS670" s="874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43"/>
      <c r="BN670" s="116"/>
      <c r="BW670" s="1"/>
      <c r="BX670" s="1"/>
      <c r="BY670" s="1"/>
      <c r="BZ670" s="655"/>
      <c r="CB670" s="656"/>
      <c r="CC670" s="1"/>
      <c r="CD670" s="1"/>
      <c r="CE670" s="1"/>
      <c r="CF670" s="1"/>
      <c r="CG670" s="1"/>
      <c r="CH670" s="1"/>
      <c r="CI670" s="1"/>
      <c r="CJ670" s="1"/>
      <c r="CR670" s="305"/>
      <c r="CT670" s="116"/>
      <c r="DB670" s="1"/>
      <c r="DC670" s="1"/>
      <c r="DD670" s="1"/>
      <c r="DE670" s="1"/>
      <c r="DF670" s="1"/>
      <c r="DG670" s="1"/>
      <c r="DH670" s="1"/>
      <c r="DI670" s="1"/>
      <c r="DJ670" s="655"/>
      <c r="DL670" s="116"/>
    </row>
    <row r="671" spans="2:116" ht="15.75" customHeight="1" x14ac:dyDescent="0.3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874"/>
      <c r="AR671" s="874"/>
      <c r="AS671" s="874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43"/>
      <c r="BN671" s="116"/>
      <c r="BW671" s="1"/>
      <c r="BX671" s="1"/>
      <c r="BY671" s="1"/>
      <c r="BZ671" s="655"/>
      <c r="CB671" s="656"/>
      <c r="CC671" s="1"/>
      <c r="CD671" s="1"/>
      <c r="CE671" s="1"/>
      <c r="CF671" s="1"/>
      <c r="CG671" s="1"/>
      <c r="CH671" s="1"/>
      <c r="CI671" s="1"/>
      <c r="CJ671" s="1"/>
      <c r="CR671" s="305"/>
      <c r="CT671" s="116"/>
      <c r="DB671" s="1"/>
      <c r="DC671" s="1"/>
      <c r="DD671" s="1"/>
      <c r="DE671" s="1"/>
      <c r="DF671" s="1"/>
      <c r="DG671" s="1"/>
      <c r="DH671" s="1"/>
      <c r="DI671" s="1"/>
      <c r="DJ671" s="655"/>
      <c r="DL671" s="116"/>
    </row>
    <row r="672" spans="2:116" ht="15.75" customHeight="1" x14ac:dyDescent="0.3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874"/>
      <c r="AR672" s="874"/>
      <c r="AS672" s="874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43"/>
      <c r="BN672" s="116"/>
      <c r="BW672" s="1"/>
      <c r="BX672" s="1"/>
      <c r="BY672" s="1"/>
      <c r="BZ672" s="655"/>
      <c r="CB672" s="656"/>
      <c r="CC672" s="1"/>
      <c r="CD672" s="1"/>
      <c r="CE672" s="1"/>
      <c r="CF672" s="1"/>
      <c r="CG672" s="1"/>
      <c r="CH672" s="1"/>
      <c r="CI672" s="1"/>
      <c r="CJ672" s="1"/>
      <c r="CR672" s="305"/>
      <c r="CT672" s="116"/>
      <c r="DB672" s="1"/>
      <c r="DC672" s="1"/>
      <c r="DD672" s="1"/>
      <c r="DE672" s="1"/>
      <c r="DF672" s="1"/>
      <c r="DG672" s="1"/>
      <c r="DH672" s="1"/>
      <c r="DI672" s="1"/>
      <c r="DJ672" s="655"/>
      <c r="DL672" s="116"/>
    </row>
    <row r="673" spans="2:116" ht="15.75" customHeight="1" x14ac:dyDescent="0.3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874"/>
      <c r="AR673" s="874"/>
      <c r="AS673" s="874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43"/>
      <c r="BN673" s="116"/>
      <c r="BW673" s="1"/>
      <c r="BX673" s="1"/>
      <c r="BY673" s="1"/>
      <c r="BZ673" s="655"/>
      <c r="CB673" s="656"/>
      <c r="CC673" s="1"/>
      <c r="CD673" s="1"/>
      <c r="CE673" s="1"/>
      <c r="CF673" s="1"/>
      <c r="CG673" s="1"/>
      <c r="CH673" s="1"/>
      <c r="CI673" s="1"/>
      <c r="CJ673" s="1"/>
      <c r="CR673" s="305"/>
      <c r="CT673" s="116"/>
      <c r="DB673" s="1"/>
      <c r="DC673" s="1"/>
      <c r="DD673" s="1"/>
      <c r="DE673" s="1"/>
      <c r="DF673" s="1"/>
      <c r="DG673" s="1"/>
      <c r="DH673" s="1"/>
      <c r="DI673" s="1"/>
      <c r="DJ673" s="655"/>
      <c r="DL673" s="116"/>
    </row>
    <row r="674" spans="2:116" ht="15.75" customHeight="1" x14ac:dyDescent="0.3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874"/>
      <c r="AR674" s="874"/>
      <c r="AS674" s="874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43"/>
      <c r="BN674" s="116"/>
      <c r="BW674" s="1"/>
      <c r="BX674" s="1"/>
      <c r="BY674" s="1"/>
      <c r="BZ674" s="655"/>
      <c r="CB674" s="656"/>
      <c r="CC674" s="1"/>
      <c r="CD674" s="1"/>
      <c r="CE674" s="1"/>
      <c r="CF674" s="1"/>
      <c r="CG674" s="1"/>
      <c r="CH674" s="1"/>
      <c r="CI674" s="1"/>
      <c r="CJ674" s="1"/>
      <c r="CR674" s="305"/>
      <c r="CT674" s="116"/>
      <c r="DB674" s="1"/>
      <c r="DC674" s="1"/>
      <c r="DD674" s="1"/>
      <c r="DE674" s="1"/>
      <c r="DF674" s="1"/>
      <c r="DG674" s="1"/>
      <c r="DH674" s="1"/>
      <c r="DI674" s="1"/>
      <c r="DJ674" s="655"/>
      <c r="DL674" s="116"/>
    </row>
    <row r="675" spans="2:116" ht="15.75" customHeight="1" x14ac:dyDescent="0.3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874"/>
      <c r="AR675" s="874"/>
      <c r="AS675" s="874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43"/>
      <c r="BN675" s="116"/>
      <c r="BW675" s="1"/>
      <c r="BX675" s="1"/>
      <c r="BY675" s="1"/>
      <c r="BZ675" s="655"/>
      <c r="CB675" s="656"/>
      <c r="CC675" s="1"/>
      <c r="CD675" s="1"/>
      <c r="CE675" s="1"/>
      <c r="CF675" s="1"/>
      <c r="CG675" s="1"/>
      <c r="CH675" s="1"/>
      <c r="CI675" s="1"/>
      <c r="CJ675" s="1"/>
      <c r="CR675" s="305"/>
      <c r="CT675" s="116"/>
      <c r="DB675" s="1"/>
      <c r="DC675" s="1"/>
      <c r="DD675" s="1"/>
      <c r="DE675" s="1"/>
      <c r="DF675" s="1"/>
      <c r="DG675" s="1"/>
      <c r="DH675" s="1"/>
      <c r="DI675" s="1"/>
      <c r="DJ675" s="655"/>
      <c r="DL675" s="116"/>
    </row>
    <row r="676" spans="2:116" ht="15.75" customHeight="1" x14ac:dyDescent="0.3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874"/>
      <c r="AR676" s="874"/>
      <c r="AS676" s="874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43"/>
      <c r="BN676" s="116"/>
      <c r="BW676" s="1"/>
      <c r="BX676" s="1"/>
      <c r="BY676" s="1"/>
      <c r="BZ676" s="655"/>
      <c r="CB676" s="656"/>
      <c r="CC676" s="1"/>
      <c r="CD676" s="1"/>
      <c r="CE676" s="1"/>
      <c r="CF676" s="1"/>
      <c r="CG676" s="1"/>
      <c r="CH676" s="1"/>
      <c r="CI676" s="1"/>
      <c r="CJ676" s="1"/>
      <c r="CR676" s="305"/>
      <c r="CT676" s="116"/>
      <c r="DB676" s="1"/>
      <c r="DC676" s="1"/>
      <c r="DD676" s="1"/>
      <c r="DE676" s="1"/>
      <c r="DF676" s="1"/>
      <c r="DG676" s="1"/>
      <c r="DH676" s="1"/>
      <c r="DI676" s="1"/>
      <c r="DJ676" s="655"/>
      <c r="DL676" s="116"/>
    </row>
    <row r="677" spans="2:116" ht="15.75" customHeight="1" x14ac:dyDescent="0.3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874"/>
      <c r="AR677" s="874"/>
      <c r="AS677" s="874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43"/>
      <c r="BN677" s="116"/>
      <c r="BW677" s="1"/>
      <c r="BX677" s="1"/>
      <c r="BY677" s="1"/>
      <c r="BZ677" s="655"/>
      <c r="CB677" s="656"/>
      <c r="CC677" s="1"/>
      <c r="CD677" s="1"/>
      <c r="CE677" s="1"/>
      <c r="CF677" s="1"/>
      <c r="CG677" s="1"/>
      <c r="CH677" s="1"/>
      <c r="CI677" s="1"/>
      <c r="CJ677" s="1"/>
      <c r="CR677" s="305"/>
      <c r="CT677" s="116"/>
      <c r="DB677" s="1"/>
      <c r="DC677" s="1"/>
      <c r="DD677" s="1"/>
      <c r="DE677" s="1"/>
      <c r="DF677" s="1"/>
      <c r="DG677" s="1"/>
      <c r="DH677" s="1"/>
      <c r="DI677" s="1"/>
      <c r="DJ677" s="655"/>
      <c r="DL677" s="116"/>
    </row>
    <row r="678" spans="2:116" ht="15.75" customHeight="1" x14ac:dyDescent="0.3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874"/>
      <c r="AR678" s="874"/>
      <c r="AS678" s="874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43"/>
      <c r="BN678" s="116"/>
      <c r="BW678" s="1"/>
      <c r="BX678" s="1"/>
      <c r="BY678" s="1"/>
      <c r="BZ678" s="655"/>
      <c r="CB678" s="656"/>
      <c r="CC678" s="1"/>
      <c r="CD678" s="1"/>
      <c r="CE678" s="1"/>
      <c r="CF678" s="1"/>
      <c r="CG678" s="1"/>
      <c r="CH678" s="1"/>
      <c r="CI678" s="1"/>
      <c r="CJ678" s="1"/>
      <c r="CR678" s="305"/>
      <c r="CT678" s="116"/>
      <c r="DB678" s="1"/>
      <c r="DC678" s="1"/>
      <c r="DD678" s="1"/>
      <c r="DE678" s="1"/>
      <c r="DF678" s="1"/>
      <c r="DG678" s="1"/>
      <c r="DH678" s="1"/>
      <c r="DI678" s="1"/>
      <c r="DJ678" s="655"/>
      <c r="DL678" s="116"/>
    </row>
    <row r="679" spans="2:116" ht="15.75" customHeight="1" x14ac:dyDescent="0.3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874"/>
      <c r="AR679" s="874"/>
      <c r="AS679" s="874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43"/>
      <c r="BN679" s="116"/>
      <c r="BW679" s="1"/>
      <c r="BX679" s="1"/>
      <c r="BY679" s="1"/>
      <c r="BZ679" s="655"/>
      <c r="CB679" s="656"/>
      <c r="CC679" s="1"/>
      <c r="CD679" s="1"/>
      <c r="CE679" s="1"/>
      <c r="CF679" s="1"/>
      <c r="CG679" s="1"/>
      <c r="CH679" s="1"/>
      <c r="CI679" s="1"/>
      <c r="CJ679" s="1"/>
      <c r="CR679" s="305"/>
      <c r="CT679" s="116"/>
      <c r="DB679" s="1"/>
      <c r="DC679" s="1"/>
      <c r="DD679" s="1"/>
      <c r="DE679" s="1"/>
      <c r="DF679" s="1"/>
      <c r="DG679" s="1"/>
      <c r="DH679" s="1"/>
      <c r="DI679" s="1"/>
      <c r="DJ679" s="655"/>
      <c r="DL679" s="116"/>
    </row>
    <row r="680" spans="2:116" ht="15.75" customHeight="1" x14ac:dyDescent="0.3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874"/>
      <c r="AR680" s="874"/>
      <c r="AS680" s="874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43"/>
      <c r="BN680" s="116"/>
      <c r="BW680" s="1"/>
      <c r="BX680" s="1"/>
      <c r="BY680" s="1"/>
      <c r="BZ680" s="655"/>
      <c r="CB680" s="656"/>
      <c r="CC680" s="1"/>
      <c r="CD680" s="1"/>
      <c r="CE680" s="1"/>
      <c r="CF680" s="1"/>
      <c r="CG680" s="1"/>
      <c r="CH680" s="1"/>
      <c r="CI680" s="1"/>
      <c r="CJ680" s="1"/>
      <c r="CR680" s="305"/>
      <c r="CT680" s="116"/>
      <c r="DB680" s="1"/>
      <c r="DC680" s="1"/>
      <c r="DD680" s="1"/>
      <c r="DE680" s="1"/>
      <c r="DF680" s="1"/>
      <c r="DG680" s="1"/>
      <c r="DH680" s="1"/>
      <c r="DI680" s="1"/>
      <c r="DJ680" s="655"/>
      <c r="DL680" s="116"/>
    </row>
    <row r="681" spans="2:116" ht="15.75" customHeight="1" x14ac:dyDescent="0.3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874"/>
      <c r="AR681" s="874"/>
      <c r="AS681" s="874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43"/>
      <c r="BN681" s="116"/>
      <c r="BW681" s="1"/>
      <c r="BX681" s="1"/>
      <c r="BY681" s="1"/>
      <c r="BZ681" s="655"/>
      <c r="CB681" s="656"/>
      <c r="CC681" s="1"/>
      <c r="CD681" s="1"/>
      <c r="CE681" s="1"/>
      <c r="CF681" s="1"/>
      <c r="CG681" s="1"/>
      <c r="CH681" s="1"/>
      <c r="CI681" s="1"/>
      <c r="CJ681" s="1"/>
      <c r="CR681" s="305"/>
      <c r="CT681" s="116"/>
      <c r="DB681" s="1"/>
      <c r="DC681" s="1"/>
      <c r="DD681" s="1"/>
      <c r="DE681" s="1"/>
      <c r="DF681" s="1"/>
      <c r="DG681" s="1"/>
      <c r="DH681" s="1"/>
      <c r="DI681" s="1"/>
      <c r="DJ681" s="655"/>
      <c r="DL681" s="116"/>
    </row>
    <row r="682" spans="2:116" ht="15.75" customHeight="1" x14ac:dyDescent="0.3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874"/>
      <c r="AR682" s="874"/>
      <c r="AS682" s="874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43"/>
      <c r="BN682" s="116"/>
      <c r="BW682" s="1"/>
      <c r="BX682" s="1"/>
      <c r="BY682" s="1"/>
      <c r="BZ682" s="655"/>
      <c r="CB682" s="656"/>
      <c r="CC682" s="1"/>
      <c r="CD682" s="1"/>
      <c r="CE682" s="1"/>
      <c r="CF682" s="1"/>
      <c r="CG682" s="1"/>
      <c r="CH682" s="1"/>
      <c r="CI682" s="1"/>
      <c r="CJ682" s="1"/>
      <c r="CR682" s="305"/>
      <c r="CT682" s="116"/>
      <c r="DB682" s="1"/>
      <c r="DC682" s="1"/>
      <c r="DD682" s="1"/>
      <c r="DE682" s="1"/>
      <c r="DF682" s="1"/>
      <c r="DG682" s="1"/>
      <c r="DH682" s="1"/>
      <c r="DI682" s="1"/>
      <c r="DJ682" s="655"/>
      <c r="DL682" s="116"/>
    </row>
    <row r="683" spans="2:116" ht="15.75" customHeight="1" x14ac:dyDescent="0.3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874"/>
      <c r="AR683" s="874"/>
      <c r="AS683" s="874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43"/>
      <c r="BN683" s="116"/>
      <c r="BW683" s="1"/>
      <c r="BX683" s="1"/>
      <c r="BY683" s="1"/>
      <c r="BZ683" s="655"/>
      <c r="CB683" s="656"/>
      <c r="CC683" s="1"/>
      <c r="CD683" s="1"/>
      <c r="CE683" s="1"/>
      <c r="CF683" s="1"/>
      <c r="CG683" s="1"/>
      <c r="CH683" s="1"/>
      <c r="CI683" s="1"/>
      <c r="CJ683" s="1"/>
      <c r="CR683" s="305"/>
      <c r="CT683" s="116"/>
      <c r="DB683" s="1"/>
      <c r="DC683" s="1"/>
      <c r="DD683" s="1"/>
      <c r="DE683" s="1"/>
      <c r="DF683" s="1"/>
      <c r="DG683" s="1"/>
      <c r="DH683" s="1"/>
      <c r="DI683" s="1"/>
      <c r="DJ683" s="655"/>
      <c r="DL683" s="116"/>
    </row>
    <row r="684" spans="2:116" ht="15.75" customHeight="1" x14ac:dyDescent="0.3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874"/>
      <c r="AR684" s="874"/>
      <c r="AS684" s="874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43"/>
      <c r="BN684" s="116"/>
      <c r="BW684" s="1"/>
      <c r="BX684" s="1"/>
      <c r="BY684" s="1"/>
      <c r="BZ684" s="655"/>
      <c r="CB684" s="656"/>
      <c r="CC684" s="1"/>
      <c r="CD684" s="1"/>
      <c r="CE684" s="1"/>
      <c r="CF684" s="1"/>
      <c r="CG684" s="1"/>
      <c r="CH684" s="1"/>
      <c r="CI684" s="1"/>
      <c r="CJ684" s="1"/>
      <c r="CR684" s="305"/>
      <c r="CT684" s="116"/>
      <c r="DB684" s="1"/>
      <c r="DC684" s="1"/>
      <c r="DD684" s="1"/>
      <c r="DE684" s="1"/>
      <c r="DF684" s="1"/>
      <c r="DG684" s="1"/>
      <c r="DH684" s="1"/>
      <c r="DI684" s="1"/>
      <c r="DJ684" s="655"/>
      <c r="DL684" s="116"/>
    </row>
    <row r="685" spans="2:116" ht="15.75" customHeight="1" x14ac:dyDescent="0.3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874"/>
      <c r="AR685" s="874"/>
      <c r="AS685" s="874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43"/>
      <c r="BN685" s="116"/>
      <c r="BW685" s="1"/>
      <c r="BX685" s="1"/>
      <c r="BY685" s="1"/>
      <c r="BZ685" s="655"/>
      <c r="CB685" s="656"/>
      <c r="CC685" s="1"/>
      <c r="CD685" s="1"/>
      <c r="CE685" s="1"/>
      <c r="CF685" s="1"/>
      <c r="CG685" s="1"/>
      <c r="CH685" s="1"/>
      <c r="CI685" s="1"/>
      <c r="CJ685" s="1"/>
      <c r="CR685" s="305"/>
      <c r="CT685" s="116"/>
      <c r="DB685" s="1"/>
      <c r="DC685" s="1"/>
      <c r="DD685" s="1"/>
      <c r="DE685" s="1"/>
      <c r="DF685" s="1"/>
      <c r="DG685" s="1"/>
      <c r="DH685" s="1"/>
      <c r="DI685" s="1"/>
      <c r="DJ685" s="655"/>
      <c r="DL685" s="116"/>
    </row>
    <row r="686" spans="2:116" ht="15.75" customHeight="1" x14ac:dyDescent="0.3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874"/>
      <c r="AR686" s="874"/>
      <c r="AS686" s="874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43"/>
      <c r="BN686" s="116"/>
      <c r="BW686" s="1"/>
      <c r="BX686" s="1"/>
      <c r="BY686" s="1"/>
      <c r="BZ686" s="655"/>
      <c r="CB686" s="656"/>
      <c r="CC686" s="1"/>
      <c r="CD686" s="1"/>
      <c r="CE686" s="1"/>
      <c r="CF686" s="1"/>
      <c r="CG686" s="1"/>
      <c r="CH686" s="1"/>
      <c r="CI686" s="1"/>
      <c r="CJ686" s="1"/>
      <c r="CR686" s="305"/>
      <c r="CT686" s="116"/>
      <c r="DB686" s="1"/>
      <c r="DC686" s="1"/>
      <c r="DD686" s="1"/>
      <c r="DE686" s="1"/>
      <c r="DF686" s="1"/>
      <c r="DG686" s="1"/>
      <c r="DH686" s="1"/>
      <c r="DI686" s="1"/>
      <c r="DJ686" s="655"/>
      <c r="DL686" s="116"/>
    </row>
    <row r="687" spans="2:116" ht="15.75" customHeight="1" x14ac:dyDescent="0.3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874"/>
      <c r="AR687" s="874"/>
      <c r="AS687" s="874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43"/>
      <c r="BN687" s="116"/>
      <c r="BW687" s="1"/>
      <c r="BX687" s="1"/>
      <c r="BY687" s="1"/>
      <c r="BZ687" s="655"/>
      <c r="CB687" s="656"/>
      <c r="CC687" s="1"/>
      <c r="CD687" s="1"/>
      <c r="CE687" s="1"/>
      <c r="CF687" s="1"/>
      <c r="CG687" s="1"/>
      <c r="CH687" s="1"/>
      <c r="CI687" s="1"/>
      <c r="CJ687" s="1"/>
      <c r="CR687" s="305"/>
      <c r="CT687" s="116"/>
      <c r="DB687" s="1"/>
      <c r="DC687" s="1"/>
      <c r="DD687" s="1"/>
      <c r="DE687" s="1"/>
      <c r="DF687" s="1"/>
      <c r="DG687" s="1"/>
      <c r="DH687" s="1"/>
      <c r="DI687" s="1"/>
      <c r="DJ687" s="655"/>
      <c r="DL687" s="116"/>
    </row>
    <row r="688" spans="2:116" ht="15.75" customHeight="1" x14ac:dyDescent="0.3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874"/>
      <c r="AR688" s="874"/>
      <c r="AS688" s="874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43"/>
      <c r="BN688" s="116"/>
      <c r="BW688" s="1"/>
      <c r="BX688" s="1"/>
      <c r="BY688" s="1"/>
      <c r="BZ688" s="655"/>
      <c r="CB688" s="656"/>
      <c r="CC688" s="1"/>
      <c r="CD688" s="1"/>
      <c r="CE688" s="1"/>
      <c r="CF688" s="1"/>
      <c r="CG688" s="1"/>
      <c r="CH688" s="1"/>
      <c r="CI688" s="1"/>
      <c r="CJ688" s="1"/>
      <c r="CR688" s="305"/>
      <c r="CT688" s="116"/>
      <c r="DB688" s="1"/>
      <c r="DC688" s="1"/>
      <c r="DD688" s="1"/>
      <c r="DE688" s="1"/>
      <c r="DF688" s="1"/>
      <c r="DG688" s="1"/>
      <c r="DH688" s="1"/>
      <c r="DI688" s="1"/>
      <c r="DJ688" s="655"/>
      <c r="DL688" s="116"/>
    </row>
    <row r="689" spans="2:116" ht="15.75" customHeight="1" x14ac:dyDescent="0.3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874"/>
      <c r="AR689" s="874"/>
      <c r="AS689" s="874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43"/>
      <c r="BN689" s="116"/>
      <c r="BW689" s="1"/>
      <c r="BX689" s="1"/>
      <c r="BY689" s="1"/>
      <c r="BZ689" s="655"/>
      <c r="CB689" s="656"/>
      <c r="CC689" s="1"/>
      <c r="CD689" s="1"/>
      <c r="CE689" s="1"/>
      <c r="CF689" s="1"/>
      <c r="CG689" s="1"/>
      <c r="CH689" s="1"/>
      <c r="CI689" s="1"/>
      <c r="CJ689" s="1"/>
      <c r="CR689" s="305"/>
      <c r="CT689" s="116"/>
      <c r="DB689" s="1"/>
      <c r="DC689" s="1"/>
      <c r="DD689" s="1"/>
      <c r="DE689" s="1"/>
      <c r="DF689" s="1"/>
      <c r="DG689" s="1"/>
      <c r="DH689" s="1"/>
      <c r="DI689" s="1"/>
      <c r="DJ689" s="655"/>
      <c r="DL689" s="116"/>
    </row>
    <row r="690" spans="2:116" ht="15.75" customHeight="1" x14ac:dyDescent="0.3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874"/>
      <c r="AR690" s="874"/>
      <c r="AS690" s="874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43"/>
      <c r="BN690" s="116"/>
      <c r="BW690" s="1"/>
      <c r="BX690" s="1"/>
      <c r="BY690" s="1"/>
      <c r="BZ690" s="655"/>
      <c r="CB690" s="656"/>
      <c r="CC690" s="1"/>
      <c r="CD690" s="1"/>
      <c r="CE690" s="1"/>
      <c r="CF690" s="1"/>
      <c r="CG690" s="1"/>
      <c r="CH690" s="1"/>
      <c r="CI690" s="1"/>
      <c r="CJ690" s="1"/>
      <c r="CR690" s="305"/>
      <c r="CT690" s="116"/>
      <c r="DB690" s="1"/>
      <c r="DC690" s="1"/>
      <c r="DD690" s="1"/>
      <c r="DE690" s="1"/>
      <c r="DF690" s="1"/>
      <c r="DG690" s="1"/>
      <c r="DH690" s="1"/>
      <c r="DI690" s="1"/>
      <c r="DJ690" s="655"/>
      <c r="DL690" s="116"/>
    </row>
    <row r="691" spans="2:116" ht="15.75" customHeight="1" x14ac:dyDescent="0.3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874"/>
      <c r="AR691" s="874"/>
      <c r="AS691" s="874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43"/>
      <c r="BN691" s="116"/>
      <c r="BW691" s="1"/>
      <c r="BX691" s="1"/>
      <c r="BY691" s="1"/>
      <c r="BZ691" s="655"/>
      <c r="CB691" s="656"/>
      <c r="CC691" s="1"/>
      <c r="CD691" s="1"/>
      <c r="CE691" s="1"/>
      <c r="CF691" s="1"/>
      <c r="CG691" s="1"/>
      <c r="CH691" s="1"/>
      <c r="CI691" s="1"/>
      <c r="CJ691" s="1"/>
      <c r="CR691" s="305"/>
      <c r="CT691" s="116"/>
      <c r="DB691" s="1"/>
      <c r="DC691" s="1"/>
      <c r="DD691" s="1"/>
      <c r="DE691" s="1"/>
      <c r="DF691" s="1"/>
      <c r="DG691" s="1"/>
      <c r="DH691" s="1"/>
      <c r="DI691" s="1"/>
      <c r="DJ691" s="655"/>
      <c r="DL691" s="116"/>
    </row>
    <row r="692" spans="2:116" ht="15.75" customHeight="1" x14ac:dyDescent="0.3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874"/>
      <c r="AR692" s="874"/>
      <c r="AS692" s="874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43"/>
      <c r="BN692" s="116"/>
      <c r="BW692" s="1"/>
      <c r="BX692" s="1"/>
      <c r="BY692" s="1"/>
      <c r="BZ692" s="655"/>
      <c r="CB692" s="656"/>
      <c r="CC692" s="1"/>
      <c r="CD692" s="1"/>
      <c r="CE692" s="1"/>
      <c r="CF692" s="1"/>
      <c r="CG692" s="1"/>
      <c r="CH692" s="1"/>
      <c r="CI692" s="1"/>
      <c r="CJ692" s="1"/>
      <c r="CR692" s="305"/>
      <c r="CT692" s="116"/>
      <c r="DB692" s="1"/>
      <c r="DC692" s="1"/>
      <c r="DD692" s="1"/>
      <c r="DE692" s="1"/>
      <c r="DF692" s="1"/>
      <c r="DG692" s="1"/>
      <c r="DH692" s="1"/>
      <c r="DI692" s="1"/>
      <c r="DJ692" s="655"/>
      <c r="DL692" s="116"/>
    </row>
    <row r="693" spans="2:116" ht="15.75" customHeight="1" x14ac:dyDescent="0.3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874"/>
      <c r="AR693" s="874"/>
      <c r="AS693" s="874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43"/>
      <c r="BN693" s="116"/>
      <c r="BW693" s="1"/>
      <c r="BX693" s="1"/>
      <c r="BY693" s="1"/>
      <c r="BZ693" s="655"/>
      <c r="CB693" s="656"/>
      <c r="CC693" s="1"/>
      <c r="CD693" s="1"/>
      <c r="CE693" s="1"/>
      <c r="CF693" s="1"/>
      <c r="CG693" s="1"/>
      <c r="CH693" s="1"/>
      <c r="CI693" s="1"/>
      <c r="CJ693" s="1"/>
      <c r="CR693" s="305"/>
      <c r="CT693" s="116"/>
      <c r="DB693" s="1"/>
      <c r="DC693" s="1"/>
      <c r="DD693" s="1"/>
      <c r="DE693" s="1"/>
      <c r="DF693" s="1"/>
      <c r="DG693" s="1"/>
      <c r="DH693" s="1"/>
      <c r="DI693" s="1"/>
      <c r="DJ693" s="655"/>
      <c r="DL693" s="116"/>
    </row>
    <row r="694" spans="2:116" ht="15.75" customHeight="1" x14ac:dyDescent="0.3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874"/>
      <c r="AR694" s="874"/>
      <c r="AS694" s="874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43"/>
      <c r="BN694" s="116"/>
      <c r="BW694" s="1"/>
      <c r="BX694" s="1"/>
      <c r="BY694" s="1"/>
      <c r="BZ694" s="655"/>
      <c r="CB694" s="656"/>
      <c r="CC694" s="1"/>
      <c r="CD694" s="1"/>
      <c r="CE694" s="1"/>
      <c r="CF694" s="1"/>
      <c r="CG694" s="1"/>
      <c r="CH694" s="1"/>
      <c r="CI694" s="1"/>
      <c r="CJ694" s="1"/>
      <c r="CR694" s="305"/>
      <c r="CT694" s="116"/>
      <c r="DB694" s="1"/>
      <c r="DC694" s="1"/>
      <c r="DD694" s="1"/>
      <c r="DE694" s="1"/>
      <c r="DF694" s="1"/>
      <c r="DG694" s="1"/>
      <c r="DH694" s="1"/>
      <c r="DI694" s="1"/>
      <c r="DJ694" s="655"/>
      <c r="DL694" s="116"/>
    </row>
    <row r="695" spans="2:116" ht="15.75" customHeight="1" x14ac:dyDescent="0.3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874"/>
      <c r="AR695" s="874"/>
      <c r="AS695" s="874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43"/>
      <c r="BN695" s="116"/>
      <c r="BW695" s="1"/>
      <c r="BX695" s="1"/>
      <c r="BY695" s="1"/>
      <c r="BZ695" s="655"/>
      <c r="CB695" s="656"/>
      <c r="CC695" s="1"/>
      <c r="CD695" s="1"/>
      <c r="CE695" s="1"/>
      <c r="CF695" s="1"/>
      <c r="CG695" s="1"/>
      <c r="CH695" s="1"/>
      <c r="CI695" s="1"/>
      <c r="CJ695" s="1"/>
      <c r="CR695" s="305"/>
      <c r="CT695" s="116"/>
      <c r="DB695" s="1"/>
      <c r="DC695" s="1"/>
      <c r="DD695" s="1"/>
      <c r="DE695" s="1"/>
      <c r="DF695" s="1"/>
      <c r="DG695" s="1"/>
      <c r="DH695" s="1"/>
      <c r="DI695" s="1"/>
      <c r="DJ695" s="655"/>
      <c r="DL695" s="116"/>
    </row>
    <row r="696" spans="2:116" ht="15.75" customHeight="1" x14ac:dyDescent="0.3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874"/>
      <c r="AR696" s="874"/>
      <c r="AS696" s="874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43"/>
      <c r="BN696" s="116"/>
      <c r="BW696" s="1"/>
      <c r="BX696" s="1"/>
      <c r="BY696" s="1"/>
      <c r="BZ696" s="655"/>
      <c r="CB696" s="656"/>
      <c r="CC696" s="1"/>
      <c r="CD696" s="1"/>
      <c r="CE696" s="1"/>
      <c r="CF696" s="1"/>
      <c r="CG696" s="1"/>
      <c r="CH696" s="1"/>
      <c r="CI696" s="1"/>
      <c r="CJ696" s="1"/>
      <c r="CR696" s="305"/>
      <c r="CT696" s="116"/>
      <c r="DB696" s="1"/>
      <c r="DC696" s="1"/>
      <c r="DD696" s="1"/>
      <c r="DE696" s="1"/>
      <c r="DF696" s="1"/>
      <c r="DG696" s="1"/>
      <c r="DH696" s="1"/>
      <c r="DI696" s="1"/>
      <c r="DJ696" s="655"/>
      <c r="DL696" s="116"/>
    </row>
    <row r="697" spans="2:116" ht="15.75" customHeight="1" x14ac:dyDescent="0.3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874"/>
      <c r="AR697" s="874"/>
      <c r="AS697" s="874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43"/>
      <c r="BN697" s="116"/>
      <c r="BW697" s="1"/>
      <c r="BX697" s="1"/>
      <c r="BY697" s="1"/>
      <c r="BZ697" s="655"/>
      <c r="CB697" s="656"/>
      <c r="CC697" s="1"/>
      <c r="CD697" s="1"/>
      <c r="CE697" s="1"/>
      <c r="CF697" s="1"/>
      <c r="CG697" s="1"/>
      <c r="CH697" s="1"/>
      <c r="CI697" s="1"/>
      <c r="CJ697" s="1"/>
      <c r="CR697" s="305"/>
      <c r="CT697" s="116"/>
      <c r="DB697" s="1"/>
      <c r="DC697" s="1"/>
      <c r="DD697" s="1"/>
      <c r="DE697" s="1"/>
      <c r="DF697" s="1"/>
      <c r="DG697" s="1"/>
      <c r="DH697" s="1"/>
      <c r="DI697" s="1"/>
      <c r="DJ697" s="655"/>
      <c r="DL697" s="116"/>
    </row>
    <row r="698" spans="2:116" ht="15.75" customHeight="1" x14ac:dyDescent="0.3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874"/>
      <c r="AR698" s="874"/>
      <c r="AS698" s="874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43"/>
      <c r="BN698" s="116"/>
      <c r="BW698" s="1"/>
      <c r="BX698" s="1"/>
      <c r="BY698" s="1"/>
      <c r="BZ698" s="655"/>
      <c r="CB698" s="656"/>
      <c r="CC698" s="1"/>
      <c r="CD698" s="1"/>
      <c r="CE698" s="1"/>
      <c r="CF698" s="1"/>
      <c r="CG698" s="1"/>
      <c r="CH698" s="1"/>
      <c r="CI698" s="1"/>
      <c r="CJ698" s="1"/>
      <c r="CR698" s="305"/>
      <c r="CT698" s="116"/>
      <c r="DB698" s="1"/>
      <c r="DC698" s="1"/>
      <c r="DD698" s="1"/>
      <c r="DE698" s="1"/>
      <c r="DF698" s="1"/>
      <c r="DG698" s="1"/>
      <c r="DH698" s="1"/>
      <c r="DI698" s="1"/>
      <c r="DJ698" s="655"/>
      <c r="DL698" s="116"/>
    </row>
    <row r="699" spans="2:116" ht="15.75" customHeight="1" x14ac:dyDescent="0.3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874"/>
      <c r="AR699" s="874"/>
      <c r="AS699" s="874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43"/>
      <c r="BN699" s="116"/>
      <c r="BW699" s="1"/>
      <c r="BX699" s="1"/>
      <c r="BY699" s="1"/>
      <c r="BZ699" s="655"/>
      <c r="CB699" s="656"/>
      <c r="CC699" s="1"/>
      <c r="CD699" s="1"/>
      <c r="CE699" s="1"/>
      <c r="CF699" s="1"/>
      <c r="CG699" s="1"/>
      <c r="CH699" s="1"/>
      <c r="CI699" s="1"/>
      <c r="CJ699" s="1"/>
      <c r="CR699" s="305"/>
      <c r="CT699" s="116"/>
      <c r="DB699" s="1"/>
      <c r="DC699" s="1"/>
      <c r="DD699" s="1"/>
      <c r="DE699" s="1"/>
      <c r="DF699" s="1"/>
      <c r="DG699" s="1"/>
      <c r="DH699" s="1"/>
      <c r="DI699" s="1"/>
      <c r="DJ699" s="655"/>
      <c r="DL699" s="116"/>
    </row>
    <row r="700" spans="2:116" ht="15.75" customHeight="1" x14ac:dyDescent="0.3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874"/>
      <c r="AR700" s="874"/>
      <c r="AS700" s="874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43"/>
      <c r="BN700" s="116"/>
      <c r="BW700" s="1"/>
      <c r="BX700" s="1"/>
      <c r="BY700" s="1"/>
      <c r="BZ700" s="655"/>
      <c r="CB700" s="656"/>
      <c r="CC700" s="1"/>
      <c r="CD700" s="1"/>
      <c r="CE700" s="1"/>
      <c r="CF700" s="1"/>
      <c r="CG700" s="1"/>
      <c r="CH700" s="1"/>
      <c r="CI700" s="1"/>
      <c r="CJ700" s="1"/>
      <c r="CR700" s="305"/>
      <c r="CT700" s="116"/>
      <c r="DB700" s="1"/>
      <c r="DC700" s="1"/>
      <c r="DD700" s="1"/>
      <c r="DE700" s="1"/>
      <c r="DF700" s="1"/>
      <c r="DG700" s="1"/>
      <c r="DH700" s="1"/>
      <c r="DI700" s="1"/>
      <c r="DJ700" s="655"/>
      <c r="DL700" s="116"/>
    </row>
    <row r="701" spans="2:116" ht="15.75" customHeight="1" x14ac:dyDescent="0.3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874"/>
      <c r="AR701" s="874"/>
      <c r="AS701" s="874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43"/>
      <c r="BN701" s="116"/>
      <c r="BW701" s="1"/>
      <c r="BX701" s="1"/>
      <c r="BY701" s="1"/>
      <c r="BZ701" s="655"/>
      <c r="CB701" s="656"/>
      <c r="CC701" s="1"/>
      <c r="CD701" s="1"/>
      <c r="CE701" s="1"/>
      <c r="CF701" s="1"/>
      <c r="CG701" s="1"/>
      <c r="CH701" s="1"/>
      <c r="CI701" s="1"/>
      <c r="CJ701" s="1"/>
      <c r="CR701" s="305"/>
      <c r="CT701" s="116"/>
      <c r="DB701" s="1"/>
      <c r="DC701" s="1"/>
      <c r="DD701" s="1"/>
      <c r="DE701" s="1"/>
      <c r="DF701" s="1"/>
      <c r="DG701" s="1"/>
      <c r="DH701" s="1"/>
      <c r="DI701" s="1"/>
      <c r="DJ701" s="655"/>
      <c r="DL701" s="116"/>
    </row>
    <row r="702" spans="2:116" ht="15.75" customHeight="1" x14ac:dyDescent="0.3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874"/>
      <c r="AR702" s="874"/>
      <c r="AS702" s="874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43"/>
      <c r="BN702" s="116"/>
      <c r="BW702" s="1"/>
      <c r="BX702" s="1"/>
      <c r="BY702" s="1"/>
      <c r="BZ702" s="655"/>
      <c r="CB702" s="656"/>
      <c r="CC702" s="1"/>
      <c r="CD702" s="1"/>
      <c r="CE702" s="1"/>
      <c r="CF702" s="1"/>
      <c r="CG702" s="1"/>
      <c r="CH702" s="1"/>
      <c r="CI702" s="1"/>
      <c r="CJ702" s="1"/>
      <c r="CR702" s="305"/>
      <c r="CT702" s="116"/>
      <c r="DB702" s="1"/>
      <c r="DC702" s="1"/>
      <c r="DD702" s="1"/>
      <c r="DE702" s="1"/>
      <c r="DF702" s="1"/>
      <c r="DG702" s="1"/>
      <c r="DH702" s="1"/>
      <c r="DI702" s="1"/>
      <c r="DJ702" s="655"/>
      <c r="DL702" s="116"/>
    </row>
    <row r="703" spans="2:116" ht="15.75" customHeight="1" x14ac:dyDescent="0.3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874"/>
      <c r="AR703" s="874"/>
      <c r="AS703" s="874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43"/>
      <c r="BN703" s="116"/>
      <c r="BW703" s="1"/>
      <c r="BX703" s="1"/>
      <c r="BY703" s="1"/>
      <c r="BZ703" s="655"/>
      <c r="CB703" s="656"/>
      <c r="CC703" s="1"/>
      <c r="CD703" s="1"/>
      <c r="CE703" s="1"/>
      <c r="CF703" s="1"/>
      <c r="CG703" s="1"/>
      <c r="CH703" s="1"/>
      <c r="CI703" s="1"/>
      <c r="CJ703" s="1"/>
      <c r="CR703" s="305"/>
      <c r="CT703" s="116"/>
      <c r="DB703" s="1"/>
      <c r="DC703" s="1"/>
      <c r="DD703" s="1"/>
      <c r="DE703" s="1"/>
      <c r="DF703" s="1"/>
      <c r="DG703" s="1"/>
      <c r="DH703" s="1"/>
      <c r="DI703" s="1"/>
      <c r="DJ703" s="655"/>
      <c r="DL703" s="116"/>
    </row>
    <row r="704" spans="2:116" ht="15.75" customHeight="1" x14ac:dyDescent="0.3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874"/>
      <c r="AR704" s="874"/>
      <c r="AS704" s="874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43"/>
      <c r="BN704" s="116"/>
      <c r="BW704" s="1"/>
      <c r="BX704" s="1"/>
      <c r="BY704" s="1"/>
      <c r="BZ704" s="655"/>
      <c r="CB704" s="656"/>
      <c r="CC704" s="1"/>
      <c r="CD704" s="1"/>
      <c r="CE704" s="1"/>
      <c r="CF704" s="1"/>
      <c r="CG704" s="1"/>
      <c r="CH704" s="1"/>
      <c r="CI704" s="1"/>
      <c r="CJ704" s="1"/>
      <c r="CR704" s="305"/>
      <c r="CT704" s="116"/>
      <c r="DB704" s="1"/>
      <c r="DC704" s="1"/>
      <c r="DD704" s="1"/>
      <c r="DE704" s="1"/>
      <c r="DF704" s="1"/>
      <c r="DG704" s="1"/>
      <c r="DH704" s="1"/>
      <c r="DI704" s="1"/>
      <c r="DJ704" s="655"/>
      <c r="DL704" s="116"/>
    </row>
    <row r="705" spans="2:116" ht="15.75" customHeight="1" x14ac:dyDescent="0.3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874"/>
      <c r="AR705" s="874"/>
      <c r="AS705" s="874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43"/>
      <c r="BN705" s="116"/>
      <c r="BW705" s="1"/>
      <c r="BX705" s="1"/>
      <c r="BY705" s="1"/>
      <c r="BZ705" s="655"/>
      <c r="CB705" s="656"/>
      <c r="CC705" s="1"/>
      <c r="CD705" s="1"/>
      <c r="CE705" s="1"/>
      <c r="CF705" s="1"/>
      <c r="CG705" s="1"/>
      <c r="CH705" s="1"/>
      <c r="CI705" s="1"/>
      <c r="CJ705" s="1"/>
      <c r="CR705" s="305"/>
      <c r="CT705" s="116"/>
      <c r="DB705" s="1"/>
      <c r="DC705" s="1"/>
      <c r="DD705" s="1"/>
      <c r="DE705" s="1"/>
      <c r="DF705" s="1"/>
      <c r="DG705" s="1"/>
      <c r="DH705" s="1"/>
      <c r="DI705" s="1"/>
      <c r="DJ705" s="655"/>
      <c r="DL705" s="116"/>
    </row>
    <row r="706" spans="2:116" ht="15.75" customHeight="1" x14ac:dyDescent="0.3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874"/>
      <c r="AR706" s="874"/>
      <c r="AS706" s="874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43"/>
      <c r="BN706" s="116"/>
      <c r="BW706" s="1"/>
      <c r="BX706" s="1"/>
      <c r="BY706" s="1"/>
      <c r="BZ706" s="655"/>
      <c r="CB706" s="656"/>
      <c r="CC706" s="1"/>
      <c r="CD706" s="1"/>
      <c r="CE706" s="1"/>
      <c r="CF706" s="1"/>
      <c r="CG706" s="1"/>
      <c r="CH706" s="1"/>
      <c r="CI706" s="1"/>
      <c r="CJ706" s="1"/>
      <c r="CR706" s="305"/>
      <c r="CT706" s="116"/>
      <c r="DB706" s="1"/>
      <c r="DC706" s="1"/>
      <c r="DD706" s="1"/>
      <c r="DE706" s="1"/>
      <c r="DF706" s="1"/>
      <c r="DG706" s="1"/>
      <c r="DH706" s="1"/>
      <c r="DI706" s="1"/>
      <c r="DJ706" s="655"/>
      <c r="DL706" s="116"/>
    </row>
    <row r="707" spans="2:116" ht="15.75" customHeight="1" x14ac:dyDescent="0.3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874"/>
      <c r="AR707" s="874"/>
      <c r="AS707" s="874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43"/>
      <c r="BN707" s="116"/>
      <c r="BW707" s="1"/>
      <c r="BX707" s="1"/>
      <c r="BY707" s="1"/>
      <c r="BZ707" s="655"/>
      <c r="CB707" s="656"/>
      <c r="CC707" s="1"/>
      <c r="CD707" s="1"/>
      <c r="CE707" s="1"/>
      <c r="CF707" s="1"/>
      <c r="CG707" s="1"/>
      <c r="CH707" s="1"/>
      <c r="CI707" s="1"/>
      <c r="CJ707" s="1"/>
      <c r="CR707" s="305"/>
      <c r="CT707" s="116"/>
      <c r="DB707" s="1"/>
      <c r="DC707" s="1"/>
      <c r="DD707" s="1"/>
      <c r="DE707" s="1"/>
      <c r="DF707" s="1"/>
      <c r="DG707" s="1"/>
      <c r="DH707" s="1"/>
      <c r="DI707" s="1"/>
      <c r="DJ707" s="655"/>
      <c r="DL707" s="116"/>
    </row>
    <row r="708" spans="2:116" ht="15.75" customHeight="1" x14ac:dyDescent="0.3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874"/>
      <c r="AR708" s="874"/>
      <c r="AS708" s="874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43"/>
      <c r="BN708" s="116"/>
      <c r="BW708" s="1"/>
      <c r="BX708" s="1"/>
      <c r="BY708" s="1"/>
      <c r="BZ708" s="655"/>
      <c r="CB708" s="656"/>
      <c r="CC708" s="1"/>
      <c r="CD708" s="1"/>
      <c r="CE708" s="1"/>
      <c r="CF708" s="1"/>
      <c r="CG708" s="1"/>
      <c r="CH708" s="1"/>
      <c r="CI708" s="1"/>
      <c r="CJ708" s="1"/>
      <c r="CR708" s="305"/>
      <c r="CT708" s="116"/>
      <c r="DB708" s="1"/>
      <c r="DC708" s="1"/>
      <c r="DD708" s="1"/>
      <c r="DE708" s="1"/>
      <c r="DF708" s="1"/>
      <c r="DG708" s="1"/>
      <c r="DH708" s="1"/>
      <c r="DI708" s="1"/>
      <c r="DJ708" s="655"/>
      <c r="DL708" s="116"/>
    </row>
    <row r="709" spans="2:116" ht="15.75" customHeight="1" x14ac:dyDescent="0.3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874"/>
      <c r="AR709" s="874"/>
      <c r="AS709" s="874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43"/>
      <c r="BN709" s="116"/>
      <c r="BW709" s="1"/>
      <c r="BX709" s="1"/>
      <c r="BY709" s="1"/>
      <c r="BZ709" s="655"/>
      <c r="CB709" s="656"/>
      <c r="CC709" s="1"/>
      <c r="CD709" s="1"/>
      <c r="CE709" s="1"/>
      <c r="CF709" s="1"/>
      <c r="CG709" s="1"/>
      <c r="CH709" s="1"/>
      <c r="CI709" s="1"/>
      <c r="CJ709" s="1"/>
      <c r="CR709" s="305"/>
      <c r="CT709" s="116"/>
      <c r="DB709" s="1"/>
      <c r="DC709" s="1"/>
      <c r="DD709" s="1"/>
      <c r="DE709" s="1"/>
      <c r="DF709" s="1"/>
      <c r="DG709" s="1"/>
      <c r="DH709" s="1"/>
      <c r="DI709" s="1"/>
      <c r="DJ709" s="655"/>
      <c r="DL709" s="116"/>
    </row>
    <row r="710" spans="2:116" ht="15.75" customHeight="1" x14ac:dyDescent="0.3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874"/>
      <c r="AR710" s="874"/>
      <c r="AS710" s="874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43"/>
      <c r="BN710" s="116"/>
      <c r="BW710" s="1"/>
      <c r="BX710" s="1"/>
      <c r="BY710" s="1"/>
      <c r="BZ710" s="655"/>
      <c r="CB710" s="656"/>
      <c r="CC710" s="1"/>
      <c r="CD710" s="1"/>
      <c r="CE710" s="1"/>
      <c r="CF710" s="1"/>
      <c r="CG710" s="1"/>
      <c r="CH710" s="1"/>
      <c r="CI710" s="1"/>
      <c r="CJ710" s="1"/>
      <c r="CR710" s="305"/>
      <c r="CT710" s="116"/>
      <c r="DB710" s="1"/>
      <c r="DC710" s="1"/>
      <c r="DD710" s="1"/>
      <c r="DE710" s="1"/>
      <c r="DF710" s="1"/>
      <c r="DG710" s="1"/>
      <c r="DH710" s="1"/>
      <c r="DI710" s="1"/>
      <c r="DJ710" s="655"/>
      <c r="DL710" s="116"/>
    </row>
    <row r="711" spans="2:116" ht="15.75" customHeight="1" x14ac:dyDescent="0.3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874"/>
      <c r="AR711" s="874"/>
      <c r="AS711" s="874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43"/>
      <c r="BN711" s="116"/>
      <c r="BW711" s="1"/>
      <c r="BX711" s="1"/>
      <c r="BY711" s="1"/>
      <c r="BZ711" s="655"/>
      <c r="CB711" s="656"/>
      <c r="CC711" s="1"/>
      <c r="CD711" s="1"/>
      <c r="CE711" s="1"/>
      <c r="CF711" s="1"/>
      <c r="CG711" s="1"/>
      <c r="CH711" s="1"/>
      <c r="CI711" s="1"/>
      <c r="CJ711" s="1"/>
      <c r="CR711" s="305"/>
      <c r="CT711" s="116"/>
      <c r="DB711" s="1"/>
      <c r="DC711" s="1"/>
      <c r="DD711" s="1"/>
      <c r="DE711" s="1"/>
      <c r="DF711" s="1"/>
      <c r="DG711" s="1"/>
      <c r="DH711" s="1"/>
      <c r="DI711" s="1"/>
      <c r="DJ711" s="655"/>
      <c r="DL711" s="116"/>
    </row>
    <row r="712" spans="2:116" ht="15.75" customHeight="1" x14ac:dyDescent="0.3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874"/>
      <c r="AR712" s="874"/>
      <c r="AS712" s="874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43"/>
      <c r="BN712" s="116"/>
      <c r="BW712" s="1"/>
      <c r="BX712" s="1"/>
      <c r="BY712" s="1"/>
      <c r="BZ712" s="655"/>
      <c r="CB712" s="656"/>
      <c r="CC712" s="1"/>
      <c r="CD712" s="1"/>
      <c r="CE712" s="1"/>
      <c r="CF712" s="1"/>
      <c r="CG712" s="1"/>
      <c r="CH712" s="1"/>
      <c r="CI712" s="1"/>
      <c r="CJ712" s="1"/>
      <c r="CR712" s="305"/>
      <c r="CT712" s="116"/>
      <c r="DB712" s="1"/>
      <c r="DC712" s="1"/>
      <c r="DD712" s="1"/>
      <c r="DE712" s="1"/>
      <c r="DF712" s="1"/>
      <c r="DG712" s="1"/>
      <c r="DH712" s="1"/>
      <c r="DI712" s="1"/>
      <c r="DJ712" s="655"/>
      <c r="DL712" s="116"/>
    </row>
    <row r="713" spans="2:116" ht="15.75" customHeight="1" x14ac:dyDescent="0.3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874"/>
      <c r="AR713" s="874"/>
      <c r="AS713" s="874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43"/>
      <c r="BN713" s="116"/>
      <c r="BW713" s="1"/>
      <c r="BX713" s="1"/>
      <c r="BY713" s="1"/>
      <c r="BZ713" s="655"/>
      <c r="CB713" s="656"/>
      <c r="CC713" s="1"/>
      <c r="CD713" s="1"/>
      <c r="CE713" s="1"/>
      <c r="CF713" s="1"/>
      <c r="CG713" s="1"/>
      <c r="CH713" s="1"/>
      <c r="CI713" s="1"/>
      <c r="CJ713" s="1"/>
      <c r="CR713" s="305"/>
      <c r="CT713" s="116"/>
      <c r="DB713" s="1"/>
      <c r="DC713" s="1"/>
      <c r="DD713" s="1"/>
      <c r="DE713" s="1"/>
      <c r="DF713" s="1"/>
      <c r="DG713" s="1"/>
      <c r="DH713" s="1"/>
      <c r="DI713" s="1"/>
      <c r="DJ713" s="655"/>
      <c r="DL713" s="116"/>
    </row>
    <row r="714" spans="2:116" ht="15.75" customHeight="1" x14ac:dyDescent="0.3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874"/>
      <c r="AR714" s="874"/>
      <c r="AS714" s="874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43"/>
      <c r="BN714" s="116"/>
      <c r="BW714" s="1"/>
      <c r="BX714" s="1"/>
      <c r="BY714" s="1"/>
      <c r="BZ714" s="655"/>
      <c r="CB714" s="656"/>
      <c r="CC714" s="1"/>
      <c r="CD714" s="1"/>
      <c r="CE714" s="1"/>
      <c r="CF714" s="1"/>
      <c r="CG714" s="1"/>
      <c r="CH714" s="1"/>
      <c r="CI714" s="1"/>
      <c r="CJ714" s="1"/>
      <c r="CR714" s="305"/>
      <c r="CT714" s="116"/>
      <c r="DB714" s="1"/>
      <c r="DC714" s="1"/>
      <c r="DD714" s="1"/>
      <c r="DE714" s="1"/>
      <c r="DF714" s="1"/>
      <c r="DG714" s="1"/>
      <c r="DH714" s="1"/>
      <c r="DI714" s="1"/>
      <c r="DJ714" s="655"/>
      <c r="DL714" s="116"/>
    </row>
    <row r="715" spans="2:116" ht="15.75" customHeight="1" x14ac:dyDescent="0.3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874"/>
      <c r="AR715" s="874"/>
      <c r="AS715" s="874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43"/>
      <c r="BN715" s="116"/>
      <c r="BW715" s="1"/>
      <c r="BX715" s="1"/>
      <c r="BY715" s="1"/>
      <c r="BZ715" s="655"/>
      <c r="CB715" s="656"/>
      <c r="CC715" s="1"/>
      <c r="CD715" s="1"/>
      <c r="CE715" s="1"/>
      <c r="CF715" s="1"/>
      <c r="CG715" s="1"/>
      <c r="CH715" s="1"/>
      <c r="CI715" s="1"/>
      <c r="CJ715" s="1"/>
      <c r="CR715" s="305"/>
      <c r="CT715" s="116"/>
      <c r="DB715" s="1"/>
      <c r="DC715" s="1"/>
      <c r="DD715" s="1"/>
      <c r="DE715" s="1"/>
      <c r="DF715" s="1"/>
      <c r="DG715" s="1"/>
      <c r="DH715" s="1"/>
      <c r="DI715" s="1"/>
      <c r="DJ715" s="655"/>
      <c r="DL715" s="116"/>
    </row>
    <row r="716" spans="2:116" ht="15.75" customHeight="1" x14ac:dyDescent="0.3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874"/>
      <c r="AR716" s="874"/>
      <c r="AS716" s="874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43"/>
      <c r="BN716" s="116"/>
      <c r="BW716" s="1"/>
      <c r="BX716" s="1"/>
      <c r="BY716" s="1"/>
      <c r="BZ716" s="655"/>
      <c r="CB716" s="656"/>
      <c r="CC716" s="1"/>
      <c r="CD716" s="1"/>
      <c r="CE716" s="1"/>
      <c r="CF716" s="1"/>
      <c r="CG716" s="1"/>
      <c r="CH716" s="1"/>
      <c r="CI716" s="1"/>
      <c r="CJ716" s="1"/>
      <c r="CR716" s="305"/>
      <c r="CT716" s="116"/>
      <c r="DB716" s="1"/>
      <c r="DC716" s="1"/>
      <c r="DD716" s="1"/>
      <c r="DE716" s="1"/>
      <c r="DF716" s="1"/>
      <c r="DG716" s="1"/>
      <c r="DH716" s="1"/>
      <c r="DI716" s="1"/>
      <c r="DJ716" s="655"/>
      <c r="DL716" s="116"/>
    </row>
    <row r="717" spans="2:116" ht="15.75" customHeight="1" x14ac:dyDescent="0.3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874"/>
      <c r="AR717" s="874"/>
      <c r="AS717" s="874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43"/>
      <c r="BN717" s="116"/>
      <c r="BW717" s="1"/>
      <c r="BX717" s="1"/>
      <c r="BY717" s="1"/>
      <c r="BZ717" s="655"/>
      <c r="CB717" s="656"/>
      <c r="CC717" s="1"/>
      <c r="CD717" s="1"/>
      <c r="CE717" s="1"/>
      <c r="CF717" s="1"/>
      <c r="CG717" s="1"/>
      <c r="CH717" s="1"/>
      <c r="CI717" s="1"/>
      <c r="CJ717" s="1"/>
      <c r="CR717" s="305"/>
      <c r="CT717" s="116"/>
      <c r="DB717" s="1"/>
      <c r="DC717" s="1"/>
      <c r="DD717" s="1"/>
      <c r="DE717" s="1"/>
      <c r="DF717" s="1"/>
      <c r="DG717" s="1"/>
      <c r="DH717" s="1"/>
      <c r="DI717" s="1"/>
      <c r="DJ717" s="655"/>
      <c r="DL717" s="116"/>
    </row>
    <row r="718" spans="2:116" ht="15.75" customHeight="1" x14ac:dyDescent="0.3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874"/>
      <c r="AR718" s="874"/>
      <c r="AS718" s="874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43"/>
      <c r="BN718" s="116"/>
      <c r="BW718" s="1"/>
      <c r="BX718" s="1"/>
      <c r="BY718" s="1"/>
      <c r="BZ718" s="655"/>
      <c r="CB718" s="656"/>
      <c r="CC718" s="1"/>
      <c r="CD718" s="1"/>
      <c r="CE718" s="1"/>
      <c r="CF718" s="1"/>
      <c r="CG718" s="1"/>
      <c r="CH718" s="1"/>
      <c r="CI718" s="1"/>
      <c r="CJ718" s="1"/>
      <c r="CR718" s="305"/>
      <c r="CT718" s="116"/>
      <c r="DB718" s="1"/>
      <c r="DC718" s="1"/>
      <c r="DD718" s="1"/>
      <c r="DE718" s="1"/>
      <c r="DF718" s="1"/>
      <c r="DG718" s="1"/>
      <c r="DH718" s="1"/>
      <c r="DI718" s="1"/>
      <c r="DJ718" s="655"/>
      <c r="DL718" s="116"/>
    </row>
    <row r="719" spans="2:116" ht="15.75" customHeight="1" x14ac:dyDescent="0.3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874"/>
      <c r="AR719" s="874"/>
      <c r="AS719" s="874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43"/>
      <c r="BN719" s="116"/>
      <c r="BW719" s="1"/>
      <c r="BX719" s="1"/>
      <c r="BY719" s="1"/>
      <c r="BZ719" s="655"/>
      <c r="CB719" s="656"/>
      <c r="CC719" s="1"/>
      <c r="CD719" s="1"/>
      <c r="CE719" s="1"/>
      <c r="CF719" s="1"/>
      <c r="CG719" s="1"/>
      <c r="CH719" s="1"/>
      <c r="CI719" s="1"/>
      <c r="CJ719" s="1"/>
      <c r="CR719" s="305"/>
      <c r="CT719" s="116"/>
      <c r="DB719" s="1"/>
      <c r="DC719" s="1"/>
      <c r="DD719" s="1"/>
      <c r="DE719" s="1"/>
      <c r="DF719" s="1"/>
      <c r="DG719" s="1"/>
      <c r="DH719" s="1"/>
      <c r="DI719" s="1"/>
      <c r="DJ719" s="655"/>
      <c r="DL719" s="116"/>
    </row>
    <row r="720" spans="2:116" ht="15.75" customHeight="1" x14ac:dyDescent="0.3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874"/>
      <c r="AR720" s="874"/>
      <c r="AS720" s="874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43"/>
      <c r="BN720" s="116"/>
      <c r="BW720" s="1"/>
      <c r="BX720" s="1"/>
      <c r="BY720" s="1"/>
      <c r="BZ720" s="655"/>
      <c r="CB720" s="656"/>
      <c r="CC720" s="1"/>
      <c r="CD720" s="1"/>
      <c r="CE720" s="1"/>
      <c r="CF720" s="1"/>
      <c r="CG720" s="1"/>
      <c r="CH720" s="1"/>
      <c r="CI720" s="1"/>
      <c r="CJ720" s="1"/>
      <c r="CR720" s="305"/>
      <c r="CT720" s="116"/>
      <c r="DB720" s="1"/>
      <c r="DC720" s="1"/>
      <c r="DD720" s="1"/>
      <c r="DE720" s="1"/>
      <c r="DF720" s="1"/>
      <c r="DG720" s="1"/>
      <c r="DH720" s="1"/>
      <c r="DI720" s="1"/>
      <c r="DJ720" s="655"/>
      <c r="DL720" s="116"/>
    </row>
    <row r="721" spans="2:116" ht="15.75" customHeight="1" x14ac:dyDescent="0.3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874"/>
      <c r="AR721" s="874"/>
      <c r="AS721" s="874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43"/>
      <c r="BN721" s="116"/>
      <c r="BW721" s="1"/>
      <c r="BX721" s="1"/>
      <c r="BY721" s="1"/>
      <c r="BZ721" s="655"/>
      <c r="CB721" s="656"/>
      <c r="CC721" s="1"/>
      <c r="CD721" s="1"/>
      <c r="CE721" s="1"/>
      <c r="CF721" s="1"/>
      <c r="CG721" s="1"/>
      <c r="CH721" s="1"/>
      <c r="CI721" s="1"/>
      <c r="CJ721" s="1"/>
      <c r="CR721" s="305"/>
      <c r="CT721" s="116"/>
      <c r="DB721" s="1"/>
      <c r="DC721" s="1"/>
      <c r="DD721" s="1"/>
      <c r="DE721" s="1"/>
      <c r="DF721" s="1"/>
      <c r="DG721" s="1"/>
      <c r="DH721" s="1"/>
      <c r="DI721" s="1"/>
      <c r="DJ721" s="655"/>
      <c r="DL721" s="116"/>
    </row>
    <row r="722" spans="2:116" ht="15.75" customHeight="1" x14ac:dyDescent="0.3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874"/>
      <c r="AR722" s="874"/>
      <c r="AS722" s="874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43"/>
      <c r="BN722" s="116"/>
      <c r="BW722" s="1"/>
      <c r="BX722" s="1"/>
      <c r="BY722" s="1"/>
      <c r="BZ722" s="655"/>
      <c r="CB722" s="656"/>
      <c r="CC722" s="1"/>
      <c r="CD722" s="1"/>
      <c r="CE722" s="1"/>
      <c r="CF722" s="1"/>
      <c r="CG722" s="1"/>
      <c r="CH722" s="1"/>
      <c r="CI722" s="1"/>
      <c r="CJ722" s="1"/>
      <c r="CR722" s="305"/>
      <c r="CT722" s="116"/>
      <c r="DB722" s="1"/>
      <c r="DC722" s="1"/>
      <c r="DD722" s="1"/>
      <c r="DE722" s="1"/>
      <c r="DF722" s="1"/>
      <c r="DG722" s="1"/>
      <c r="DH722" s="1"/>
      <c r="DI722" s="1"/>
      <c r="DJ722" s="655"/>
      <c r="DL722" s="116"/>
    </row>
    <row r="723" spans="2:116" ht="15.75" customHeight="1" x14ac:dyDescent="0.3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874"/>
      <c r="AR723" s="874"/>
      <c r="AS723" s="874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43"/>
      <c r="BN723" s="116"/>
      <c r="BW723" s="1"/>
      <c r="BX723" s="1"/>
      <c r="BY723" s="1"/>
      <c r="BZ723" s="655"/>
      <c r="CB723" s="656"/>
      <c r="CC723" s="1"/>
      <c r="CD723" s="1"/>
      <c r="CE723" s="1"/>
      <c r="CF723" s="1"/>
      <c r="CG723" s="1"/>
      <c r="CH723" s="1"/>
      <c r="CI723" s="1"/>
      <c r="CJ723" s="1"/>
      <c r="CR723" s="305"/>
      <c r="CT723" s="116"/>
      <c r="DB723" s="1"/>
      <c r="DC723" s="1"/>
      <c r="DD723" s="1"/>
      <c r="DE723" s="1"/>
      <c r="DF723" s="1"/>
      <c r="DG723" s="1"/>
      <c r="DH723" s="1"/>
      <c r="DI723" s="1"/>
      <c r="DJ723" s="655"/>
      <c r="DL723" s="116"/>
    </row>
    <row r="724" spans="2:116" ht="15.75" customHeight="1" x14ac:dyDescent="0.3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874"/>
      <c r="AR724" s="874"/>
      <c r="AS724" s="874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43"/>
      <c r="BN724" s="116"/>
      <c r="BW724" s="1"/>
      <c r="BX724" s="1"/>
      <c r="BY724" s="1"/>
      <c r="BZ724" s="655"/>
      <c r="CB724" s="656"/>
      <c r="CC724" s="1"/>
      <c r="CD724" s="1"/>
      <c r="CE724" s="1"/>
      <c r="CF724" s="1"/>
      <c r="CG724" s="1"/>
      <c r="CH724" s="1"/>
      <c r="CI724" s="1"/>
      <c r="CJ724" s="1"/>
      <c r="CR724" s="305"/>
      <c r="CT724" s="116"/>
      <c r="DB724" s="1"/>
      <c r="DC724" s="1"/>
      <c r="DD724" s="1"/>
      <c r="DE724" s="1"/>
      <c r="DF724" s="1"/>
      <c r="DG724" s="1"/>
      <c r="DH724" s="1"/>
      <c r="DI724" s="1"/>
      <c r="DJ724" s="655"/>
      <c r="DL724" s="116"/>
    </row>
    <row r="725" spans="2:116" ht="15.75" customHeight="1" x14ac:dyDescent="0.3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874"/>
      <c r="AR725" s="874"/>
      <c r="AS725" s="874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43"/>
      <c r="BN725" s="116"/>
      <c r="BW725" s="1"/>
      <c r="BX725" s="1"/>
      <c r="BY725" s="1"/>
      <c r="BZ725" s="655"/>
      <c r="CB725" s="656"/>
      <c r="CC725" s="1"/>
      <c r="CD725" s="1"/>
      <c r="CE725" s="1"/>
      <c r="CF725" s="1"/>
      <c r="CG725" s="1"/>
      <c r="CH725" s="1"/>
      <c r="CI725" s="1"/>
      <c r="CJ725" s="1"/>
      <c r="CR725" s="305"/>
      <c r="CT725" s="116"/>
      <c r="DB725" s="1"/>
      <c r="DC725" s="1"/>
      <c r="DD725" s="1"/>
      <c r="DE725" s="1"/>
      <c r="DF725" s="1"/>
      <c r="DG725" s="1"/>
      <c r="DH725" s="1"/>
      <c r="DI725" s="1"/>
      <c r="DJ725" s="655"/>
      <c r="DL725" s="116"/>
    </row>
    <row r="726" spans="2:116" ht="15.75" customHeight="1" x14ac:dyDescent="0.3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874"/>
      <c r="AR726" s="874"/>
      <c r="AS726" s="874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43"/>
      <c r="BN726" s="116"/>
      <c r="BW726" s="1"/>
      <c r="BX726" s="1"/>
      <c r="BY726" s="1"/>
      <c r="BZ726" s="655"/>
      <c r="CB726" s="656"/>
      <c r="CC726" s="1"/>
      <c r="CD726" s="1"/>
      <c r="CE726" s="1"/>
      <c r="CF726" s="1"/>
      <c r="CG726" s="1"/>
      <c r="CH726" s="1"/>
      <c r="CI726" s="1"/>
      <c r="CJ726" s="1"/>
      <c r="CR726" s="305"/>
      <c r="CT726" s="116"/>
      <c r="DB726" s="1"/>
      <c r="DC726" s="1"/>
      <c r="DD726" s="1"/>
      <c r="DE726" s="1"/>
      <c r="DF726" s="1"/>
      <c r="DG726" s="1"/>
      <c r="DH726" s="1"/>
      <c r="DI726" s="1"/>
      <c r="DJ726" s="655"/>
      <c r="DL726" s="116"/>
    </row>
    <row r="727" spans="2:116" ht="15.75" customHeight="1" x14ac:dyDescent="0.3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874"/>
      <c r="AR727" s="874"/>
      <c r="AS727" s="874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43"/>
      <c r="BN727" s="116"/>
      <c r="BW727" s="1"/>
      <c r="BX727" s="1"/>
      <c r="BY727" s="1"/>
      <c r="BZ727" s="655"/>
      <c r="CB727" s="656"/>
      <c r="CC727" s="1"/>
      <c r="CD727" s="1"/>
      <c r="CE727" s="1"/>
      <c r="CF727" s="1"/>
      <c r="CG727" s="1"/>
      <c r="CH727" s="1"/>
      <c r="CI727" s="1"/>
      <c r="CJ727" s="1"/>
      <c r="CR727" s="305"/>
      <c r="CT727" s="116"/>
      <c r="DB727" s="1"/>
      <c r="DC727" s="1"/>
      <c r="DD727" s="1"/>
      <c r="DE727" s="1"/>
      <c r="DF727" s="1"/>
      <c r="DG727" s="1"/>
      <c r="DH727" s="1"/>
      <c r="DI727" s="1"/>
      <c r="DJ727" s="655"/>
      <c r="DL727" s="116"/>
    </row>
    <row r="728" spans="2:116" ht="15.75" customHeight="1" x14ac:dyDescent="0.3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874"/>
      <c r="AR728" s="874"/>
      <c r="AS728" s="874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43"/>
      <c r="BN728" s="116"/>
      <c r="BW728" s="1"/>
      <c r="BX728" s="1"/>
      <c r="BY728" s="1"/>
      <c r="BZ728" s="655"/>
      <c r="CB728" s="656"/>
      <c r="CC728" s="1"/>
      <c r="CD728" s="1"/>
      <c r="CE728" s="1"/>
      <c r="CF728" s="1"/>
      <c r="CG728" s="1"/>
      <c r="CH728" s="1"/>
      <c r="CI728" s="1"/>
      <c r="CJ728" s="1"/>
      <c r="CR728" s="305"/>
      <c r="CT728" s="116"/>
      <c r="DB728" s="1"/>
      <c r="DC728" s="1"/>
      <c r="DD728" s="1"/>
      <c r="DE728" s="1"/>
      <c r="DF728" s="1"/>
      <c r="DG728" s="1"/>
      <c r="DH728" s="1"/>
      <c r="DI728" s="1"/>
      <c r="DJ728" s="655"/>
      <c r="DL728" s="116"/>
    </row>
    <row r="729" spans="2:116" ht="15.75" customHeight="1" x14ac:dyDescent="0.3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874"/>
      <c r="AR729" s="874"/>
      <c r="AS729" s="874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43"/>
      <c r="BN729" s="116"/>
      <c r="BW729" s="1"/>
      <c r="BX729" s="1"/>
      <c r="BY729" s="1"/>
      <c r="BZ729" s="655"/>
      <c r="CB729" s="656"/>
      <c r="CC729" s="1"/>
      <c r="CD729" s="1"/>
      <c r="CE729" s="1"/>
      <c r="CF729" s="1"/>
      <c r="CG729" s="1"/>
      <c r="CH729" s="1"/>
      <c r="CI729" s="1"/>
      <c r="CJ729" s="1"/>
      <c r="CR729" s="305"/>
      <c r="CT729" s="116"/>
      <c r="DB729" s="1"/>
      <c r="DC729" s="1"/>
      <c r="DD729" s="1"/>
      <c r="DE729" s="1"/>
      <c r="DF729" s="1"/>
      <c r="DG729" s="1"/>
      <c r="DH729" s="1"/>
      <c r="DI729" s="1"/>
      <c r="DJ729" s="655"/>
      <c r="DL729" s="116"/>
    </row>
    <row r="730" spans="2:116" ht="15.75" customHeight="1" x14ac:dyDescent="0.3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874"/>
      <c r="AR730" s="874"/>
      <c r="AS730" s="874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43"/>
      <c r="BN730" s="116"/>
      <c r="BW730" s="1"/>
      <c r="BX730" s="1"/>
      <c r="BY730" s="1"/>
      <c r="BZ730" s="655"/>
      <c r="CB730" s="656"/>
      <c r="CC730" s="1"/>
      <c r="CD730" s="1"/>
      <c r="CE730" s="1"/>
      <c r="CF730" s="1"/>
      <c r="CG730" s="1"/>
      <c r="CH730" s="1"/>
      <c r="CI730" s="1"/>
      <c r="CJ730" s="1"/>
      <c r="CR730" s="305"/>
      <c r="CT730" s="116"/>
      <c r="DB730" s="1"/>
      <c r="DC730" s="1"/>
      <c r="DD730" s="1"/>
      <c r="DE730" s="1"/>
      <c r="DF730" s="1"/>
      <c r="DG730" s="1"/>
      <c r="DH730" s="1"/>
      <c r="DI730" s="1"/>
      <c r="DJ730" s="655"/>
      <c r="DL730" s="116"/>
    </row>
    <row r="731" spans="2:116" ht="15.75" customHeight="1" x14ac:dyDescent="0.3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874"/>
      <c r="AR731" s="874"/>
      <c r="AS731" s="874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43"/>
      <c r="BN731" s="116"/>
      <c r="BW731" s="1"/>
      <c r="BX731" s="1"/>
      <c r="BY731" s="1"/>
      <c r="BZ731" s="655"/>
      <c r="CB731" s="656"/>
      <c r="CC731" s="1"/>
      <c r="CD731" s="1"/>
      <c r="CE731" s="1"/>
      <c r="CF731" s="1"/>
      <c r="CG731" s="1"/>
      <c r="CH731" s="1"/>
      <c r="CI731" s="1"/>
      <c r="CJ731" s="1"/>
      <c r="CR731" s="305"/>
      <c r="CT731" s="116"/>
      <c r="DB731" s="1"/>
      <c r="DC731" s="1"/>
      <c r="DD731" s="1"/>
      <c r="DE731" s="1"/>
      <c r="DF731" s="1"/>
      <c r="DG731" s="1"/>
      <c r="DH731" s="1"/>
      <c r="DI731" s="1"/>
      <c r="DJ731" s="655"/>
      <c r="DL731" s="116"/>
    </row>
    <row r="732" spans="2:116" ht="15.75" customHeight="1" x14ac:dyDescent="0.3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874"/>
      <c r="AR732" s="874"/>
      <c r="AS732" s="874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43"/>
      <c r="BN732" s="116"/>
      <c r="BW732" s="1"/>
      <c r="BX732" s="1"/>
      <c r="BY732" s="1"/>
      <c r="BZ732" s="655"/>
      <c r="CB732" s="656"/>
      <c r="CC732" s="1"/>
      <c r="CD732" s="1"/>
      <c r="CE732" s="1"/>
      <c r="CF732" s="1"/>
      <c r="CG732" s="1"/>
      <c r="CH732" s="1"/>
      <c r="CI732" s="1"/>
      <c r="CJ732" s="1"/>
      <c r="CR732" s="305"/>
      <c r="CT732" s="116"/>
      <c r="DB732" s="1"/>
      <c r="DC732" s="1"/>
      <c r="DD732" s="1"/>
      <c r="DE732" s="1"/>
      <c r="DF732" s="1"/>
      <c r="DG732" s="1"/>
      <c r="DH732" s="1"/>
      <c r="DI732" s="1"/>
      <c r="DJ732" s="655"/>
      <c r="DL732" s="116"/>
    </row>
    <row r="733" spans="2:116" ht="15.75" customHeight="1" x14ac:dyDescent="0.3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874"/>
      <c r="AR733" s="874"/>
      <c r="AS733" s="874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43"/>
      <c r="BN733" s="116"/>
      <c r="BW733" s="1"/>
      <c r="BX733" s="1"/>
      <c r="BY733" s="1"/>
      <c r="BZ733" s="655"/>
      <c r="CB733" s="656"/>
      <c r="CC733" s="1"/>
      <c r="CD733" s="1"/>
      <c r="CE733" s="1"/>
      <c r="CF733" s="1"/>
      <c r="CG733" s="1"/>
      <c r="CH733" s="1"/>
      <c r="CI733" s="1"/>
      <c r="CJ733" s="1"/>
      <c r="CR733" s="305"/>
      <c r="CT733" s="116"/>
      <c r="DB733" s="1"/>
      <c r="DC733" s="1"/>
      <c r="DD733" s="1"/>
      <c r="DE733" s="1"/>
      <c r="DF733" s="1"/>
      <c r="DG733" s="1"/>
      <c r="DH733" s="1"/>
      <c r="DI733" s="1"/>
      <c r="DJ733" s="655"/>
      <c r="DL733" s="116"/>
    </row>
    <row r="734" spans="2:116" ht="15.75" customHeight="1" x14ac:dyDescent="0.3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874"/>
      <c r="AR734" s="874"/>
      <c r="AS734" s="874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43"/>
      <c r="BN734" s="116"/>
      <c r="BW734" s="1"/>
      <c r="BX734" s="1"/>
      <c r="BY734" s="1"/>
      <c r="BZ734" s="655"/>
      <c r="CB734" s="656"/>
      <c r="CC734" s="1"/>
      <c r="CD734" s="1"/>
      <c r="CE734" s="1"/>
      <c r="CF734" s="1"/>
      <c r="CG734" s="1"/>
      <c r="CH734" s="1"/>
      <c r="CI734" s="1"/>
      <c r="CJ734" s="1"/>
      <c r="CR734" s="305"/>
      <c r="CT734" s="116"/>
      <c r="DB734" s="1"/>
      <c r="DC734" s="1"/>
      <c r="DD734" s="1"/>
      <c r="DE734" s="1"/>
      <c r="DF734" s="1"/>
      <c r="DG734" s="1"/>
      <c r="DH734" s="1"/>
      <c r="DI734" s="1"/>
      <c r="DJ734" s="655"/>
      <c r="DL734" s="116"/>
    </row>
    <row r="735" spans="2:116" ht="15.75" customHeight="1" x14ac:dyDescent="0.3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874"/>
      <c r="AR735" s="874"/>
      <c r="AS735" s="874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43"/>
      <c r="BN735" s="116"/>
      <c r="BW735" s="1"/>
      <c r="BX735" s="1"/>
      <c r="BY735" s="1"/>
      <c r="BZ735" s="655"/>
      <c r="CB735" s="656"/>
      <c r="CC735" s="1"/>
      <c r="CD735" s="1"/>
      <c r="CE735" s="1"/>
      <c r="CF735" s="1"/>
      <c r="CG735" s="1"/>
      <c r="CH735" s="1"/>
      <c r="CI735" s="1"/>
      <c r="CJ735" s="1"/>
      <c r="CR735" s="305"/>
      <c r="CT735" s="116"/>
      <c r="DB735" s="1"/>
      <c r="DC735" s="1"/>
      <c r="DD735" s="1"/>
      <c r="DE735" s="1"/>
      <c r="DF735" s="1"/>
      <c r="DG735" s="1"/>
      <c r="DH735" s="1"/>
      <c r="DI735" s="1"/>
      <c r="DJ735" s="655"/>
      <c r="DL735" s="116"/>
    </row>
    <row r="736" spans="2:116" ht="15.75" customHeight="1" x14ac:dyDescent="0.3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874"/>
      <c r="AR736" s="874"/>
      <c r="AS736" s="874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43"/>
      <c r="BN736" s="116"/>
      <c r="BW736" s="1"/>
      <c r="BX736" s="1"/>
      <c r="BY736" s="1"/>
      <c r="BZ736" s="655"/>
      <c r="CB736" s="656"/>
      <c r="CC736" s="1"/>
      <c r="CD736" s="1"/>
      <c r="CE736" s="1"/>
      <c r="CF736" s="1"/>
      <c r="CG736" s="1"/>
      <c r="CH736" s="1"/>
      <c r="CI736" s="1"/>
      <c r="CJ736" s="1"/>
      <c r="CR736" s="305"/>
      <c r="CT736" s="116"/>
      <c r="DB736" s="1"/>
      <c r="DC736" s="1"/>
      <c r="DD736" s="1"/>
      <c r="DE736" s="1"/>
      <c r="DF736" s="1"/>
      <c r="DG736" s="1"/>
      <c r="DH736" s="1"/>
      <c r="DI736" s="1"/>
      <c r="DJ736" s="655"/>
      <c r="DL736" s="116"/>
    </row>
    <row r="737" spans="2:116" ht="15.75" customHeight="1" x14ac:dyDescent="0.3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874"/>
      <c r="AR737" s="874"/>
      <c r="AS737" s="874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43"/>
      <c r="BN737" s="116"/>
      <c r="BW737" s="1"/>
      <c r="BX737" s="1"/>
      <c r="BY737" s="1"/>
      <c r="BZ737" s="655"/>
      <c r="CB737" s="656"/>
      <c r="CC737" s="1"/>
      <c r="CD737" s="1"/>
      <c r="CE737" s="1"/>
      <c r="CF737" s="1"/>
      <c r="CG737" s="1"/>
      <c r="CH737" s="1"/>
      <c r="CI737" s="1"/>
      <c r="CJ737" s="1"/>
      <c r="CR737" s="305"/>
      <c r="CT737" s="116"/>
      <c r="DB737" s="1"/>
      <c r="DC737" s="1"/>
      <c r="DD737" s="1"/>
      <c r="DE737" s="1"/>
      <c r="DF737" s="1"/>
      <c r="DG737" s="1"/>
      <c r="DH737" s="1"/>
      <c r="DI737" s="1"/>
      <c r="DJ737" s="655"/>
      <c r="DL737" s="116"/>
    </row>
    <row r="738" spans="2:116" ht="15.75" customHeight="1" x14ac:dyDescent="0.3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874"/>
      <c r="AR738" s="874"/>
      <c r="AS738" s="874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43"/>
      <c r="BN738" s="116"/>
      <c r="BW738" s="1"/>
      <c r="BX738" s="1"/>
      <c r="BY738" s="1"/>
      <c r="BZ738" s="655"/>
      <c r="CB738" s="656"/>
      <c r="CC738" s="1"/>
      <c r="CD738" s="1"/>
      <c r="CE738" s="1"/>
      <c r="CF738" s="1"/>
      <c r="CG738" s="1"/>
      <c r="CH738" s="1"/>
      <c r="CI738" s="1"/>
      <c r="CJ738" s="1"/>
      <c r="CR738" s="305"/>
      <c r="CT738" s="116"/>
      <c r="DB738" s="1"/>
      <c r="DC738" s="1"/>
      <c r="DD738" s="1"/>
      <c r="DE738" s="1"/>
      <c r="DF738" s="1"/>
      <c r="DG738" s="1"/>
      <c r="DH738" s="1"/>
      <c r="DI738" s="1"/>
      <c r="DJ738" s="655"/>
      <c r="DL738" s="116"/>
    </row>
    <row r="739" spans="2:116" ht="15.75" customHeight="1" x14ac:dyDescent="0.3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874"/>
      <c r="AR739" s="874"/>
      <c r="AS739" s="874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43"/>
      <c r="BN739" s="116"/>
      <c r="BW739" s="1"/>
      <c r="BX739" s="1"/>
      <c r="BY739" s="1"/>
      <c r="BZ739" s="655"/>
      <c r="CB739" s="656"/>
      <c r="CC739" s="1"/>
      <c r="CD739" s="1"/>
      <c r="CE739" s="1"/>
      <c r="CF739" s="1"/>
      <c r="CG739" s="1"/>
      <c r="CH739" s="1"/>
      <c r="CI739" s="1"/>
      <c r="CJ739" s="1"/>
      <c r="CR739" s="305"/>
      <c r="CT739" s="116"/>
      <c r="DB739" s="1"/>
      <c r="DC739" s="1"/>
      <c r="DD739" s="1"/>
      <c r="DE739" s="1"/>
      <c r="DF739" s="1"/>
      <c r="DG739" s="1"/>
      <c r="DH739" s="1"/>
      <c r="DI739" s="1"/>
      <c r="DJ739" s="655"/>
      <c r="DL739" s="116"/>
    </row>
    <row r="740" spans="2:116" ht="15.75" customHeight="1" x14ac:dyDescent="0.3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874"/>
      <c r="AR740" s="874"/>
      <c r="AS740" s="874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43"/>
      <c r="BN740" s="116"/>
      <c r="BW740" s="1"/>
      <c r="BX740" s="1"/>
      <c r="BY740" s="1"/>
      <c r="BZ740" s="655"/>
      <c r="CB740" s="656"/>
      <c r="CC740" s="1"/>
      <c r="CD740" s="1"/>
      <c r="CE740" s="1"/>
      <c r="CF740" s="1"/>
      <c r="CG740" s="1"/>
      <c r="CH740" s="1"/>
      <c r="CI740" s="1"/>
      <c r="CJ740" s="1"/>
      <c r="CR740" s="305"/>
      <c r="CT740" s="116"/>
      <c r="DB740" s="1"/>
      <c r="DC740" s="1"/>
      <c r="DD740" s="1"/>
      <c r="DE740" s="1"/>
      <c r="DF740" s="1"/>
      <c r="DG740" s="1"/>
      <c r="DH740" s="1"/>
      <c r="DI740" s="1"/>
      <c r="DJ740" s="655"/>
      <c r="DL740" s="116"/>
    </row>
    <row r="741" spans="2:116" ht="15.75" customHeight="1" x14ac:dyDescent="0.3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874"/>
      <c r="AR741" s="874"/>
      <c r="AS741" s="874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43"/>
      <c r="BN741" s="116"/>
      <c r="BW741" s="1"/>
      <c r="BX741" s="1"/>
      <c r="BY741" s="1"/>
      <c r="BZ741" s="655"/>
      <c r="CB741" s="656"/>
      <c r="CC741" s="1"/>
      <c r="CD741" s="1"/>
      <c r="CE741" s="1"/>
      <c r="CF741" s="1"/>
      <c r="CG741" s="1"/>
      <c r="CH741" s="1"/>
      <c r="CI741" s="1"/>
      <c r="CJ741" s="1"/>
      <c r="CR741" s="305"/>
      <c r="CT741" s="116"/>
      <c r="DB741" s="1"/>
      <c r="DC741" s="1"/>
      <c r="DD741" s="1"/>
      <c r="DE741" s="1"/>
      <c r="DF741" s="1"/>
      <c r="DG741" s="1"/>
      <c r="DH741" s="1"/>
      <c r="DI741" s="1"/>
      <c r="DJ741" s="655"/>
      <c r="DL741" s="116"/>
    </row>
    <row r="742" spans="2:116" ht="15.75" customHeight="1" x14ac:dyDescent="0.3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874"/>
      <c r="AR742" s="874"/>
      <c r="AS742" s="874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43"/>
      <c r="BN742" s="116"/>
      <c r="BW742" s="1"/>
      <c r="BX742" s="1"/>
      <c r="BY742" s="1"/>
      <c r="BZ742" s="655"/>
      <c r="CB742" s="656"/>
      <c r="CC742" s="1"/>
      <c r="CD742" s="1"/>
      <c r="CE742" s="1"/>
      <c r="CF742" s="1"/>
      <c r="CG742" s="1"/>
      <c r="CH742" s="1"/>
      <c r="CI742" s="1"/>
      <c r="CJ742" s="1"/>
      <c r="CR742" s="305"/>
      <c r="CT742" s="116"/>
      <c r="DB742" s="1"/>
      <c r="DC742" s="1"/>
      <c r="DD742" s="1"/>
      <c r="DE742" s="1"/>
      <c r="DF742" s="1"/>
      <c r="DG742" s="1"/>
      <c r="DH742" s="1"/>
      <c r="DI742" s="1"/>
      <c r="DJ742" s="655"/>
      <c r="DL742" s="116"/>
    </row>
    <row r="743" spans="2:116" ht="15.75" customHeight="1" x14ac:dyDescent="0.3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874"/>
      <c r="AR743" s="874"/>
      <c r="AS743" s="874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43"/>
      <c r="BN743" s="116"/>
      <c r="BW743" s="1"/>
      <c r="BX743" s="1"/>
      <c r="BY743" s="1"/>
      <c r="BZ743" s="655"/>
      <c r="CB743" s="656"/>
      <c r="CC743" s="1"/>
      <c r="CD743" s="1"/>
      <c r="CE743" s="1"/>
      <c r="CF743" s="1"/>
      <c r="CG743" s="1"/>
      <c r="CH743" s="1"/>
      <c r="CI743" s="1"/>
      <c r="CJ743" s="1"/>
      <c r="CR743" s="305"/>
      <c r="CT743" s="116"/>
      <c r="DB743" s="1"/>
      <c r="DC743" s="1"/>
      <c r="DD743" s="1"/>
      <c r="DE743" s="1"/>
      <c r="DF743" s="1"/>
      <c r="DG743" s="1"/>
      <c r="DH743" s="1"/>
      <c r="DI743" s="1"/>
      <c r="DJ743" s="655"/>
      <c r="DL743" s="116"/>
    </row>
    <row r="744" spans="2:116" ht="15.75" customHeight="1" x14ac:dyDescent="0.3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874"/>
      <c r="AR744" s="874"/>
      <c r="AS744" s="874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43"/>
      <c r="BN744" s="116"/>
      <c r="BW744" s="1"/>
      <c r="BX744" s="1"/>
      <c r="BY744" s="1"/>
      <c r="BZ744" s="655"/>
      <c r="CB744" s="656"/>
      <c r="CC744" s="1"/>
      <c r="CD744" s="1"/>
      <c r="CE744" s="1"/>
      <c r="CF744" s="1"/>
      <c r="CG744" s="1"/>
      <c r="CH744" s="1"/>
      <c r="CI744" s="1"/>
      <c r="CJ744" s="1"/>
      <c r="CR744" s="305"/>
      <c r="CT744" s="116"/>
      <c r="DB744" s="1"/>
      <c r="DC744" s="1"/>
      <c r="DD744" s="1"/>
      <c r="DE744" s="1"/>
      <c r="DF744" s="1"/>
      <c r="DG744" s="1"/>
      <c r="DH744" s="1"/>
      <c r="DI744" s="1"/>
      <c r="DJ744" s="655"/>
      <c r="DL744" s="116"/>
    </row>
    <row r="745" spans="2:116" ht="15.75" customHeight="1" x14ac:dyDescent="0.3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874"/>
      <c r="AR745" s="874"/>
      <c r="AS745" s="874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43"/>
      <c r="BN745" s="116"/>
      <c r="BW745" s="1"/>
      <c r="BX745" s="1"/>
      <c r="BY745" s="1"/>
      <c r="BZ745" s="655"/>
      <c r="CB745" s="656"/>
      <c r="CC745" s="1"/>
      <c r="CD745" s="1"/>
      <c r="CE745" s="1"/>
      <c r="CF745" s="1"/>
      <c r="CG745" s="1"/>
      <c r="CH745" s="1"/>
      <c r="CI745" s="1"/>
      <c r="CJ745" s="1"/>
      <c r="CR745" s="305"/>
      <c r="CT745" s="116"/>
      <c r="DB745" s="1"/>
      <c r="DC745" s="1"/>
      <c r="DD745" s="1"/>
      <c r="DE745" s="1"/>
      <c r="DF745" s="1"/>
      <c r="DG745" s="1"/>
      <c r="DH745" s="1"/>
      <c r="DI745" s="1"/>
      <c r="DJ745" s="655"/>
      <c r="DL745" s="116"/>
    </row>
    <row r="746" spans="2:116" ht="15.75" customHeight="1" x14ac:dyDescent="0.3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874"/>
      <c r="AR746" s="874"/>
      <c r="AS746" s="874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43"/>
      <c r="BN746" s="116"/>
      <c r="BW746" s="1"/>
      <c r="BX746" s="1"/>
      <c r="BY746" s="1"/>
      <c r="BZ746" s="655"/>
      <c r="CB746" s="656"/>
      <c r="CC746" s="1"/>
      <c r="CD746" s="1"/>
      <c r="CE746" s="1"/>
      <c r="CF746" s="1"/>
      <c r="CG746" s="1"/>
      <c r="CH746" s="1"/>
      <c r="CI746" s="1"/>
      <c r="CJ746" s="1"/>
      <c r="CR746" s="305"/>
      <c r="CT746" s="116"/>
      <c r="DB746" s="1"/>
      <c r="DC746" s="1"/>
      <c r="DD746" s="1"/>
      <c r="DE746" s="1"/>
      <c r="DF746" s="1"/>
      <c r="DG746" s="1"/>
      <c r="DH746" s="1"/>
      <c r="DI746" s="1"/>
      <c r="DJ746" s="655"/>
      <c r="DL746" s="116"/>
    </row>
    <row r="747" spans="2:116" ht="15.75" customHeight="1" x14ac:dyDescent="0.3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874"/>
      <c r="AR747" s="874"/>
      <c r="AS747" s="874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43"/>
      <c r="BN747" s="116"/>
      <c r="BW747" s="1"/>
      <c r="BX747" s="1"/>
      <c r="BY747" s="1"/>
      <c r="BZ747" s="655"/>
      <c r="CB747" s="656"/>
      <c r="CC747" s="1"/>
      <c r="CD747" s="1"/>
      <c r="CE747" s="1"/>
      <c r="CF747" s="1"/>
      <c r="CG747" s="1"/>
      <c r="CH747" s="1"/>
      <c r="CI747" s="1"/>
      <c r="CJ747" s="1"/>
      <c r="CR747" s="305"/>
      <c r="CT747" s="116"/>
      <c r="DB747" s="1"/>
      <c r="DC747" s="1"/>
      <c r="DD747" s="1"/>
      <c r="DE747" s="1"/>
      <c r="DF747" s="1"/>
      <c r="DG747" s="1"/>
      <c r="DH747" s="1"/>
      <c r="DI747" s="1"/>
      <c r="DJ747" s="655"/>
      <c r="DL747" s="116"/>
    </row>
    <row r="748" spans="2:116" ht="15.75" customHeight="1" x14ac:dyDescent="0.3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874"/>
      <c r="AR748" s="874"/>
      <c r="AS748" s="874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43"/>
      <c r="BN748" s="116"/>
      <c r="BW748" s="1"/>
      <c r="BX748" s="1"/>
      <c r="BY748" s="1"/>
      <c r="BZ748" s="655"/>
      <c r="CB748" s="656"/>
      <c r="CC748" s="1"/>
      <c r="CD748" s="1"/>
      <c r="CE748" s="1"/>
      <c r="CF748" s="1"/>
      <c r="CG748" s="1"/>
      <c r="CH748" s="1"/>
      <c r="CI748" s="1"/>
      <c r="CJ748" s="1"/>
      <c r="CR748" s="305"/>
      <c r="CT748" s="116"/>
      <c r="DB748" s="1"/>
      <c r="DC748" s="1"/>
      <c r="DD748" s="1"/>
      <c r="DE748" s="1"/>
      <c r="DF748" s="1"/>
      <c r="DG748" s="1"/>
      <c r="DH748" s="1"/>
      <c r="DI748" s="1"/>
      <c r="DJ748" s="655"/>
      <c r="DL748" s="116"/>
    </row>
    <row r="749" spans="2:116" ht="15.75" customHeight="1" x14ac:dyDescent="0.3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874"/>
      <c r="AR749" s="874"/>
      <c r="AS749" s="874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43"/>
      <c r="BN749" s="116"/>
      <c r="BW749" s="1"/>
      <c r="BX749" s="1"/>
      <c r="BY749" s="1"/>
      <c r="BZ749" s="655"/>
      <c r="CB749" s="656"/>
      <c r="CC749" s="1"/>
      <c r="CD749" s="1"/>
      <c r="CE749" s="1"/>
      <c r="CF749" s="1"/>
      <c r="CG749" s="1"/>
      <c r="CH749" s="1"/>
      <c r="CI749" s="1"/>
      <c r="CJ749" s="1"/>
      <c r="CR749" s="305"/>
      <c r="CT749" s="116"/>
      <c r="DB749" s="1"/>
      <c r="DC749" s="1"/>
      <c r="DD749" s="1"/>
      <c r="DE749" s="1"/>
      <c r="DF749" s="1"/>
      <c r="DG749" s="1"/>
      <c r="DH749" s="1"/>
      <c r="DI749" s="1"/>
      <c r="DJ749" s="655"/>
      <c r="DL749" s="116"/>
    </row>
    <row r="750" spans="2:116" ht="15.75" customHeight="1" x14ac:dyDescent="0.3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874"/>
      <c r="AR750" s="874"/>
      <c r="AS750" s="874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43"/>
      <c r="BN750" s="116"/>
      <c r="BW750" s="1"/>
      <c r="BX750" s="1"/>
      <c r="BY750" s="1"/>
      <c r="BZ750" s="655"/>
      <c r="CB750" s="656"/>
      <c r="CC750" s="1"/>
      <c r="CD750" s="1"/>
      <c r="CE750" s="1"/>
      <c r="CF750" s="1"/>
      <c r="CG750" s="1"/>
      <c r="CH750" s="1"/>
      <c r="CI750" s="1"/>
      <c r="CJ750" s="1"/>
      <c r="CR750" s="305"/>
      <c r="CT750" s="116"/>
      <c r="DB750" s="1"/>
      <c r="DC750" s="1"/>
      <c r="DD750" s="1"/>
      <c r="DE750" s="1"/>
      <c r="DF750" s="1"/>
      <c r="DG750" s="1"/>
      <c r="DH750" s="1"/>
      <c r="DI750" s="1"/>
      <c r="DJ750" s="655"/>
      <c r="DL750" s="116"/>
    </row>
    <row r="751" spans="2:116" ht="15.75" customHeight="1" x14ac:dyDescent="0.3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874"/>
      <c r="AR751" s="874"/>
      <c r="AS751" s="874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43"/>
      <c r="BN751" s="116"/>
      <c r="BW751" s="1"/>
      <c r="BX751" s="1"/>
      <c r="BY751" s="1"/>
      <c r="BZ751" s="655"/>
      <c r="CB751" s="656"/>
      <c r="CC751" s="1"/>
      <c r="CD751" s="1"/>
      <c r="CE751" s="1"/>
      <c r="CF751" s="1"/>
      <c r="CG751" s="1"/>
      <c r="CH751" s="1"/>
      <c r="CI751" s="1"/>
      <c r="CJ751" s="1"/>
      <c r="CR751" s="305"/>
      <c r="CT751" s="116"/>
      <c r="DB751" s="1"/>
      <c r="DC751" s="1"/>
      <c r="DD751" s="1"/>
      <c r="DE751" s="1"/>
      <c r="DF751" s="1"/>
      <c r="DG751" s="1"/>
      <c r="DH751" s="1"/>
      <c r="DI751" s="1"/>
      <c r="DJ751" s="655"/>
      <c r="DL751" s="116"/>
    </row>
    <row r="752" spans="2:116" ht="15.75" customHeight="1" x14ac:dyDescent="0.3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874"/>
      <c r="AR752" s="874"/>
      <c r="AS752" s="874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43"/>
      <c r="BN752" s="116"/>
      <c r="BW752" s="1"/>
      <c r="BX752" s="1"/>
      <c r="BY752" s="1"/>
      <c r="BZ752" s="655"/>
      <c r="CB752" s="656"/>
      <c r="CC752" s="1"/>
      <c r="CD752" s="1"/>
      <c r="CE752" s="1"/>
      <c r="CF752" s="1"/>
      <c r="CG752" s="1"/>
      <c r="CH752" s="1"/>
      <c r="CI752" s="1"/>
      <c r="CJ752" s="1"/>
      <c r="CR752" s="305"/>
      <c r="CT752" s="116"/>
      <c r="DB752" s="1"/>
      <c r="DC752" s="1"/>
      <c r="DD752" s="1"/>
      <c r="DE752" s="1"/>
      <c r="DF752" s="1"/>
      <c r="DG752" s="1"/>
      <c r="DH752" s="1"/>
      <c r="DI752" s="1"/>
      <c r="DJ752" s="655"/>
      <c r="DL752" s="116"/>
    </row>
    <row r="753" spans="2:116" ht="15.75" customHeight="1" x14ac:dyDescent="0.3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874"/>
      <c r="AR753" s="874"/>
      <c r="AS753" s="874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43"/>
      <c r="BN753" s="116"/>
      <c r="BW753" s="1"/>
      <c r="BX753" s="1"/>
      <c r="BY753" s="1"/>
      <c r="BZ753" s="655"/>
      <c r="CB753" s="656"/>
      <c r="CC753" s="1"/>
      <c r="CD753" s="1"/>
      <c r="CE753" s="1"/>
      <c r="CF753" s="1"/>
      <c r="CG753" s="1"/>
      <c r="CH753" s="1"/>
      <c r="CI753" s="1"/>
      <c r="CJ753" s="1"/>
      <c r="CR753" s="305"/>
      <c r="CT753" s="116"/>
      <c r="DB753" s="1"/>
      <c r="DC753" s="1"/>
      <c r="DD753" s="1"/>
      <c r="DE753" s="1"/>
      <c r="DF753" s="1"/>
      <c r="DG753" s="1"/>
      <c r="DH753" s="1"/>
      <c r="DI753" s="1"/>
      <c r="DJ753" s="655"/>
      <c r="DL753" s="116"/>
    </row>
    <row r="754" spans="2:116" ht="15.75" customHeight="1" x14ac:dyDescent="0.3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874"/>
      <c r="AR754" s="874"/>
      <c r="AS754" s="874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43"/>
      <c r="BN754" s="116"/>
      <c r="BW754" s="1"/>
      <c r="BX754" s="1"/>
      <c r="BY754" s="1"/>
      <c r="BZ754" s="655"/>
      <c r="CB754" s="656"/>
      <c r="CC754" s="1"/>
      <c r="CD754" s="1"/>
      <c r="CE754" s="1"/>
      <c r="CF754" s="1"/>
      <c r="CG754" s="1"/>
      <c r="CH754" s="1"/>
      <c r="CI754" s="1"/>
      <c r="CJ754" s="1"/>
      <c r="CR754" s="305"/>
      <c r="CT754" s="116"/>
      <c r="DB754" s="1"/>
      <c r="DC754" s="1"/>
      <c r="DD754" s="1"/>
      <c r="DE754" s="1"/>
      <c r="DF754" s="1"/>
      <c r="DG754" s="1"/>
      <c r="DH754" s="1"/>
      <c r="DI754" s="1"/>
      <c r="DJ754" s="655"/>
      <c r="DL754" s="116"/>
    </row>
    <row r="755" spans="2:116" ht="15.75" customHeight="1" x14ac:dyDescent="0.3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874"/>
      <c r="AR755" s="874"/>
      <c r="AS755" s="874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43"/>
      <c r="BN755" s="116"/>
      <c r="BW755" s="1"/>
      <c r="BX755" s="1"/>
      <c r="BY755" s="1"/>
      <c r="BZ755" s="655"/>
      <c r="CB755" s="656"/>
      <c r="CC755" s="1"/>
      <c r="CD755" s="1"/>
      <c r="CE755" s="1"/>
      <c r="CF755" s="1"/>
      <c r="CG755" s="1"/>
      <c r="CH755" s="1"/>
      <c r="CI755" s="1"/>
      <c r="CJ755" s="1"/>
      <c r="CR755" s="305"/>
      <c r="CT755" s="116"/>
      <c r="DB755" s="1"/>
      <c r="DC755" s="1"/>
      <c r="DD755" s="1"/>
      <c r="DE755" s="1"/>
      <c r="DF755" s="1"/>
      <c r="DG755" s="1"/>
      <c r="DH755" s="1"/>
      <c r="DI755" s="1"/>
      <c r="DJ755" s="655"/>
      <c r="DL755" s="116"/>
    </row>
    <row r="756" spans="2:116" ht="15.75" customHeight="1" x14ac:dyDescent="0.3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874"/>
      <c r="AR756" s="874"/>
      <c r="AS756" s="874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43"/>
      <c r="BN756" s="116"/>
      <c r="BW756" s="1"/>
      <c r="BX756" s="1"/>
      <c r="BY756" s="1"/>
      <c r="BZ756" s="655"/>
      <c r="CB756" s="656"/>
      <c r="CC756" s="1"/>
      <c r="CD756" s="1"/>
      <c r="CE756" s="1"/>
      <c r="CF756" s="1"/>
      <c r="CG756" s="1"/>
      <c r="CH756" s="1"/>
      <c r="CI756" s="1"/>
      <c r="CJ756" s="1"/>
      <c r="CR756" s="305"/>
      <c r="CT756" s="116"/>
      <c r="DB756" s="1"/>
      <c r="DC756" s="1"/>
      <c r="DD756" s="1"/>
      <c r="DE756" s="1"/>
      <c r="DF756" s="1"/>
      <c r="DG756" s="1"/>
      <c r="DH756" s="1"/>
      <c r="DI756" s="1"/>
      <c r="DJ756" s="655"/>
      <c r="DL756" s="116"/>
    </row>
    <row r="757" spans="2:116" ht="15.75" customHeight="1" x14ac:dyDescent="0.3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874"/>
      <c r="AR757" s="874"/>
      <c r="AS757" s="874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43"/>
      <c r="BN757" s="116"/>
      <c r="BW757" s="1"/>
      <c r="BX757" s="1"/>
      <c r="BY757" s="1"/>
      <c r="BZ757" s="655"/>
      <c r="CB757" s="656"/>
      <c r="CC757" s="1"/>
      <c r="CD757" s="1"/>
      <c r="CE757" s="1"/>
      <c r="CF757" s="1"/>
      <c r="CG757" s="1"/>
      <c r="CH757" s="1"/>
      <c r="CI757" s="1"/>
      <c r="CJ757" s="1"/>
      <c r="CR757" s="305"/>
      <c r="CT757" s="116"/>
      <c r="DB757" s="1"/>
      <c r="DC757" s="1"/>
      <c r="DD757" s="1"/>
      <c r="DE757" s="1"/>
      <c r="DF757" s="1"/>
      <c r="DG757" s="1"/>
      <c r="DH757" s="1"/>
      <c r="DI757" s="1"/>
      <c r="DJ757" s="655"/>
      <c r="DL757" s="116"/>
    </row>
    <row r="758" spans="2:116" ht="15.75" customHeight="1" x14ac:dyDescent="0.3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874"/>
      <c r="AR758" s="874"/>
      <c r="AS758" s="874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43"/>
      <c r="BN758" s="116"/>
      <c r="BW758" s="1"/>
      <c r="BX758" s="1"/>
      <c r="BY758" s="1"/>
      <c r="BZ758" s="655"/>
      <c r="CB758" s="656"/>
      <c r="CC758" s="1"/>
      <c r="CD758" s="1"/>
      <c r="CE758" s="1"/>
      <c r="CF758" s="1"/>
      <c r="CG758" s="1"/>
      <c r="CH758" s="1"/>
      <c r="CI758" s="1"/>
      <c r="CJ758" s="1"/>
      <c r="CR758" s="305"/>
      <c r="CT758" s="116"/>
      <c r="DB758" s="1"/>
      <c r="DC758" s="1"/>
      <c r="DD758" s="1"/>
      <c r="DE758" s="1"/>
      <c r="DF758" s="1"/>
      <c r="DG758" s="1"/>
      <c r="DH758" s="1"/>
      <c r="DI758" s="1"/>
      <c r="DJ758" s="655"/>
      <c r="DL758" s="116"/>
    </row>
    <row r="759" spans="2:116" ht="15.75" customHeight="1" x14ac:dyDescent="0.3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874"/>
      <c r="AR759" s="874"/>
      <c r="AS759" s="874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43"/>
      <c r="BN759" s="116"/>
      <c r="BW759" s="1"/>
      <c r="BX759" s="1"/>
      <c r="BY759" s="1"/>
      <c r="BZ759" s="655"/>
      <c r="CB759" s="656"/>
      <c r="CC759" s="1"/>
      <c r="CD759" s="1"/>
      <c r="CE759" s="1"/>
      <c r="CF759" s="1"/>
      <c r="CG759" s="1"/>
      <c r="CH759" s="1"/>
      <c r="CI759" s="1"/>
      <c r="CJ759" s="1"/>
      <c r="CR759" s="305"/>
      <c r="CT759" s="116"/>
      <c r="DB759" s="1"/>
      <c r="DC759" s="1"/>
      <c r="DD759" s="1"/>
      <c r="DE759" s="1"/>
      <c r="DF759" s="1"/>
      <c r="DG759" s="1"/>
      <c r="DH759" s="1"/>
      <c r="DI759" s="1"/>
      <c r="DJ759" s="655"/>
      <c r="DL759" s="116"/>
    </row>
    <row r="760" spans="2:116" ht="15.75" customHeight="1" x14ac:dyDescent="0.3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874"/>
      <c r="AR760" s="874"/>
      <c r="AS760" s="874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43"/>
      <c r="BN760" s="116"/>
      <c r="BW760" s="1"/>
      <c r="BX760" s="1"/>
      <c r="BY760" s="1"/>
      <c r="BZ760" s="655"/>
      <c r="CB760" s="656"/>
      <c r="CC760" s="1"/>
      <c r="CD760" s="1"/>
      <c r="CE760" s="1"/>
      <c r="CF760" s="1"/>
      <c r="CG760" s="1"/>
      <c r="CH760" s="1"/>
      <c r="CI760" s="1"/>
      <c r="CJ760" s="1"/>
      <c r="CR760" s="305"/>
      <c r="CT760" s="116"/>
      <c r="DB760" s="1"/>
      <c r="DC760" s="1"/>
      <c r="DD760" s="1"/>
      <c r="DE760" s="1"/>
      <c r="DF760" s="1"/>
      <c r="DG760" s="1"/>
      <c r="DH760" s="1"/>
      <c r="DI760" s="1"/>
      <c r="DJ760" s="655"/>
      <c r="DL760" s="116"/>
    </row>
    <row r="761" spans="2:116" ht="15.75" customHeight="1" x14ac:dyDescent="0.3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874"/>
      <c r="AR761" s="874"/>
      <c r="AS761" s="874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43"/>
      <c r="BN761" s="116"/>
      <c r="BW761" s="1"/>
      <c r="BX761" s="1"/>
      <c r="BY761" s="1"/>
      <c r="BZ761" s="655"/>
      <c r="CB761" s="656"/>
      <c r="CC761" s="1"/>
      <c r="CD761" s="1"/>
      <c r="CE761" s="1"/>
      <c r="CF761" s="1"/>
      <c r="CG761" s="1"/>
      <c r="CH761" s="1"/>
      <c r="CI761" s="1"/>
      <c r="CJ761" s="1"/>
      <c r="CR761" s="305"/>
      <c r="CT761" s="116"/>
      <c r="DB761" s="1"/>
      <c r="DC761" s="1"/>
      <c r="DD761" s="1"/>
      <c r="DE761" s="1"/>
      <c r="DF761" s="1"/>
      <c r="DG761" s="1"/>
      <c r="DH761" s="1"/>
      <c r="DI761" s="1"/>
      <c r="DJ761" s="655"/>
      <c r="DL761" s="116"/>
    </row>
    <row r="762" spans="2:116" ht="15.75" customHeight="1" x14ac:dyDescent="0.3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874"/>
      <c r="AR762" s="874"/>
      <c r="AS762" s="874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43"/>
      <c r="BN762" s="116"/>
      <c r="BW762" s="1"/>
      <c r="BX762" s="1"/>
      <c r="BY762" s="1"/>
      <c r="BZ762" s="655"/>
      <c r="CB762" s="656"/>
      <c r="CC762" s="1"/>
      <c r="CD762" s="1"/>
      <c r="CE762" s="1"/>
      <c r="CF762" s="1"/>
      <c r="CG762" s="1"/>
      <c r="CH762" s="1"/>
      <c r="CI762" s="1"/>
      <c r="CJ762" s="1"/>
      <c r="CR762" s="305"/>
      <c r="CT762" s="116"/>
      <c r="DB762" s="1"/>
      <c r="DC762" s="1"/>
      <c r="DD762" s="1"/>
      <c r="DE762" s="1"/>
      <c r="DF762" s="1"/>
      <c r="DG762" s="1"/>
      <c r="DH762" s="1"/>
      <c r="DI762" s="1"/>
      <c r="DJ762" s="655"/>
      <c r="DL762" s="116"/>
    </row>
    <row r="763" spans="2:116" ht="15.75" customHeight="1" x14ac:dyDescent="0.3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874"/>
      <c r="AR763" s="874"/>
      <c r="AS763" s="874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43"/>
      <c r="BN763" s="116"/>
      <c r="BW763" s="1"/>
      <c r="BX763" s="1"/>
      <c r="BY763" s="1"/>
      <c r="BZ763" s="655"/>
      <c r="CB763" s="656"/>
      <c r="CC763" s="1"/>
      <c r="CD763" s="1"/>
      <c r="CE763" s="1"/>
      <c r="CF763" s="1"/>
      <c r="CG763" s="1"/>
      <c r="CH763" s="1"/>
      <c r="CI763" s="1"/>
      <c r="CJ763" s="1"/>
      <c r="CR763" s="305"/>
      <c r="CT763" s="116"/>
      <c r="DB763" s="1"/>
      <c r="DC763" s="1"/>
      <c r="DD763" s="1"/>
      <c r="DE763" s="1"/>
      <c r="DF763" s="1"/>
      <c r="DG763" s="1"/>
      <c r="DH763" s="1"/>
      <c r="DI763" s="1"/>
      <c r="DJ763" s="655"/>
      <c r="DL763" s="116"/>
    </row>
    <row r="764" spans="2:116" ht="15.75" customHeight="1" x14ac:dyDescent="0.3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874"/>
      <c r="AR764" s="874"/>
      <c r="AS764" s="874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43"/>
      <c r="BN764" s="116"/>
      <c r="BW764" s="1"/>
      <c r="BX764" s="1"/>
      <c r="BY764" s="1"/>
      <c r="BZ764" s="655"/>
      <c r="CB764" s="656"/>
      <c r="CC764" s="1"/>
      <c r="CD764" s="1"/>
      <c r="CE764" s="1"/>
      <c r="CF764" s="1"/>
      <c r="CG764" s="1"/>
      <c r="CH764" s="1"/>
      <c r="CI764" s="1"/>
      <c r="CJ764" s="1"/>
      <c r="CR764" s="305"/>
      <c r="CT764" s="116"/>
      <c r="DB764" s="1"/>
      <c r="DC764" s="1"/>
      <c r="DD764" s="1"/>
      <c r="DE764" s="1"/>
      <c r="DF764" s="1"/>
      <c r="DG764" s="1"/>
      <c r="DH764" s="1"/>
      <c r="DI764" s="1"/>
      <c r="DJ764" s="655"/>
      <c r="DL764" s="116"/>
    </row>
    <row r="765" spans="2:116" ht="15.75" customHeight="1" x14ac:dyDescent="0.3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874"/>
      <c r="AR765" s="874"/>
      <c r="AS765" s="874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43"/>
      <c r="BN765" s="116"/>
      <c r="BW765" s="1"/>
      <c r="BX765" s="1"/>
      <c r="BY765" s="1"/>
      <c r="BZ765" s="655"/>
      <c r="CB765" s="656"/>
      <c r="CC765" s="1"/>
      <c r="CD765" s="1"/>
      <c r="CE765" s="1"/>
      <c r="CF765" s="1"/>
      <c r="CG765" s="1"/>
      <c r="CH765" s="1"/>
      <c r="CI765" s="1"/>
      <c r="CJ765" s="1"/>
      <c r="CR765" s="305"/>
      <c r="CT765" s="116"/>
      <c r="DB765" s="1"/>
      <c r="DC765" s="1"/>
      <c r="DD765" s="1"/>
      <c r="DE765" s="1"/>
      <c r="DF765" s="1"/>
      <c r="DG765" s="1"/>
      <c r="DH765" s="1"/>
      <c r="DI765" s="1"/>
      <c r="DJ765" s="655"/>
      <c r="DL765" s="116"/>
    </row>
    <row r="766" spans="2:116" ht="15.75" customHeight="1" x14ac:dyDescent="0.3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874"/>
      <c r="AR766" s="874"/>
      <c r="AS766" s="874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43"/>
      <c r="BN766" s="116"/>
      <c r="BW766" s="1"/>
      <c r="BX766" s="1"/>
      <c r="BY766" s="1"/>
      <c r="BZ766" s="655"/>
      <c r="CB766" s="656"/>
      <c r="CC766" s="1"/>
      <c r="CD766" s="1"/>
      <c r="CE766" s="1"/>
      <c r="CF766" s="1"/>
      <c r="CG766" s="1"/>
      <c r="CH766" s="1"/>
      <c r="CI766" s="1"/>
      <c r="CJ766" s="1"/>
      <c r="CR766" s="305"/>
      <c r="CT766" s="116"/>
      <c r="DB766" s="1"/>
      <c r="DC766" s="1"/>
      <c r="DD766" s="1"/>
      <c r="DE766" s="1"/>
      <c r="DF766" s="1"/>
      <c r="DG766" s="1"/>
      <c r="DH766" s="1"/>
      <c r="DI766" s="1"/>
      <c r="DJ766" s="655"/>
      <c r="DL766" s="116"/>
    </row>
    <row r="767" spans="2:116" ht="15.75" customHeight="1" x14ac:dyDescent="0.3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874"/>
      <c r="AR767" s="874"/>
      <c r="AS767" s="874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43"/>
      <c r="BN767" s="116"/>
      <c r="BW767" s="1"/>
      <c r="BX767" s="1"/>
      <c r="BY767" s="1"/>
      <c r="BZ767" s="655"/>
      <c r="CB767" s="656"/>
      <c r="CC767" s="1"/>
      <c r="CD767" s="1"/>
      <c r="CE767" s="1"/>
      <c r="CF767" s="1"/>
      <c r="CG767" s="1"/>
      <c r="CH767" s="1"/>
      <c r="CI767" s="1"/>
      <c r="CJ767" s="1"/>
      <c r="CR767" s="305"/>
      <c r="CT767" s="116"/>
      <c r="DB767" s="1"/>
      <c r="DC767" s="1"/>
      <c r="DD767" s="1"/>
      <c r="DE767" s="1"/>
      <c r="DF767" s="1"/>
      <c r="DG767" s="1"/>
      <c r="DH767" s="1"/>
      <c r="DI767" s="1"/>
      <c r="DJ767" s="655"/>
      <c r="DL767" s="116"/>
    </row>
    <row r="768" spans="2:116" ht="15.75" customHeight="1" x14ac:dyDescent="0.3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874"/>
      <c r="AR768" s="874"/>
      <c r="AS768" s="874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43"/>
      <c r="BN768" s="116"/>
      <c r="BW768" s="1"/>
      <c r="BX768" s="1"/>
      <c r="BY768" s="1"/>
      <c r="BZ768" s="655"/>
      <c r="CB768" s="656"/>
      <c r="CC768" s="1"/>
      <c r="CD768" s="1"/>
      <c r="CE768" s="1"/>
      <c r="CF768" s="1"/>
      <c r="CG768" s="1"/>
      <c r="CH768" s="1"/>
      <c r="CI768" s="1"/>
      <c r="CJ768" s="1"/>
      <c r="CR768" s="305"/>
      <c r="CT768" s="116"/>
      <c r="DB768" s="1"/>
      <c r="DC768" s="1"/>
      <c r="DD768" s="1"/>
      <c r="DE768" s="1"/>
      <c r="DF768" s="1"/>
      <c r="DG768" s="1"/>
      <c r="DH768" s="1"/>
      <c r="DI768" s="1"/>
      <c r="DJ768" s="655"/>
      <c r="DL768" s="116"/>
    </row>
    <row r="769" spans="2:116" ht="15.75" customHeight="1" x14ac:dyDescent="0.3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874"/>
      <c r="AR769" s="874"/>
      <c r="AS769" s="874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43"/>
      <c r="BN769" s="116"/>
      <c r="BW769" s="1"/>
      <c r="BX769" s="1"/>
      <c r="BY769" s="1"/>
      <c r="BZ769" s="655"/>
      <c r="CB769" s="656"/>
      <c r="CC769" s="1"/>
      <c r="CD769" s="1"/>
      <c r="CE769" s="1"/>
      <c r="CF769" s="1"/>
      <c r="CG769" s="1"/>
      <c r="CH769" s="1"/>
      <c r="CI769" s="1"/>
      <c r="CJ769" s="1"/>
      <c r="CR769" s="305"/>
      <c r="CT769" s="116"/>
      <c r="DB769" s="1"/>
      <c r="DC769" s="1"/>
      <c r="DD769" s="1"/>
      <c r="DE769" s="1"/>
      <c r="DF769" s="1"/>
      <c r="DG769" s="1"/>
      <c r="DH769" s="1"/>
      <c r="DI769" s="1"/>
      <c r="DJ769" s="655"/>
      <c r="DL769" s="116"/>
    </row>
    <row r="770" spans="2:116" ht="15.75" customHeight="1" x14ac:dyDescent="0.3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874"/>
      <c r="AR770" s="874"/>
      <c r="AS770" s="874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43"/>
      <c r="BN770" s="116"/>
      <c r="BW770" s="1"/>
      <c r="BX770" s="1"/>
      <c r="BY770" s="1"/>
      <c r="BZ770" s="655"/>
      <c r="CB770" s="656"/>
      <c r="CC770" s="1"/>
      <c r="CD770" s="1"/>
      <c r="CE770" s="1"/>
      <c r="CF770" s="1"/>
      <c r="CG770" s="1"/>
      <c r="CH770" s="1"/>
      <c r="CI770" s="1"/>
      <c r="CJ770" s="1"/>
      <c r="CR770" s="305"/>
      <c r="CT770" s="116"/>
      <c r="DB770" s="1"/>
      <c r="DC770" s="1"/>
      <c r="DD770" s="1"/>
      <c r="DE770" s="1"/>
      <c r="DF770" s="1"/>
      <c r="DG770" s="1"/>
      <c r="DH770" s="1"/>
      <c r="DI770" s="1"/>
      <c r="DJ770" s="655"/>
      <c r="DL770" s="116"/>
    </row>
    <row r="771" spans="2:116" ht="15.75" customHeight="1" x14ac:dyDescent="0.3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874"/>
      <c r="AR771" s="874"/>
      <c r="AS771" s="874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43"/>
      <c r="BN771" s="116"/>
      <c r="BW771" s="1"/>
      <c r="BX771" s="1"/>
      <c r="BY771" s="1"/>
      <c r="BZ771" s="655"/>
      <c r="CB771" s="656"/>
      <c r="CC771" s="1"/>
      <c r="CD771" s="1"/>
      <c r="CE771" s="1"/>
      <c r="CF771" s="1"/>
      <c r="CG771" s="1"/>
      <c r="CH771" s="1"/>
      <c r="CI771" s="1"/>
      <c r="CJ771" s="1"/>
      <c r="CR771" s="305"/>
      <c r="CT771" s="116"/>
      <c r="DB771" s="1"/>
      <c r="DC771" s="1"/>
      <c r="DD771" s="1"/>
      <c r="DE771" s="1"/>
      <c r="DF771" s="1"/>
      <c r="DG771" s="1"/>
      <c r="DH771" s="1"/>
      <c r="DI771" s="1"/>
      <c r="DJ771" s="655"/>
      <c r="DL771" s="116"/>
    </row>
    <row r="772" spans="2:116" ht="15.75" customHeight="1" x14ac:dyDescent="0.3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874"/>
      <c r="AR772" s="874"/>
      <c r="AS772" s="874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43"/>
      <c r="BN772" s="116"/>
      <c r="BW772" s="1"/>
      <c r="BX772" s="1"/>
      <c r="BY772" s="1"/>
      <c r="BZ772" s="655"/>
      <c r="CB772" s="656"/>
      <c r="CC772" s="1"/>
      <c r="CD772" s="1"/>
      <c r="CE772" s="1"/>
      <c r="CF772" s="1"/>
      <c r="CG772" s="1"/>
      <c r="CH772" s="1"/>
      <c r="CI772" s="1"/>
      <c r="CJ772" s="1"/>
      <c r="CR772" s="305"/>
      <c r="CT772" s="116"/>
      <c r="DB772" s="1"/>
      <c r="DC772" s="1"/>
      <c r="DD772" s="1"/>
      <c r="DE772" s="1"/>
      <c r="DF772" s="1"/>
      <c r="DG772" s="1"/>
      <c r="DH772" s="1"/>
      <c r="DI772" s="1"/>
      <c r="DJ772" s="655"/>
      <c r="DL772" s="116"/>
    </row>
    <row r="773" spans="2:116" ht="15.75" customHeight="1" x14ac:dyDescent="0.3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874"/>
      <c r="AR773" s="874"/>
      <c r="AS773" s="874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43"/>
      <c r="BN773" s="116"/>
      <c r="BW773" s="1"/>
      <c r="BX773" s="1"/>
      <c r="BY773" s="1"/>
      <c r="BZ773" s="655"/>
      <c r="CB773" s="656"/>
      <c r="CC773" s="1"/>
      <c r="CD773" s="1"/>
      <c r="CE773" s="1"/>
      <c r="CF773" s="1"/>
      <c r="CG773" s="1"/>
      <c r="CH773" s="1"/>
      <c r="CI773" s="1"/>
      <c r="CJ773" s="1"/>
      <c r="CR773" s="305"/>
      <c r="CT773" s="116"/>
      <c r="DB773" s="1"/>
      <c r="DC773" s="1"/>
      <c r="DD773" s="1"/>
      <c r="DE773" s="1"/>
      <c r="DF773" s="1"/>
      <c r="DG773" s="1"/>
      <c r="DH773" s="1"/>
      <c r="DI773" s="1"/>
      <c r="DJ773" s="655"/>
      <c r="DL773" s="116"/>
    </row>
    <row r="774" spans="2:116" ht="15.75" customHeight="1" x14ac:dyDescent="0.3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874"/>
      <c r="AR774" s="874"/>
      <c r="AS774" s="874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43"/>
      <c r="BN774" s="116"/>
      <c r="BW774" s="1"/>
      <c r="BX774" s="1"/>
      <c r="BY774" s="1"/>
      <c r="BZ774" s="655"/>
      <c r="CB774" s="656"/>
      <c r="CC774" s="1"/>
      <c r="CD774" s="1"/>
      <c r="CE774" s="1"/>
      <c r="CF774" s="1"/>
      <c r="CG774" s="1"/>
      <c r="CH774" s="1"/>
      <c r="CI774" s="1"/>
      <c r="CJ774" s="1"/>
      <c r="CR774" s="305"/>
      <c r="CT774" s="116"/>
      <c r="DB774" s="1"/>
      <c r="DC774" s="1"/>
      <c r="DD774" s="1"/>
      <c r="DE774" s="1"/>
      <c r="DF774" s="1"/>
      <c r="DG774" s="1"/>
      <c r="DH774" s="1"/>
      <c r="DI774" s="1"/>
      <c r="DJ774" s="655"/>
      <c r="DL774" s="116"/>
    </row>
    <row r="775" spans="2:116" ht="15.75" customHeight="1" x14ac:dyDescent="0.3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874"/>
      <c r="AR775" s="874"/>
      <c r="AS775" s="874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43"/>
      <c r="BN775" s="116"/>
      <c r="BW775" s="1"/>
      <c r="BX775" s="1"/>
      <c r="BY775" s="1"/>
      <c r="BZ775" s="655"/>
      <c r="CB775" s="656"/>
      <c r="CC775" s="1"/>
      <c r="CD775" s="1"/>
      <c r="CE775" s="1"/>
      <c r="CF775" s="1"/>
      <c r="CG775" s="1"/>
      <c r="CH775" s="1"/>
      <c r="CI775" s="1"/>
      <c r="CJ775" s="1"/>
      <c r="CR775" s="305"/>
      <c r="CT775" s="116"/>
      <c r="DB775" s="1"/>
      <c r="DC775" s="1"/>
      <c r="DD775" s="1"/>
      <c r="DE775" s="1"/>
      <c r="DF775" s="1"/>
      <c r="DG775" s="1"/>
      <c r="DH775" s="1"/>
      <c r="DI775" s="1"/>
      <c r="DJ775" s="655"/>
      <c r="DL775" s="116"/>
    </row>
    <row r="776" spans="2:116" ht="15.75" customHeight="1" x14ac:dyDescent="0.3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874"/>
      <c r="AR776" s="874"/>
      <c r="AS776" s="874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43"/>
      <c r="BN776" s="116"/>
      <c r="BW776" s="1"/>
      <c r="BX776" s="1"/>
      <c r="BY776" s="1"/>
      <c r="BZ776" s="655"/>
      <c r="CB776" s="656"/>
      <c r="CC776" s="1"/>
      <c r="CD776" s="1"/>
      <c r="CE776" s="1"/>
      <c r="CF776" s="1"/>
      <c r="CG776" s="1"/>
      <c r="CH776" s="1"/>
      <c r="CI776" s="1"/>
      <c r="CJ776" s="1"/>
      <c r="CR776" s="305"/>
      <c r="CT776" s="116"/>
      <c r="DB776" s="1"/>
      <c r="DC776" s="1"/>
      <c r="DD776" s="1"/>
      <c r="DE776" s="1"/>
      <c r="DF776" s="1"/>
      <c r="DG776" s="1"/>
      <c r="DH776" s="1"/>
      <c r="DI776" s="1"/>
      <c r="DJ776" s="655"/>
      <c r="DL776" s="116"/>
    </row>
    <row r="777" spans="2:116" ht="15.75" customHeight="1" x14ac:dyDescent="0.3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874"/>
      <c r="AR777" s="874"/>
      <c r="AS777" s="874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43"/>
      <c r="BN777" s="116"/>
      <c r="BW777" s="1"/>
      <c r="BX777" s="1"/>
      <c r="BY777" s="1"/>
      <c r="BZ777" s="655"/>
      <c r="CB777" s="656"/>
      <c r="CC777" s="1"/>
      <c r="CD777" s="1"/>
      <c r="CE777" s="1"/>
      <c r="CF777" s="1"/>
      <c r="CG777" s="1"/>
      <c r="CH777" s="1"/>
      <c r="CI777" s="1"/>
      <c r="CJ777" s="1"/>
      <c r="CR777" s="305"/>
      <c r="CT777" s="116"/>
      <c r="DB777" s="1"/>
      <c r="DC777" s="1"/>
      <c r="DD777" s="1"/>
      <c r="DE777" s="1"/>
      <c r="DF777" s="1"/>
      <c r="DG777" s="1"/>
      <c r="DH777" s="1"/>
      <c r="DI777" s="1"/>
      <c r="DJ777" s="655"/>
      <c r="DL777" s="116"/>
    </row>
    <row r="778" spans="2:116" ht="15.75" customHeight="1" x14ac:dyDescent="0.3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874"/>
      <c r="AR778" s="874"/>
      <c r="AS778" s="874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43"/>
      <c r="BN778" s="116"/>
      <c r="BW778" s="1"/>
      <c r="BX778" s="1"/>
      <c r="BY778" s="1"/>
      <c r="BZ778" s="655"/>
      <c r="CB778" s="656"/>
      <c r="CC778" s="1"/>
      <c r="CD778" s="1"/>
      <c r="CE778" s="1"/>
      <c r="CF778" s="1"/>
      <c r="CG778" s="1"/>
      <c r="CH778" s="1"/>
      <c r="CI778" s="1"/>
      <c r="CJ778" s="1"/>
      <c r="CR778" s="305"/>
      <c r="CT778" s="116"/>
      <c r="DB778" s="1"/>
      <c r="DC778" s="1"/>
      <c r="DD778" s="1"/>
      <c r="DE778" s="1"/>
      <c r="DF778" s="1"/>
      <c r="DG778" s="1"/>
      <c r="DH778" s="1"/>
      <c r="DI778" s="1"/>
      <c r="DJ778" s="655"/>
      <c r="DL778" s="116"/>
    </row>
    <row r="779" spans="2:116" ht="15.75" customHeight="1" x14ac:dyDescent="0.3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874"/>
      <c r="AR779" s="874"/>
      <c r="AS779" s="874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43"/>
      <c r="BN779" s="116"/>
      <c r="BW779" s="1"/>
      <c r="BX779" s="1"/>
      <c r="BY779" s="1"/>
      <c r="BZ779" s="655"/>
      <c r="CB779" s="656"/>
      <c r="CC779" s="1"/>
      <c r="CD779" s="1"/>
      <c r="CE779" s="1"/>
      <c r="CF779" s="1"/>
      <c r="CG779" s="1"/>
      <c r="CH779" s="1"/>
      <c r="CI779" s="1"/>
      <c r="CJ779" s="1"/>
      <c r="CR779" s="305"/>
      <c r="CT779" s="116"/>
      <c r="DB779" s="1"/>
      <c r="DC779" s="1"/>
      <c r="DD779" s="1"/>
      <c r="DE779" s="1"/>
      <c r="DF779" s="1"/>
      <c r="DG779" s="1"/>
      <c r="DH779" s="1"/>
      <c r="DI779" s="1"/>
      <c r="DJ779" s="655"/>
      <c r="DL779" s="116"/>
    </row>
    <row r="780" spans="2:116" ht="15.75" customHeight="1" x14ac:dyDescent="0.3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874"/>
      <c r="AR780" s="874"/>
      <c r="AS780" s="874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43"/>
      <c r="BN780" s="116"/>
      <c r="BW780" s="1"/>
      <c r="BX780" s="1"/>
      <c r="BY780" s="1"/>
      <c r="BZ780" s="655"/>
      <c r="CB780" s="656"/>
      <c r="CC780" s="1"/>
      <c r="CD780" s="1"/>
      <c r="CE780" s="1"/>
      <c r="CF780" s="1"/>
      <c r="CG780" s="1"/>
      <c r="CH780" s="1"/>
      <c r="CI780" s="1"/>
      <c r="CJ780" s="1"/>
      <c r="CR780" s="305"/>
      <c r="CT780" s="116"/>
      <c r="DB780" s="1"/>
      <c r="DC780" s="1"/>
      <c r="DD780" s="1"/>
      <c r="DE780" s="1"/>
      <c r="DF780" s="1"/>
      <c r="DG780" s="1"/>
      <c r="DH780" s="1"/>
      <c r="DI780" s="1"/>
      <c r="DJ780" s="655"/>
      <c r="DL780" s="116"/>
    </row>
    <row r="781" spans="2:116" ht="15.75" customHeight="1" x14ac:dyDescent="0.3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874"/>
      <c r="AR781" s="874"/>
      <c r="AS781" s="874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43"/>
      <c r="BN781" s="116"/>
      <c r="BW781" s="1"/>
      <c r="BX781" s="1"/>
      <c r="BY781" s="1"/>
      <c r="BZ781" s="655"/>
      <c r="CB781" s="656"/>
      <c r="CC781" s="1"/>
      <c r="CD781" s="1"/>
      <c r="CE781" s="1"/>
      <c r="CF781" s="1"/>
      <c r="CG781" s="1"/>
      <c r="CH781" s="1"/>
      <c r="CI781" s="1"/>
      <c r="CJ781" s="1"/>
      <c r="CR781" s="305"/>
      <c r="CT781" s="116"/>
      <c r="DB781" s="1"/>
      <c r="DC781" s="1"/>
      <c r="DD781" s="1"/>
      <c r="DE781" s="1"/>
      <c r="DF781" s="1"/>
      <c r="DG781" s="1"/>
      <c r="DH781" s="1"/>
      <c r="DI781" s="1"/>
      <c r="DJ781" s="655"/>
      <c r="DL781" s="116"/>
    </row>
    <row r="782" spans="2:116" ht="15.75" customHeight="1" x14ac:dyDescent="0.3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874"/>
      <c r="AR782" s="874"/>
      <c r="AS782" s="874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43"/>
      <c r="BN782" s="116"/>
      <c r="BW782" s="1"/>
      <c r="BX782" s="1"/>
      <c r="BY782" s="1"/>
      <c r="BZ782" s="655"/>
      <c r="CB782" s="656"/>
      <c r="CC782" s="1"/>
      <c r="CD782" s="1"/>
      <c r="CE782" s="1"/>
      <c r="CF782" s="1"/>
      <c r="CG782" s="1"/>
      <c r="CH782" s="1"/>
      <c r="CI782" s="1"/>
      <c r="CJ782" s="1"/>
      <c r="CR782" s="305"/>
      <c r="CT782" s="116"/>
      <c r="DB782" s="1"/>
      <c r="DC782" s="1"/>
      <c r="DD782" s="1"/>
      <c r="DE782" s="1"/>
      <c r="DF782" s="1"/>
      <c r="DG782" s="1"/>
      <c r="DH782" s="1"/>
      <c r="DI782" s="1"/>
      <c r="DJ782" s="655"/>
      <c r="DL782" s="116"/>
    </row>
    <row r="783" spans="2:116" ht="15.75" customHeight="1" x14ac:dyDescent="0.3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874"/>
      <c r="AR783" s="874"/>
      <c r="AS783" s="874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43"/>
      <c r="BN783" s="116"/>
      <c r="BW783" s="1"/>
      <c r="BX783" s="1"/>
      <c r="BY783" s="1"/>
      <c r="BZ783" s="655"/>
      <c r="CB783" s="656"/>
      <c r="CC783" s="1"/>
      <c r="CD783" s="1"/>
      <c r="CE783" s="1"/>
      <c r="CF783" s="1"/>
      <c r="CG783" s="1"/>
      <c r="CH783" s="1"/>
      <c r="CI783" s="1"/>
      <c r="CJ783" s="1"/>
      <c r="CR783" s="305"/>
      <c r="CT783" s="116"/>
      <c r="DB783" s="1"/>
      <c r="DC783" s="1"/>
      <c r="DD783" s="1"/>
      <c r="DE783" s="1"/>
      <c r="DF783" s="1"/>
      <c r="DG783" s="1"/>
      <c r="DH783" s="1"/>
      <c r="DI783" s="1"/>
      <c r="DJ783" s="655"/>
      <c r="DL783" s="116"/>
    </row>
    <row r="784" spans="2:116" ht="15.75" customHeight="1" x14ac:dyDescent="0.3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874"/>
      <c r="AR784" s="874"/>
      <c r="AS784" s="874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43"/>
      <c r="BN784" s="116"/>
      <c r="BW784" s="1"/>
      <c r="BX784" s="1"/>
      <c r="BY784" s="1"/>
      <c r="BZ784" s="655"/>
      <c r="CB784" s="656"/>
      <c r="CC784" s="1"/>
      <c r="CD784" s="1"/>
      <c r="CE784" s="1"/>
      <c r="CF784" s="1"/>
      <c r="CG784" s="1"/>
      <c r="CH784" s="1"/>
      <c r="CI784" s="1"/>
      <c r="CJ784" s="1"/>
      <c r="CR784" s="305"/>
      <c r="CT784" s="116"/>
      <c r="DB784" s="1"/>
      <c r="DC784" s="1"/>
      <c r="DD784" s="1"/>
      <c r="DE784" s="1"/>
      <c r="DF784" s="1"/>
      <c r="DG784" s="1"/>
      <c r="DH784" s="1"/>
      <c r="DI784" s="1"/>
      <c r="DJ784" s="655"/>
      <c r="DL784" s="116"/>
    </row>
    <row r="785" spans="2:116" ht="15.75" customHeight="1" x14ac:dyDescent="0.3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874"/>
      <c r="AR785" s="874"/>
      <c r="AS785" s="874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43"/>
      <c r="BN785" s="116"/>
      <c r="BW785" s="1"/>
      <c r="BX785" s="1"/>
      <c r="BY785" s="1"/>
      <c r="BZ785" s="655"/>
      <c r="CB785" s="656"/>
      <c r="CC785" s="1"/>
      <c r="CD785" s="1"/>
      <c r="CE785" s="1"/>
      <c r="CF785" s="1"/>
      <c r="CG785" s="1"/>
      <c r="CH785" s="1"/>
      <c r="CI785" s="1"/>
      <c r="CJ785" s="1"/>
      <c r="CR785" s="305"/>
      <c r="CT785" s="116"/>
      <c r="DB785" s="1"/>
      <c r="DC785" s="1"/>
      <c r="DD785" s="1"/>
      <c r="DE785" s="1"/>
      <c r="DF785" s="1"/>
      <c r="DG785" s="1"/>
      <c r="DH785" s="1"/>
      <c r="DI785" s="1"/>
      <c r="DJ785" s="655"/>
      <c r="DL785" s="116"/>
    </row>
    <row r="786" spans="2:116" ht="15.75" customHeight="1" x14ac:dyDescent="0.3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874"/>
      <c r="AR786" s="874"/>
      <c r="AS786" s="874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43"/>
      <c r="BN786" s="116"/>
      <c r="BW786" s="1"/>
      <c r="BX786" s="1"/>
      <c r="BY786" s="1"/>
      <c r="BZ786" s="655"/>
      <c r="CB786" s="656"/>
      <c r="CC786" s="1"/>
      <c r="CD786" s="1"/>
      <c r="CE786" s="1"/>
      <c r="CF786" s="1"/>
      <c r="CG786" s="1"/>
      <c r="CH786" s="1"/>
      <c r="CI786" s="1"/>
      <c r="CJ786" s="1"/>
      <c r="CR786" s="305"/>
      <c r="CT786" s="116"/>
      <c r="DB786" s="1"/>
      <c r="DC786" s="1"/>
      <c r="DD786" s="1"/>
      <c r="DE786" s="1"/>
      <c r="DF786" s="1"/>
      <c r="DG786" s="1"/>
      <c r="DH786" s="1"/>
      <c r="DI786" s="1"/>
      <c r="DJ786" s="655"/>
      <c r="DL786" s="116"/>
    </row>
    <row r="787" spans="2:116" ht="15.75" customHeight="1" x14ac:dyDescent="0.3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874"/>
      <c r="AR787" s="874"/>
      <c r="AS787" s="874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43"/>
      <c r="BN787" s="116"/>
      <c r="BW787" s="1"/>
      <c r="BX787" s="1"/>
      <c r="BY787" s="1"/>
      <c r="BZ787" s="655"/>
      <c r="CB787" s="656"/>
      <c r="CC787" s="1"/>
      <c r="CD787" s="1"/>
      <c r="CE787" s="1"/>
      <c r="CF787" s="1"/>
      <c r="CG787" s="1"/>
      <c r="CH787" s="1"/>
      <c r="CI787" s="1"/>
      <c r="CJ787" s="1"/>
      <c r="CR787" s="305"/>
      <c r="CT787" s="116"/>
      <c r="DB787" s="1"/>
      <c r="DC787" s="1"/>
      <c r="DD787" s="1"/>
      <c r="DE787" s="1"/>
      <c r="DF787" s="1"/>
      <c r="DG787" s="1"/>
      <c r="DH787" s="1"/>
      <c r="DI787" s="1"/>
      <c r="DJ787" s="655"/>
      <c r="DL787" s="116"/>
    </row>
    <row r="788" spans="2:116" ht="15.75" customHeight="1" x14ac:dyDescent="0.3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874"/>
      <c r="AR788" s="874"/>
      <c r="AS788" s="874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43"/>
      <c r="BN788" s="116"/>
      <c r="BW788" s="1"/>
      <c r="BX788" s="1"/>
      <c r="BY788" s="1"/>
      <c r="BZ788" s="655"/>
      <c r="CB788" s="656"/>
      <c r="CC788" s="1"/>
      <c r="CD788" s="1"/>
      <c r="CE788" s="1"/>
      <c r="CF788" s="1"/>
      <c r="CG788" s="1"/>
      <c r="CH788" s="1"/>
      <c r="CI788" s="1"/>
      <c r="CJ788" s="1"/>
      <c r="CR788" s="305"/>
      <c r="CT788" s="116"/>
      <c r="DB788" s="1"/>
      <c r="DC788" s="1"/>
      <c r="DD788" s="1"/>
      <c r="DE788" s="1"/>
      <c r="DF788" s="1"/>
      <c r="DG788" s="1"/>
      <c r="DH788" s="1"/>
      <c r="DI788" s="1"/>
      <c r="DJ788" s="655"/>
      <c r="DL788" s="116"/>
    </row>
    <row r="789" spans="2:116" ht="15.75" customHeight="1" x14ac:dyDescent="0.3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874"/>
      <c r="AR789" s="874"/>
      <c r="AS789" s="874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43"/>
      <c r="BN789" s="116"/>
      <c r="BW789" s="1"/>
      <c r="BX789" s="1"/>
      <c r="BY789" s="1"/>
      <c r="BZ789" s="655"/>
      <c r="CB789" s="656"/>
      <c r="CC789" s="1"/>
      <c r="CD789" s="1"/>
      <c r="CE789" s="1"/>
      <c r="CF789" s="1"/>
      <c r="CG789" s="1"/>
      <c r="CH789" s="1"/>
      <c r="CI789" s="1"/>
      <c r="CJ789" s="1"/>
      <c r="CR789" s="305"/>
      <c r="CT789" s="116"/>
      <c r="DB789" s="1"/>
      <c r="DC789" s="1"/>
      <c r="DD789" s="1"/>
      <c r="DE789" s="1"/>
      <c r="DF789" s="1"/>
      <c r="DG789" s="1"/>
      <c r="DH789" s="1"/>
      <c r="DI789" s="1"/>
      <c r="DJ789" s="655"/>
      <c r="DL789" s="116"/>
    </row>
    <row r="790" spans="2:116" ht="15.75" customHeight="1" x14ac:dyDescent="0.3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874"/>
      <c r="AR790" s="874"/>
      <c r="AS790" s="874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43"/>
      <c r="BN790" s="116"/>
      <c r="BW790" s="1"/>
      <c r="BX790" s="1"/>
      <c r="BY790" s="1"/>
      <c r="BZ790" s="655"/>
      <c r="CB790" s="656"/>
      <c r="CC790" s="1"/>
      <c r="CD790" s="1"/>
      <c r="CE790" s="1"/>
      <c r="CF790" s="1"/>
      <c r="CG790" s="1"/>
      <c r="CH790" s="1"/>
      <c r="CI790" s="1"/>
      <c r="CJ790" s="1"/>
      <c r="CR790" s="305"/>
      <c r="CT790" s="116"/>
      <c r="DB790" s="1"/>
      <c r="DC790" s="1"/>
      <c r="DD790" s="1"/>
      <c r="DE790" s="1"/>
      <c r="DF790" s="1"/>
      <c r="DG790" s="1"/>
      <c r="DH790" s="1"/>
      <c r="DI790" s="1"/>
      <c r="DJ790" s="655"/>
      <c r="DL790" s="116"/>
    </row>
    <row r="791" spans="2:116" ht="15.75" customHeight="1" x14ac:dyDescent="0.3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874"/>
      <c r="AR791" s="874"/>
      <c r="AS791" s="874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43"/>
      <c r="BN791" s="116"/>
      <c r="BW791" s="1"/>
      <c r="BX791" s="1"/>
      <c r="BY791" s="1"/>
      <c r="BZ791" s="655"/>
      <c r="CB791" s="656"/>
      <c r="CC791" s="1"/>
      <c r="CD791" s="1"/>
      <c r="CE791" s="1"/>
      <c r="CF791" s="1"/>
      <c r="CG791" s="1"/>
      <c r="CH791" s="1"/>
      <c r="CI791" s="1"/>
      <c r="CJ791" s="1"/>
      <c r="CR791" s="305"/>
      <c r="CT791" s="116"/>
      <c r="DB791" s="1"/>
      <c r="DC791" s="1"/>
      <c r="DD791" s="1"/>
      <c r="DE791" s="1"/>
      <c r="DF791" s="1"/>
      <c r="DG791" s="1"/>
      <c r="DH791" s="1"/>
      <c r="DI791" s="1"/>
      <c r="DJ791" s="655"/>
      <c r="DL791" s="116"/>
    </row>
    <row r="792" spans="2:116" ht="15.75" customHeight="1" x14ac:dyDescent="0.3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874"/>
      <c r="AR792" s="874"/>
      <c r="AS792" s="874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43"/>
      <c r="BN792" s="116"/>
      <c r="BW792" s="1"/>
      <c r="BX792" s="1"/>
      <c r="BY792" s="1"/>
      <c r="BZ792" s="655"/>
      <c r="CB792" s="656"/>
      <c r="CC792" s="1"/>
      <c r="CD792" s="1"/>
      <c r="CE792" s="1"/>
      <c r="CF792" s="1"/>
      <c r="CG792" s="1"/>
      <c r="CH792" s="1"/>
      <c r="CI792" s="1"/>
      <c r="CJ792" s="1"/>
      <c r="CR792" s="305"/>
      <c r="CT792" s="116"/>
      <c r="DB792" s="1"/>
      <c r="DC792" s="1"/>
      <c r="DD792" s="1"/>
      <c r="DE792" s="1"/>
      <c r="DF792" s="1"/>
      <c r="DG792" s="1"/>
      <c r="DH792" s="1"/>
      <c r="DI792" s="1"/>
      <c r="DJ792" s="655"/>
      <c r="DL792" s="116"/>
    </row>
    <row r="793" spans="2:116" ht="15.75" customHeight="1" x14ac:dyDescent="0.3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874"/>
      <c r="AR793" s="874"/>
      <c r="AS793" s="874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43"/>
      <c r="BN793" s="116"/>
      <c r="BW793" s="1"/>
      <c r="BX793" s="1"/>
      <c r="BY793" s="1"/>
      <c r="BZ793" s="655"/>
      <c r="CB793" s="656"/>
      <c r="CC793" s="1"/>
      <c r="CD793" s="1"/>
      <c r="CE793" s="1"/>
      <c r="CF793" s="1"/>
      <c r="CG793" s="1"/>
      <c r="CH793" s="1"/>
      <c r="CI793" s="1"/>
      <c r="CJ793" s="1"/>
      <c r="CR793" s="305"/>
      <c r="CT793" s="116"/>
      <c r="DB793" s="1"/>
      <c r="DC793" s="1"/>
      <c r="DD793" s="1"/>
      <c r="DE793" s="1"/>
      <c r="DF793" s="1"/>
      <c r="DG793" s="1"/>
      <c r="DH793" s="1"/>
      <c r="DI793" s="1"/>
      <c r="DJ793" s="655"/>
      <c r="DL793" s="116"/>
    </row>
    <row r="794" spans="2:116" ht="15.75" customHeight="1" x14ac:dyDescent="0.3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874"/>
      <c r="AR794" s="874"/>
      <c r="AS794" s="874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43"/>
      <c r="BN794" s="116"/>
      <c r="BW794" s="1"/>
      <c r="BX794" s="1"/>
      <c r="BY794" s="1"/>
      <c r="BZ794" s="655"/>
      <c r="CB794" s="656"/>
      <c r="CC794" s="1"/>
      <c r="CD794" s="1"/>
      <c r="CE794" s="1"/>
      <c r="CF794" s="1"/>
      <c r="CG794" s="1"/>
      <c r="CH794" s="1"/>
      <c r="CI794" s="1"/>
      <c r="CJ794" s="1"/>
      <c r="CR794" s="305"/>
      <c r="CT794" s="116"/>
      <c r="DB794" s="1"/>
      <c r="DC794" s="1"/>
      <c r="DD794" s="1"/>
      <c r="DE794" s="1"/>
      <c r="DF794" s="1"/>
      <c r="DG794" s="1"/>
      <c r="DH794" s="1"/>
      <c r="DI794" s="1"/>
      <c r="DJ794" s="655"/>
      <c r="DL794" s="116"/>
    </row>
    <row r="795" spans="2:116" ht="15.75" customHeight="1" x14ac:dyDescent="0.3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874"/>
      <c r="AR795" s="874"/>
      <c r="AS795" s="874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43"/>
      <c r="BN795" s="116"/>
      <c r="BW795" s="1"/>
      <c r="BX795" s="1"/>
      <c r="BY795" s="1"/>
      <c r="BZ795" s="655"/>
      <c r="CB795" s="656"/>
      <c r="CC795" s="1"/>
      <c r="CD795" s="1"/>
      <c r="CE795" s="1"/>
      <c r="CF795" s="1"/>
      <c r="CG795" s="1"/>
      <c r="CH795" s="1"/>
      <c r="CI795" s="1"/>
      <c r="CJ795" s="1"/>
      <c r="CR795" s="305"/>
      <c r="CT795" s="116"/>
      <c r="DB795" s="1"/>
      <c r="DC795" s="1"/>
      <c r="DD795" s="1"/>
      <c r="DE795" s="1"/>
      <c r="DF795" s="1"/>
      <c r="DG795" s="1"/>
      <c r="DH795" s="1"/>
      <c r="DI795" s="1"/>
      <c r="DJ795" s="655"/>
      <c r="DL795" s="116"/>
    </row>
    <row r="796" spans="2:116" ht="15.75" customHeight="1" x14ac:dyDescent="0.3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874"/>
      <c r="AR796" s="874"/>
      <c r="AS796" s="874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43"/>
      <c r="BN796" s="116"/>
      <c r="BW796" s="1"/>
      <c r="BX796" s="1"/>
      <c r="BY796" s="1"/>
      <c r="BZ796" s="655"/>
      <c r="CB796" s="656"/>
      <c r="CC796" s="1"/>
      <c r="CD796" s="1"/>
      <c r="CE796" s="1"/>
      <c r="CF796" s="1"/>
      <c r="CG796" s="1"/>
      <c r="CH796" s="1"/>
      <c r="CI796" s="1"/>
      <c r="CJ796" s="1"/>
      <c r="CR796" s="305"/>
      <c r="CT796" s="116"/>
      <c r="DB796" s="1"/>
      <c r="DC796" s="1"/>
      <c r="DD796" s="1"/>
      <c r="DE796" s="1"/>
      <c r="DF796" s="1"/>
      <c r="DG796" s="1"/>
      <c r="DH796" s="1"/>
      <c r="DI796" s="1"/>
      <c r="DJ796" s="655"/>
      <c r="DL796" s="116"/>
    </row>
    <row r="797" spans="2:116" ht="15.75" customHeight="1" x14ac:dyDescent="0.3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874"/>
      <c r="AR797" s="874"/>
      <c r="AS797" s="874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43"/>
      <c r="BN797" s="116"/>
      <c r="BW797" s="1"/>
      <c r="BX797" s="1"/>
      <c r="BY797" s="1"/>
      <c r="BZ797" s="655"/>
      <c r="CB797" s="656"/>
      <c r="CC797" s="1"/>
      <c r="CD797" s="1"/>
      <c r="CE797" s="1"/>
      <c r="CF797" s="1"/>
      <c r="CG797" s="1"/>
      <c r="CH797" s="1"/>
      <c r="CI797" s="1"/>
      <c r="CJ797" s="1"/>
      <c r="CR797" s="305"/>
      <c r="CT797" s="116"/>
      <c r="DB797" s="1"/>
      <c r="DC797" s="1"/>
      <c r="DD797" s="1"/>
      <c r="DE797" s="1"/>
      <c r="DF797" s="1"/>
      <c r="DG797" s="1"/>
      <c r="DH797" s="1"/>
      <c r="DI797" s="1"/>
      <c r="DJ797" s="655"/>
      <c r="DL797" s="116"/>
    </row>
    <row r="798" spans="2:116" ht="15.75" customHeight="1" x14ac:dyDescent="0.3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874"/>
      <c r="AR798" s="874"/>
      <c r="AS798" s="874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43"/>
      <c r="BN798" s="116"/>
      <c r="BW798" s="1"/>
      <c r="BX798" s="1"/>
      <c r="BY798" s="1"/>
      <c r="BZ798" s="655"/>
      <c r="CB798" s="656"/>
      <c r="CC798" s="1"/>
      <c r="CD798" s="1"/>
      <c r="CE798" s="1"/>
      <c r="CF798" s="1"/>
      <c r="CG798" s="1"/>
      <c r="CH798" s="1"/>
      <c r="CI798" s="1"/>
      <c r="CJ798" s="1"/>
      <c r="CR798" s="305"/>
      <c r="CT798" s="116"/>
      <c r="DB798" s="1"/>
      <c r="DC798" s="1"/>
      <c r="DD798" s="1"/>
      <c r="DE798" s="1"/>
      <c r="DF798" s="1"/>
      <c r="DG798" s="1"/>
      <c r="DH798" s="1"/>
      <c r="DI798" s="1"/>
      <c r="DJ798" s="655"/>
      <c r="DL798" s="116"/>
    </row>
    <row r="799" spans="2:116" ht="15.75" customHeight="1" x14ac:dyDescent="0.3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874"/>
      <c r="AR799" s="874"/>
      <c r="AS799" s="874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43"/>
      <c r="BN799" s="116"/>
      <c r="BW799" s="1"/>
      <c r="BX799" s="1"/>
      <c r="BY799" s="1"/>
      <c r="BZ799" s="655"/>
      <c r="CB799" s="656"/>
      <c r="CC799" s="1"/>
      <c r="CD799" s="1"/>
      <c r="CE799" s="1"/>
      <c r="CF799" s="1"/>
      <c r="CG799" s="1"/>
      <c r="CH799" s="1"/>
      <c r="CI799" s="1"/>
      <c r="CJ799" s="1"/>
      <c r="CR799" s="305"/>
      <c r="CT799" s="116"/>
      <c r="DB799" s="1"/>
      <c r="DC799" s="1"/>
      <c r="DD799" s="1"/>
      <c r="DE799" s="1"/>
      <c r="DF799" s="1"/>
      <c r="DG799" s="1"/>
      <c r="DH799" s="1"/>
      <c r="DI799" s="1"/>
      <c r="DJ799" s="655"/>
      <c r="DL799" s="116"/>
    </row>
    <row r="800" spans="2:116" ht="15.75" customHeight="1" x14ac:dyDescent="0.3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874"/>
      <c r="AR800" s="874"/>
      <c r="AS800" s="874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43"/>
      <c r="BN800" s="116"/>
      <c r="BW800" s="1"/>
      <c r="BX800" s="1"/>
      <c r="BY800" s="1"/>
      <c r="BZ800" s="655"/>
      <c r="CB800" s="656"/>
      <c r="CC800" s="1"/>
      <c r="CD800" s="1"/>
      <c r="CE800" s="1"/>
      <c r="CF800" s="1"/>
      <c r="CG800" s="1"/>
      <c r="CH800" s="1"/>
      <c r="CI800" s="1"/>
      <c r="CJ800" s="1"/>
      <c r="CR800" s="305"/>
      <c r="CT800" s="116"/>
      <c r="DB800" s="1"/>
      <c r="DC800" s="1"/>
      <c r="DD800" s="1"/>
      <c r="DE800" s="1"/>
      <c r="DF800" s="1"/>
      <c r="DG800" s="1"/>
      <c r="DH800" s="1"/>
      <c r="DI800" s="1"/>
      <c r="DJ800" s="655"/>
      <c r="DL800" s="116"/>
    </row>
    <row r="801" spans="2:116" ht="15.75" customHeight="1" x14ac:dyDescent="0.3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874"/>
      <c r="AR801" s="874"/>
      <c r="AS801" s="874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43"/>
      <c r="BN801" s="116"/>
      <c r="BW801" s="1"/>
      <c r="BX801" s="1"/>
      <c r="BY801" s="1"/>
      <c r="BZ801" s="655"/>
      <c r="CB801" s="656"/>
      <c r="CC801" s="1"/>
      <c r="CD801" s="1"/>
      <c r="CE801" s="1"/>
      <c r="CF801" s="1"/>
      <c r="CG801" s="1"/>
      <c r="CH801" s="1"/>
      <c r="CI801" s="1"/>
      <c r="CJ801" s="1"/>
      <c r="CR801" s="305"/>
      <c r="CT801" s="116"/>
      <c r="DB801" s="1"/>
      <c r="DC801" s="1"/>
      <c r="DD801" s="1"/>
      <c r="DE801" s="1"/>
      <c r="DF801" s="1"/>
      <c r="DG801" s="1"/>
      <c r="DH801" s="1"/>
      <c r="DI801" s="1"/>
      <c r="DJ801" s="655"/>
      <c r="DL801" s="116"/>
    </row>
    <row r="802" spans="2:116" ht="15.75" customHeight="1" x14ac:dyDescent="0.3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874"/>
      <c r="AR802" s="874"/>
      <c r="AS802" s="874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43"/>
      <c r="BN802" s="116"/>
      <c r="BW802" s="1"/>
      <c r="BX802" s="1"/>
      <c r="BY802" s="1"/>
      <c r="BZ802" s="655"/>
      <c r="CB802" s="656"/>
      <c r="CC802" s="1"/>
      <c r="CD802" s="1"/>
      <c r="CE802" s="1"/>
      <c r="CF802" s="1"/>
      <c r="CG802" s="1"/>
      <c r="CH802" s="1"/>
      <c r="CI802" s="1"/>
      <c r="CJ802" s="1"/>
      <c r="CR802" s="305"/>
      <c r="CT802" s="116"/>
      <c r="DB802" s="1"/>
      <c r="DC802" s="1"/>
      <c r="DD802" s="1"/>
      <c r="DE802" s="1"/>
      <c r="DF802" s="1"/>
      <c r="DG802" s="1"/>
      <c r="DH802" s="1"/>
      <c r="DI802" s="1"/>
      <c r="DJ802" s="655"/>
      <c r="DL802" s="116"/>
    </row>
    <row r="803" spans="2:116" ht="15.75" customHeight="1" x14ac:dyDescent="0.3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874"/>
      <c r="AR803" s="874"/>
      <c r="AS803" s="874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43"/>
      <c r="BN803" s="116"/>
      <c r="BW803" s="1"/>
      <c r="BX803" s="1"/>
      <c r="BY803" s="1"/>
      <c r="BZ803" s="655"/>
      <c r="CB803" s="656"/>
      <c r="CC803" s="1"/>
      <c r="CD803" s="1"/>
      <c r="CE803" s="1"/>
      <c r="CF803" s="1"/>
      <c r="CG803" s="1"/>
      <c r="CH803" s="1"/>
      <c r="CI803" s="1"/>
      <c r="CJ803" s="1"/>
      <c r="CR803" s="305"/>
      <c r="CT803" s="116"/>
      <c r="DB803" s="1"/>
      <c r="DC803" s="1"/>
      <c r="DD803" s="1"/>
      <c r="DE803" s="1"/>
      <c r="DF803" s="1"/>
      <c r="DG803" s="1"/>
      <c r="DH803" s="1"/>
      <c r="DI803" s="1"/>
      <c r="DJ803" s="655"/>
      <c r="DL803" s="116"/>
    </row>
    <row r="804" spans="2:116" ht="15.75" customHeight="1" x14ac:dyDescent="0.3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874"/>
      <c r="AR804" s="874"/>
      <c r="AS804" s="874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43"/>
      <c r="BN804" s="116"/>
      <c r="BW804" s="1"/>
      <c r="BX804" s="1"/>
      <c r="BY804" s="1"/>
      <c r="BZ804" s="655"/>
      <c r="CB804" s="656"/>
      <c r="CC804" s="1"/>
      <c r="CD804" s="1"/>
      <c r="CE804" s="1"/>
      <c r="CF804" s="1"/>
      <c r="CG804" s="1"/>
      <c r="CH804" s="1"/>
      <c r="CI804" s="1"/>
      <c r="CJ804" s="1"/>
      <c r="CR804" s="305"/>
      <c r="CT804" s="116"/>
      <c r="DB804" s="1"/>
      <c r="DC804" s="1"/>
      <c r="DD804" s="1"/>
      <c r="DE804" s="1"/>
      <c r="DF804" s="1"/>
      <c r="DG804" s="1"/>
      <c r="DH804" s="1"/>
      <c r="DI804" s="1"/>
      <c r="DJ804" s="655"/>
      <c r="DL804" s="116"/>
    </row>
    <row r="805" spans="2:116" ht="15.75" customHeight="1" x14ac:dyDescent="0.3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874"/>
      <c r="AR805" s="874"/>
      <c r="AS805" s="874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43"/>
      <c r="BN805" s="116"/>
      <c r="BW805" s="1"/>
      <c r="BX805" s="1"/>
      <c r="BY805" s="1"/>
      <c r="BZ805" s="655"/>
      <c r="CB805" s="656"/>
      <c r="CC805" s="1"/>
      <c r="CD805" s="1"/>
      <c r="CE805" s="1"/>
      <c r="CF805" s="1"/>
      <c r="CG805" s="1"/>
      <c r="CH805" s="1"/>
      <c r="CI805" s="1"/>
      <c r="CJ805" s="1"/>
      <c r="CR805" s="305"/>
      <c r="CT805" s="116"/>
      <c r="DB805" s="1"/>
      <c r="DC805" s="1"/>
      <c r="DD805" s="1"/>
      <c r="DE805" s="1"/>
      <c r="DF805" s="1"/>
      <c r="DG805" s="1"/>
      <c r="DH805" s="1"/>
      <c r="DI805" s="1"/>
      <c r="DJ805" s="655"/>
      <c r="DL805" s="116"/>
    </row>
    <row r="806" spans="2:116" ht="15.75" customHeight="1" x14ac:dyDescent="0.3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874"/>
      <c r="AR806" s="874"/>
      <c r="AS806" s="874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43"/>
      <c r="BN806" s="116"/>
      <c r="BW806" s="1"/>
      <c r="BX806" s="1"/>
      <c r="BY806" s="1"/>
      <c r="BZ806" s="655"/>
      <c r="CB806" s="656"/>
      <c r="CC806" s="1"/>
      <c r="CD806" s="1"/>
      <c r="CE806" s="1"/>
      <c r="CF806" s="1"/>
      <c r="CG806" s="1"/>
      <c r="CH806" s="1"/>
      <c r="CI806" s="1"/>
      <c r="CJ806" s="1"/>
      <c r="CR806" s="305"/>
      <c r="CT806" s="116"/>
      <c r="DB806" s="1"/>
      <c r="DC806" s="1"/>
      <c r="DD806" s="1"/>
      <c r="DE806" s="1"/>
      <c r="DF806" s="1"/>
      <c r="DG806" s="1"/>
      <c r="DH806" s="1"/>
      <c r="DI806" s="1"/>
      <c r="DJ806" s="655"/>
      <c r="DL806" s="116"/>
    </row>
    <row r="807" spans="2:116" ht="15.75" customHeight="1" x14ac:dyDescent="0.3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874"/>
      <c r="AR807" s="874"/>
      <c r="AS807" s="874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43"/>
      <c r="BN807" s="116"/>
      <c r="BW807" s="1"/>
      <c r="BX807" s="1"/>
      <c r="BY807" s="1"/>
      <c r="BZ807" s="655"/>
      <c r="CB807" s="656"/>
      <c r="CC807" s="1"/>
      <c r="CD807" s="1"/>
      <c r="CE807" s="1"/>
      <c r="CF807" s="1"/>
      <c r="CG807" s="1"/>
      <c r="CH807" s="1"/>
      <c r="CI807" s="1"/>
      <c r="CJ807" s="1"/>
      <c r="CR807" s="305"/>
      <c r="CT807" s="116"/>
      <c r="DB807" s="1"/>
      <c r="DC807" s="1"/>
      <c r="DD807" s="1"/>
      <c r="DE807" s="1"/>
      <c r="DF807" s="1"/>
      <c r="DG807" s="1"/>
      <c r="DH807" s="1"/>
      <c r="DI807" s="1"/>
      <c r="DJ807" s="655"/>
      <c r="DL807" s="116"/>
    </row>
    <row r="808" spans="2:116" ht="15.75" customHeight="1" x14ac:dyDescent="0.3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874"/>
      <c r="AR808" s="874"/>
      <c r="AS808" s="874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43"/>
      <c r="BN808" s="116"/>
      <c r="BW808" s="1"/>
      <c r="BX808" s="1"/>
      <c r="BY808" s="1"/>
      <c r="BZ808" s="655"/>
      <c r="CB808" s="656"/>
      <c r="CC808" s="1"/>
      <c r="CD808" s="1"/>
      <c r="CE808" s="1"/>
      <c r="CF808" s="1"/>
      <c r="CG808" s="1"/>
      <c r="CH808" s="1"/>
      <c r="CI808" s="1"/>
      <c r="CJ808" s="1"/>
      <c r="CR808" s="305"/>
      <c r="CT808" s="116"/>
      <c r="DB808" s="1"/>
      <c r="DC808" s="1"/>
      <c r="DD808" s="1"/>
      <c r="DE808" s="1"/>
      <c r="DF808" s="1"/>
      <c r="DG808" s="1"/>
      <c r="DH808" s="1"/>
      <c r="DI808" s="1"/>
      <c r="DJ808" s="655"/>
      <c r="DL808" s="116"/>
    </row>
    <row r="809" spans="2:116" ht="15.75" customHeight="1" x14ac:dyDescent="0.3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874"/>
      <c r="AR809" s="874"/>
      <c r="AS809" s="874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43"/>
      <c r="BN809" s="116"/>
      <c r="BW809" s="1"/>
      <c r="BX809" s="1"/>
      <c r="BY809" s="1"/>
      <c r="BZ809" s="655"/>
      <c r="CB809" s="656"/>
      <c r="CC809" s="1"/>
      <c r="CD809" s="1"/>
      <c r="CE809" s="1"/>
      <c r="CF809" s="1"/>
      <c r="CG809" s="1"/>
      <c r="CH809" s="1"/>
      <c r="CI809" s="1"/>
      <c r="CJ809" s="1"/>
      <c r="CR809" s="305"/>
      <c r="CT809" s="116"/>
      <c r="DB809" s="1"/>
      <c r="DC809" s="1"/>
      <c r="DD809" s="1"/>
      <c r="DE809" s="1"/>
      <c r="DF809" s="1"/>
      <c r="DG809" s="1"/>
      <c r="DH809" s="1"/>
      <c r="DI809" s="1"/>
      <c r="DJ809" s="655"/>
      <c r="DL809" s="116"/>
    </row>
    <row r="810" spans="2:116" ht="15.75" customHeight="1" x14ac:dyDescent="0.3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874"/>
      <c r="AR810" s="874"/>
      <c r="AS810" s="874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43"/>
      <c r="BN810" s="116"/>
      <c r="BW810" s="1"/>
      <c r="BX810" s="1"/>
      <c r="BY810" s="1"/>
      <c r="BZ810" s="655"/>
      <c r="CB810" s="656"/>
      <c r="CC810" s="1"/>
      <c r="CD810" s="1"/>
      <c r="CE810" s="1"/>
      <c r="CF810" s="1"/>
      <c r="CG810" s="1"/>
      <c r="CH810" s="1"/>
      <c r="CI810" s="1"/>
      <c r="CJ810" s="1"/>
      <c r="CR810" s="305"/>
      <c r="CT810" s="116"/>
      <c r="DB810" s="1"/>
      <c r="DC810" s="1"/>
      <c r="DD810" s="1"/>
      <c r="DE810" s="1"/>
      <c r="DF810" s="1"/>
      <c r="DG810" s="1"/>
      <c r="DH810" s="1"/>
      <c r="DI810" s="1"/>
      <c r="DJ810" s="655"/>
      <c r="DL810" s="116"/>
    </row>
    <row r="811" spans="2:116" ht="15.75" customHeight="1" x14ac:dyDescent="0.3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874"/>
      <c r="AR811" s="874"/>
      <c r="AS811" s="874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43"/>
      <c r="BN811" s="116"/>
      <c r="BW811" s="1"/>
      <c r="BX811" s="1"/>
      <c r="BY811" s="1"/>
      <c r="BZ811" s="655"/>
      <c r="CB811" s="656"/>
      <c r="CC811" s="1"/>
      <c r="CD811" s="1"/>
      <c r="CE811" s="1"/>
      <c r="CF811" s="1"/>
      <c r="CG811" s="1"/>
      <c r="CH811" s="1"/>
      <c r="CI811" s="1"/>
      <c r="CJ811" s="1"/>
      <c r="CR811" s="305"/>
      <c r="CT811" s="116"/>
      <c r="DB811" s="1"/>
      <c r="DC811" s="1"/>
      <c r="DD811" s="1"/>
      <c r="DE811" s="1"/>
      <c r="DF811" s="1"/>
      <c r="DG811" s="1"/>
      <c r="DH811" s="1"/>
      <c r="DI811" s="1"/>
      <c r="DJ811" s="655"/>
      <c r="DL811" s="116"/>
    </row>
    <row r="812" spans="2:116" ht="15.75" customHeight="1" x14ac:dyDescent="0.3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874"/>
      <c r="AR812" s="874"/>
      <c r="AS812" s="874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43"/>
      <c r="BN812" s="116"/>
      <c r="BW812" s="1"/>
      <c r="BX812" s="1"/>
      <c r="BY812" s="1"/>
      <c r="BZ812" s="655"/>
      <c r="CB812" s="656"/>
      <c r="CC812" s="1"/>
      <c r="CD812" s="1"/>
      <c r="CE812" s="1"/>
      <c r="CF812" s="1"/>
      <c r="CG812" s="1"/>
      <c r="CH812" s="1"/>
      <c r="CI812" s="1"/>
      <c r="CJ812" s="1"/>
      <c r="CR812" s="305"/>
      <c r="CT812" s="116"/>
      <c r="DB812" s="1"/>
      <c r="DC812" s="1"/>
      <c r="DD812" s="1"/>
      <c r="DE812" s="1"/>
      <c r="DF812" s="1"/>
      <c r="DG812" s="1"/>
      <c r="DH812" s="1"/>
      <c r="DI812" s="1"/>
      <c r="DJ812" s="655"/>
      <c r="DL812" s="116"/>
    </row>
    <row r="813" spans="2:116" ht="15.75" customHeight="1" x14ac:dyDescent="0.3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874"/>
      <c r="AR813" s="874"/>
      <c r="AS813" s="874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43"/>
      <c r="BN813" s="116"/>
      <c r="BW813" s="1"/>
      <c r="BX813" s="1"/>
      <c r="BY813" s="1"/>
      <c r="BZ813" s="655"/>
      <c r="CB813" s="656"/>
      <c r="CC813" s="1"/>
      <c r="CD813" s="1"/>
      <c r="CE813" s="1"/>
      <c r="CF813" s="1"/>
      <c r="CG813" s="1"/>
      <c r="CH813" s="1"/>
      <c r="CI813" s="1"/>
      <c r="CJ813" s="1"/>
      <c r="CR813" s="305"/>
      <c r="CT813" s="116"/>
      <c r="DB813" s="1"/>
      <c r="DC813" s="1"/>
      <c r="DD813" s="1"/>
      <c r="DE813" s="1"/>
      <c r="DF813" s="1"/>
      <c r="DG813" s="1"/>
      <c r="DH813" s="1"/>
      <c r="DI813" s="1"/>
      <c r="DJ813" s="655"/>
      <c r="DL813" s="116"/>
    </row>
    <row r="814" spans="2:116" ht="15.75" customHeight="1" x14ac:dyDescent="0.3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874"/>
      <c r="AR814" s="874"/>
      <c r="AS814" s="874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43"/>
      <c r="BN814" s="116"/>
      <c r="BW814" s="1"/>
      <c r="BX814" s="1"/>
      <c r="BY814" s="1"/>
      <c r="BZ814" s="655"/>
      <c r="CB814" s="656"/>
      <c r="CC814" s="1"/>
      <c r="CD814" s="1"/>
      <c r="CE814" s="1"/>
      <c r="CF814" s="1"/>
      <c r="CG814" s="1"/>
      <c r="CH814" s="1"/>
      <c r="CI814" s="1"/>
      <c r="CJ814" s="1"/>
      <c r="CR814" s="305"/>
      <c r="CT814" s="116"/>
      <c r="DB814" s="1"/>
      <c r="DC814" s="1"/>
      <c r="DD814" s="1"/>
      <c r="DE814" s="1"/>
      <c r="DF814" s="1"/>
      <c r="DG814" s="1"/>
      <c r="DH814" s="1"/>
      <c r="DI814" s="1"/>
      <c r="DJ814" s="655"/>
      <c r="DL814" s="116"/>
    </row>
    <row r="815" spans="2:116" ht="15.75" customHeight="1" x14ac:dyDescent="0.3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874"/>
      <c r="AR815" s="874"/>
      <c r="AS815" s="874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43"/>
      <c r="BN815" s="116"/>
      <c r="BW815" s="1"/>
      <c r="BX815" s="1"/>
      <c r="BY815" s="1"/>
      <c r="BZ815" s="655"/>
      <c r="CB815" s="656"/>
      <c r="CC815" s="1"/>
      <c r="CD815" s="1"/>
      <c r="CE815" s="1"/>
      <c r="CF815" s="1"/>
      <c r="CG815" s="1"/>
      <c r="CH815" s="1"/>
      <c r="CI815" s="1"/>
      <c r="CJ815" s="1"/>
      <c r="CR815" s="305"/>
      <c r="CT815" s="116"/>
      <c r="DB815" s="1"/>
      <c r="DC815" s="1"/>
      <c r="DD815" s="1"/>
      <c r="DE815" s="1"/>
      <c r="DF815" s="1"/>
      <c r="DG815" s="1"/>
      <c r="DH815" s="1"/>
      <c r="DI815" s="1"/>
      <c r="DJ815" s="655"/>
      <c r="DL815" s="116"/>
    </row>
    <row r="816" spans="2:116" ht="15.75" customHeight="1" x14ac:dyDescent="0.3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874"/>
      <c r="AR816" s="874"/>
      <c r="AS816" s="874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43"/>
      <c r="BN816" s="116"/>
      <c r="BW816" s="1"/>
      <c r="BX816" s="1"/>
      <c r="BY816" s="1"/>
      <c r="BZ816" s="655"/>
      <c r="CB816" s="656"/>
      <c r="CC816" s="1"/>
      <c r="CD816" s="1"/>
      <c r="CE816" s="1"/>
      <c r="CF816" s="1"/>
      <c r="CG816" s="1"/>
      <c r="CH816" s="1"/>
      <c r="CI816" s="1"/>
      <c r="CJ816" s="1"/>
      <c r="CR816" s="305"/>
      <c r="CT816" s="116"/>
      <c r="DB816" s="1"/>
      <c r="DC816" s="1"/>
      <c r="DD816" s="1"/>
      <c r="DE816" s="1"/>
      <c r="DF816" s="1"/>
      <c r="DG816" s="1"/>
      <c r="DH816" s="1"/>
      <c r="DI816" s="1"/>
      <c r="DJ816" s="655"/>
      <c r="DL816" s="116"/>
    </row>
    <row r="817" spans="2:116" ht="15.75" customHeight="1" x14ac:dyDescent="0.3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874"/>
      <c r="AR817" s="874"/>
      <c r="AS817" s="874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43"/>
      <c r="BN817" s="116"/>
      <c r="BW817" s="1"/>
      <c r="BX817" s="1"/>
      <c r="BY817" s="1"/>
      <c r="BZ817" s="655"/>
      <c r="CB817" s="656"/>
      <c r="CC817" s="1"/>
      <c r="CD817" s="1"/>
      <c r="CE817" s="1"/>
      <c r="CF817" s="1"/>
      <c r="CG817" s="1"/>
      <c r="CH817" s="1"/>
      <c r="CI817" s="1"/>
      <c r="CJ817" s="1"/>
      <c r="CR817" s="305"/>
      <c r="CT817" s="116"/>
      <c r="DB817" s="1"/>
      <c r="DC817" s="1"/>
      <c r="DD817" s="1"/>
      <c r="DE817" s="1"/>
      <c r="DF817" s="1"/>
      <c r="DG817" s="1"/>
      <c r="DH817" s="1"/>
      <c r="DI817" s="1"/>
      <c r="DJ817" s="655"/>
      <c r="DL817" s="116"/>
    </row>
    <row r="818" spans="2:116" ht="15.75" customHeight="1" x14ac:dyDescent="0.3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874"/>
      <c r="AR818" s="874"/>
      <c r="AS818" s="874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43"/>
      <c r="BN818" s="116"/>
      <c r="BW818" s="1"/>
      <c r="BX818" s="1"/>
      <c r="BY818" s="1"/>
      <c r="BZ818" s="655"/>
      <c r="CB818" s="656"/>
      <c r="CC818" s="1"/>
      <c r="CD818" s="1"/>
      <c r="CE818" s="1"/>
      <c r="CF818" s="1"/>
      <c r="CG818" s="1"/>
      <c r="CH818" s="1"/>
      <c r="CI818" s="1"/>
      <c r="CJ818" s="1"/>
      <c r="CR818" s="305"/>
      <c r="CT818" s="116"/>
      <c r="DB818" s="1"/>
      <c r="DC818" s="1"/>
      <c r="DD818" s="1"/>
      <c r="DE818" s="1"/>
      <c r="DF818" s="1"/>
      <c r="DG818" s="1"/>
      <c r="DH818" s="1"/>
      <c r="DI818" s="1"/>
      <c r="DJ818" s="655"/>
      <c r="DL818" s="116"/>
    </row>
    <row r="819" spans="2:116" ht="15.75" customHeight="1" x14ac:dyDescent="0.3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874"/>
      <c r="AR819" s="874"/>
      <c r="AS819" s="874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43"/>
      <c r="BN819" s="116"/>
      <c r="BW819" s="1"/>
      <c r="BX819" s="1"/>
      <c r="BY819" s="1"/>
      <c r="BZ819" s="655"/>
      <c r="CB819" s="656"/>
      <c r="CC819" s="1"/>
      <c r="CD819" s="1"/>
      <c r="CE819" s="1"/>
      <c r="CF819" s="1"/>
      <c r="CG819" s="1"/>
      <c r="CH819" s="1"/>
      <c r="CI819" s="1"/>
      <c r="CJ819" s="1"/>
      <c r="CR819" s="305"/>
      <c r="CT819" s="116"/>
      <c r="DB819" s="1"/>
      <c r="DC819" s="1"/>
      <c r="DD819" s="1"/>
      <c r="DE819" s="1"/>
      <c r="DF819" s="1"/>
      <c r="DG819" s="1"/>
      <c r="DH819" s="1"/>
      <c r="DI819" s="1"/>
      <c r="DJ819" s="655"/>
      <c r="DL819" s="116"/>
    </row>
    <row r="820" spans="2:116" ht="15.75" customHeight="1" x14ac:dyDescent="0.3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874"/>
      <c r="AR820" s="874"/>
      <c r="AS820" s="874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43"/>
      <c r="BN820" s="116"/>
      <c r="BW820" s="1"/>
      <c r="BX820" s="1"/>
      <c r="BY820" s="1"/>
      <c r="BZ820" s="655"/>
      <c r="CB820" s="656"/>
      <c r="CC820" s="1"/>
      <c r="CD820" s="1"/>
      <c r="CE820" s="1"/>
      <c r="CF820" s="1"/>
      <c r="CG820" s="1"/>
      <c r="CH820" s="1"/>
      <c r="CI820" s="1"/>
      <c r="CJ820" s="1"/>
      <c r="CR820" s="305"/>
      <c r="CT820" s="116"/>
      <c r="DB820" s="1"/>
      <c r="DC820" s="1"/>
      <c r="DD820" s="1"/>
      <c r="DE820" s="1"/>
      <c r="DF820" s="1"/>
      <c r="DG820" s="1"/>
      <c r="DH820" s="1"/>
      <c r="DI820" s="1"/>
      <c r="DJ820" s="655"/>
      <c r="DL820" s="116"/>
    </row>
    <row r="821" spans="2:116" ht="15.75" customHeight="1" x14ac:dyDescent="0.3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874"/>
      <c r="AR821" s="874"/>
      <c r="AS821" s="874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43"/>
      <c r="BN821" s="116"/>
      <c r="BW821" s="1"/>
      <c r="BX821" s="1"/>
      <c r="BY821" s="1"/>
      <c r="BZ821" s="655"/>
      <c r="CB821" s="656"/>
      <c r="CC821" s="1"/>
      <c r="CD821" s="1"/>
      <c r="CE821" s="1"/>
      <c r="CF821" s="1"/>
      <c r="CG821" s="1"/>
      <c r="CH821" s="1"/>
      <c r="CI821" s="1"/>
      <c r="CJ821" s="1"/>
      <c r="CR821" s="305"/>
      <c r="CT821" s="116"/>
      <c r="DB821" s="1"/>
      <c r="DC821" s="1"/>
      <c r="DD821" s="1"/>
      <c r="DE821" s="1"/>
      <c r="DF821" s="1"/>
      <c r="DG821" s="1"/>
      <c r="DH821" s="1"/>
      <c r="DI821" s="1"/>
      <c r="DJ821" s="655"/>
      <c r="DL821" s="116"/>
    </row>
    <row r="822" spans="2:116" ht="15.75" customHeight="1" x14ac:dyDescent="0.3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874"/>
      <c r="AR822" s="874"/>
      <c r="AS822" s="874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43"/>
      <c r="BN822" s="116"/>
      <c r="BW822" s="1"/>
      <c r="BX822" s="1"/>
      <c r="BY822" s="1"/>
      <c r="BZ822" s="655"/>
      <c r="CB822" s="656"/>
      <c r="CC822" s="1"/>
      <c r="CD822" s="1"/>
      <c r="CE822" s="1"/>
      <c r="CF822" s="1"/>
      <c r="CG822" s="1"/>
      <c r="CH822" s="1"/>
      <c r="CI822" s="1"/>
      <c r="CJ822" s="1"/>
      <c r="CR822" s="305"/>
      <c r="CT822" s="116"/>
      <c r="DB822" s="1"/>
      <c r="DC822" s="1"/>
      <c r="DD822" s="1"/>
      <c r="DE822" s="1"/>
      <c r="DF822" s="1"/>
      <c r="DG822" s="1"/>
      <c r="DH822" s="1"/>
      <c r="DI822" s="1"/>
      <c r="DJ822" s="655"/>
      <c r="DL822" s="116"/>
    </row>
    <row r="823" spans="2:116" ht="15.75" customHeight="1" x14ac:dyDescent="0.3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874"/>
      <c r="AR823" s="874"/>
      <c r="AS823" s="874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43"/>
      <c r="BN823" s="116"/>
      <c r="BW823" s="1"/>
      <c r="BX823" s="1"/>
      <c r="BY823" s="1"/>
      <c r="BZ823" s="655"/>
      <c r="CB823" s="656"/>
      <c r="CC823" s="1"/>
      <c r="CD823" s="1"/>
      <c r="CE823" s="1"/>
      <c r="CF823" s="1"/>
      <c r="CG823" s="1"/>
      <c r="CH823" s="1"/>
      <c r="CI823" s="1"/>
      <c r="CJ823" s="1"/>
      <c r="CR823" s="305"/>
      <c r="CT823" s="116"/>
      <c r="DB823" s="1"/>
      <c r="DC823" s="1"/>
      <c r="DD823" s="1"/>
      <c r="DE823" s="1"/>
      <c r="DF823" s="1"/>
      <c r="DG823" s="1"/>
      <c r="DH823" s="1"/>
      <c r="DI823" s="1"/>
      <c r="DJ823" s="655"/>
      <c r="DL823" s="116"/>
    </row>
    <row r="824" spans="2:116" ht="15.75" customHeight="1" x14ac:dyDescent="0.3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874"/>
      <c r="AR824" s="874"/>
      <c r="AS824" s="874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43"/>
      <c r="BN824" s="116"/>
      <c r="BW824" s="1"/>
      <c r="BX824" s="1"/>
      <c r="BY824" s="1"/>
      <c r="BZ824" s="655"/>
      <c r="CB824" s="656"/>
      <c r="CC824" s="1"/>
      <c r="CD824" s="1"/>
      <c r="CE824" s="1"/>
      <c r="CF824" s="1"/>
      <c r="CG824" s="1"/>
      <c r="CH824" s="1"/>
      <c r="CI824" s="1"/>
      <c r="CJ824" s="1"/>
      <c r="CR824" s="305"/>
      <c r="CT824" s="116"/>
      <c r="DB824" s="1"/>
      <c r="DC824" s="1"/>
      <c r="DD824" s="1"/>
      <c r="DE824" s="1"/>
      <c r="DF824" s="1"/>
      <c r="DG824" s="1"/>
      <c r="DH824" s="1"/>
      <c r="DI824" s="1"/>
      <c r="DJ824" s="655"/>
      <c r="DL824" s="116"/>
    </row>
    <row r="825" spans="2:116" ht="15.75" customHeight="1" x14ac:dyDescent="0.3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874"/>
      <c r="AR825" s="874"/>
      <c r="AS825" s="874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43"/>
      <c r="BN825" s="116"/>
      <c r="BW825" s="1"/>
      <c r="BX825" s="1"/>
      <c r="BY825" s="1"/>
      <c r="BZ825" s="655"/>
      <c r="CB825" s="656"/>
      <c r="CC825" s="1"/>
      <c r="CD825" s="1"/>
      <c r="CE825" s="1"/>
      <c r="CF825" s="1"/>
      <c r="CG825" s="1"/>
      <c r="CH825" s="1"/>
      <c r="CI825" s="1"/>
      <c r="CJ825" s="1"/>
      <c r="CR825" s="305"/>
      <c r="CT825" s="116"/>
      <c r="DB825" s="1"/>
      <c r="DC825" s="1"/>
      <c r="DD825" s="1"/>
      <c r="DE825" s="1"/>
      <c r="DF825" s="1"/>
      <c r="DG825" s="1"/>
      <c r="DH825" s="1"/>
      <c r="DI825" s="1"/>
      <c r="DJ825" s="655"/>
      <c r="DL825" s="116"/>
    </row>
    <row r="826" spans="2:116" ht="15.75" customHeight="1" x14ac:dyDescent="0.3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874"/>
      <c r="AR826" s="874"/>
      <c r="AS826" s="874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43"/>
      <c r="BN826" s="116"/>
      <c r="BW826" s="1"/>
      <c r="BX826" s="1"/>
      <c r="BY826" s="1"/>
      <c r="BZ826" s="655"/>
      <c r="CB826" s="656"/>
      <c r="CC826" s="1"/>
      <c r="CD826" s="1"/>
      <c r="CE826" s="1"/>
      <c r="CF826" s="1"/>
      <c r="CG826" s="1"/>
      <c r="CH826" s="1"/>
      <c r="CI826" s="1"/>
      <c r="CJ826" s="1"/>
      <c r="CR826" s="305"/>
      <c r="CT826" s="116"/>
      <c r="DB826" s="1"/>
      <c r="DC826" s="1"/>
      <c r="DD826" s="1"/>
      <c r="DE826" s="1"/>
      <c r="DF826" s="1"/>
      <c r="DG826" s="1"/>
      <c r="DH826" s="1"/>
      <c r="DI826" s="1"/>
      <c r="DJ826" s="655"/>
      <c r="DL826" s="116"/>
    </row>
    <row r="827" spans="2:116" ht="15.75" customHeight="1" x14ac:dyDescent="0.3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874"/>
      <c r="AR827" s="874"/>
      <c r="AS827" s="874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43"/>
      <c r="BN827" s="116"/>
      <c r="BW827" s="1"/>
      <c r="BX827" s="1"/>
      <c r="BY827" s="1"/>
      <c r="BZ827" s="655"/>
      <c r="CB827" s="656"/>
      <c r="CC827" s="1"/>
      <c r="CD827" s="1"/>
      <c r="CE827" s="1"/>
      <c r="CF827" s="1"/>
      <c r="CG827" s="1"/>
      <c r="CH827" s="1"/>
      <c r="CI827" s="1"/>
      <c r="CJ827" s="1"/>
      <c r="CR827" s="305"/>
      <c r="CT827" s="116"/>
      <c r="DB827" s="1"/>
      <c r="DC827" s="1"/>
      <c r="DD827" s="1"/>
      <c r="DE827" s="1"/>
      <c r="DF827" s="1"/>
      <c r="DG827" s="1"/>
      <c r="DH827" s="1"/>
      <c r="DI827" s="1"/>
      <c r="DJ827" s="655"/>
      <c r="DL827" s="116"/>
    </row>
    <row r="828" spans="2:116" ht="15.75" customHeight="1" x14ac:dyDescent="0.3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874"/>
      <c r="AR828" s="874"/>
      <c r="AS828" s="874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43"/>
      <c r="BN828" s="116"/>
      <c r="BW828" s="1"/>
      <c r="BX828" s="1"/>
      <c r="BY828" s="1"/>
      <c r="BZ828" s="655"/>
      <c r="CB828" s="656"/>
      <c r="CC828" s="1"/>
      <c r="CD828" s="1"/>
      <c r="CE828" s="1"/>
      <c r="CF828" s="1"/>
      <c r="CG828" s="1"/>
      <c r="CH828" s="1"/>
      <c r="CI828" s="1"/>
      <c r="CJ828" s="1"/>
      <c r="CR828" s="305"/>
      <c r="CT828" s="116"/>
      <c r="DB828" s="1"/>
      <c r="DC828" s="1"/>
      <c r="DD828" s="1"/>
      <c r="DE828" s="1"/>
      <c r="DF828" s="1"/>
      <c r="DG828" s="1"/>
      <c r="DH828" s="1"/>
      <c r="DI828" s="1"/>
      <c r="DJ828" s="655"/>
      <c r="DL828" s="116"/>
    </row>
    <row r="829" spans="2:116" ht="15.75" customHeight="1" x14ac:dyDescent="0.3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874"/>
      <c r="AR829" s="874"/>
      <c r="AS829" s="874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43"/>
      <c r="BN829" s="116"/>
      <c r="BW829" s="1"/>
      <c r="BX829" s="1"/>
      <c r="BY829" s="1"/>
      <c r="BZ829" s="655"/>
      <c r="CB829" s="656"/>
      <c r="CC829" s="1"/>
      <c r="CD829" s="1"/>
      <c r="CE829" s="1"/>
      <c r="CF829" s="1"/>
      <c r="CG829" s="1"/>
      <c r="CH829" s="1"/>
      <c r="CI829" s="1"/>
      <c r="CJ829" s="1"/>
      <c r="CR829" s="305"/>
      <c r="CT829" s="116"/>
      <c r="DB829" s="1"/>
      <c r="DC829" s="1"/>
      <c r="DD829" s="1"/>
      <c r="DE829" s="1"/>
      <c r="DF829" s="1"/>
      <c r="DG829" s="1"/>
      <c r="DH829" s="1"/>
      <c r="DI829" s="1"/>
      <c r="DJ829" s="655"/>
      <c r="DL829" s="116"/>
    </row>
    <row r="830" spans="2:116" ht="15.75" customHeight="1" x14ac:dyDescent="0.3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874"/>
      <c r="AR830" s="874"/>
      <c r="AS830" s="874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43"/>
      <c r="BN830" s="116"/>
      <c r="BW830" s="1"/>
      <c r="BX830" s="1"/>
      <c r="BY830" s="1"/>
      <c r="BZ830" s="655"/>
      <c r="CB830" s="656"/>
      <c r="CC830" s="1"/>
      <c r="CD830" s="1"/>
      <c r="CE830" s="1"/>
      <c r="CF830" s="1"/>
      <c r="CG830" s="1"/>
      <c r="CH830" s="1"/>
      <c r="CI830" s="1"/>
      <c r="CJ830" s="1"/>
      <c r="CR830" s="305"/>
      <c r="CT830" s="116"/>
      <c r="DB830" s="1"/>
      <c r="DC830" s="1"/>
      <c r="DD830" s="1"/>
      <c r="DE830" s="1"/>
      <c r="DF830" s="1"/>
      <c r="DG830" s="1"/>
      <c r="DH830" s="1"/>
      <c r="DI830" s="1"/>
      <c r="DJ830" s="655"/>
      <c r="DL830" s="116"/>
    </row>
    <row r="831" spans="2:116" ht="15.75" customHeight="1" x14ac:dyDescent="0.3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874"/>
      <c r="AR831" s="874"/>
      <c r="AS831" s="874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43"/>
      <c r="BN831" s="116"/>
      <c r="BW831" s="1"/>
      <c r="BX831" s="1"/>
      <c r="BY831" s="1"/>
      <c r="BZ831" s="655"/>
      <c r="CB831" s="656"/>
      <c r="CC831" s="1"/>
      <c r="CD831" s="1"/>
      <c r="CE831" s="1"/>
      <c r="CF831" s="1"/>
      <c r="CG831" s="1"/>
      <c r="CH831" s="1"/>
      <c r="CI831" s="1"/>
      <c r="CJ831" s="1"/>
      <c r="CR831" s="305"/>
      <c r="CT831" s="116"/>
      <c r="DB831" s="1"/>
      <c r="DC831" s="1"/>
      <c r="DD831" s="1"/>
      <c r="DE831" s="1"/>
      <c r="DF831" s="1"/>
      <c r="DG831" s="1"/>
      <c r="DH831" s="1"/>
      <c r="DI831" s="1"/>
      <c r="DJ831" s="655"/>
      <c r="DL831" s="116"/>
    </row>
    <row r="832" spans="2:116" ht="15.75" customHeight="1" x14ac:dyDescent="0.3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874"/>
      <c r="AR832" s="874"/>
      <c r="AS832" s="874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43"/>
      <c r="BN832" s="116"/>
      <c r="BW832" s="1"/>
      <c r="BX832" s="1"/>
      <c r="BY832" s="1"/>
      <c r="BZ832" s="655"/>
      <c r="CB832" s="656"/>
      <c r="CC832" s="1"/>
      <c r="CD832" s="1"/>
      <c r="CE832" s="1"/>
      <c r="CF832" s="1"/>
      <c r="CG832" s="1"/>
      <c r="CH832" s="1"/>
      <c r="CI832" s="1"/>
      <c r="CJ832" s="1"/>
      <c r="CR832" s="305"/>
      <c r="CT832" s="116"/>
      <c r="DB832" s="1"/>
      <c r="DC832" s="1"/>
      <c r="DD832" s="1"/>
      <c r="DE832" s="1"/>
      <c r="DF832" s="1"/>
      <c r="DG832" s="1"/>
      <c r="DH832" s="1"/>
      <c r="DI832" s="1"/>
      <c r="DJ832" s="655"/>
      <c r="DL832" s="116"/>
    </row>
    <row r="833" spans="2:116" ht="15.75" customHeight="1" x14ac:dyDescent="0.3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874"/>
      <c r="AR833" s="874"/>
      <c r="AS833" s="874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43"/>
      <c r="BN833" s="116"/>
      <c r="BW833" s="1"/>
      <c r="BX833" s="1"/>
      <c r="BY833" s="1"/>
      <c r="BZ833" s="655"/>
      <c r="CB833" s="656"/>
      <c r="CC833" s="1"/>
      <c r="CD833" s="1"/>
      <c r="CE833" s="1"/>
      <c r="CF833" s="1"/>
      <c r="CG833" s="1"/>
      <c r="CH833" s="1"/>
      <c r="CI833" s="1"/>
      <c r="CJ833" s="1"/>
      <c r="CR833" s="305"/>
      <c r="CT833" s="116"/>
      <c r="DB833" s="1"/>
      <c r="DC833" s="1"/>
      <c r="DD833" s="1"/>
      <c r="DE833" s="1"/>
      <c r="DF833" s="1"/>
      <c r="DG833" s="1"/>
      <c r="DH833" s="1"/>
      <c r="DI833" s="1"/>
      <c r="DJ833" s="655"/>
      <c r="DL833" s="116"/>
    </row>
    <row r="834" spans="2:116" ht="15.75" customHeight="1" x14ac:dyDescent="0.3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874"/>
      <c r="AR834" s="874"/>
      <c r="AS834" s="874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43"/>
      <c r="BN834" s="116"/>
      <c r="BW834" s="1"/>
      <c r="BX834" s="1"/>
      <c r="BY834" s="1"/>
      <c r="BZ834" s="655"/>
      <c r="CB834" s="656"/>
      <c r="CC834" s="1"/>
      <c r="CD834" s="1"/>
      <c r="CE834" s="1"/>
      <c r="CF834" s="1"/>
      <c r="CG834" s="1"/>
      <c r="CH834" s="1"/>
      <c r="CI834" s="1"/>
      <c r="CJ834" s="1"/>
      <c r="CR834" s="305"/>
      <c r="CT834" s="116"/>
      <c r="DB834" s="1"/>
      <c r="DC834" s="1"/>
      <c r="DD834" s="1"/>
      <c r="DE834" s="1"/>
      <c r="DF834" s="1"/>
      <c r="DG834" s="1"/>
      <c r="DH834" s="1"/>
      <c r="DI834" s="1"/>
      <c r="DJ834" s="655"/>
      <c r="DL834" s="116"/>
    </row>
    <row r="835" spans="2:116" ht="15.75" customHeight="1" x14ac:dyDescent="0.3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874"/>
      <c r="AR835" s="874"/>
      <c r="AS835" s="874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43"/>
      <c r="BN835" s="116"/>
      <c r="BW835" s="1"/>
      <c r="BX835" s="1"/>
      <c r="BY835" s="1"/>
      <c r="BZ835" s="655"/>
      <c r="CB835" s="656"/>
      <c r="CC835" s="1"/>
      <c r="CD835" s="1"/>
      <c r="CE835" s="1"/>
      <c r="CF835" s="1"/>
      <c r="CG835" s="1"/>
      <c r="CH835" s="1"/>
      <c r="CI835" s="1"/>
      <c r="CJ835" s="1"/>
      <c r="CR835" s="305"/>
      <c r="CT835" s="116"/>
      <c r="DB835" s="1"/>
      <c r="DC835" s="1"/>
      <c r="DD835" s="1"/>
      <c r="DE835" s="1"/>
      <c r="DF835" s="1"/>
      <c r="DG835" s="1"/>
      <c r="DH835" s="1"/>
      <c r="DI835" s="1"/>
      <c r="DJ835" s="655"/>
      <c r="DL835" s="116"/>
    </row>
    <row r="836" spans="2:116" ht="15.75" customHeight="1" x14ac:dyDescent="0.3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874"/>
      <c r="AR836" s="874"/>
      <c r="AS836" s="874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43"/>
      <c r="BN836" s="116"/>
      <c r="BW836" s="1"/>
      <c r="BX836" s="1"/>
      <c r="BY836" s="1"/>
      <c r="BZ836" s="655"/>
      <c r="CB836" s="656"/>
      <c r="CC836" s="1"/>
      <c r="CD836" s="1"/>
      <c r="CE836" s="1"/>
      <c r="CF836" s="1"/>
      <c r="CG836" s="1"/>
      <c r="CH836" s="1"/>
      <c r="CI836" s="1"/>
      <c r="CJ836" s="1"/>
      <c r="CR836" s="305"/>
      <c r="CT836" s="116"/>
      <c r="DB836" s="1"/>
      <c r="DC836" s="1"/>
      <c r="DD836" s="1"/>
      <c r="DE836" s="1"/>
      <c r="DF836" s="1"/>
      <c r="DG836" s="1"/>
      <c r="DH836" s="1"/>
      <c r="DI836" s="1"/>
      <c r="DJ836" s="655"/>
      <c r="DL836" s="116"/>
    </row>
    <row r="837" spans="2:116" ht="15.75" customHeight="1" x14ac:dyDescent="0.3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874"/>
      <c r="AR837" s="874"/>
      <c r="AS837" s="874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43"/>
      <c r="BN837" s="116"/>
      <c r="BW837" s="1"/>
      <c r="BX837" s="1"/>
      <c r="BY837" s="1"/>
      <c r="BZ837" s="655"/>
      <c r="CB837" s="656"/>
      <c r="CC837" s="1"/>
      <c r="CD837" s="1"/>
      <c r="CE837" s="1"/>
      <c r="CF837" s="1"/>
      <c r="CG837" s="1"/>
      <c r="CH837" s="1"/>
      <c r="CI837" s="1"/>
      <c r="CJ837" s="1"/>
      <c r="CR837" s="305"/>
      <c r="CT837" s="116"/>
      <c r="DB837" s="1"/>
      <c r="DC837" s="1"/>
      <c r="DD837" s="1"/>
      <c r="DE837" s="1"/>
      <c r="DF837" s="1"/>
      <c r="DG837" s="1"/>
      <c r="DH837" s="1"/>
      <c r="DI837" s="1"/>
      <c r="DJ837" s="655"/>
      <c r="DL837" s="116"/>
    </row>
    <row r="838" spans="2:116" ht="15.75" customHeight="1" x14ac:dyDescent="0.3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874"/>
      <c r="AR838" s="874"/>
      <c r="AS838" s="874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43"/>
      <c r="BN838" s="116"/>
      <c r="BW838" s="1"/>
      <c r="BX838" s="1"/>
      <c r="BY838" s="1"/>
      <c r="BZ838" s="655"/>
      <c r="CB838" s="656"/>
      <c r="CC838" s="1"/>
      <c r="CD838" s="1"/>
      <c r="CE838" s="1"/>
      <c r="CF838" s="1"/>
      <c r="CG838" s="1"/>
      <c r="CH838" s="1"/>
      <c r="CI838" s="1"/>
      <c r="CJ838" s="1"/>
      <c r="CR838" s="305"/>
      <c r="CT838" s="116"/>
      <c r="DB838" s="1"/>
      <c r="DC838" s="1"/>
      <c r="DD838" s="1"/>
      <c r="DE838" s="1"/>
      <c r="DF838" s="1"/>
      <c r="DG838" s="1"/>
      <c r="DH838" s="1"/>
      <c r="DI838" s="1"/>
      <c r="DJ838" s="655"/>
      <c r="DL838" s="116"/>
    </row>
    <row r="839" spans="2:116" ht="15.75" customHeight="1" x14ac:dyDescent="0.3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874"/>
      <c r="AR839" s="874"/>
      <c r="AS839" s="874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43"/>
      <c r="BN839" s="116"/>
      <c r="BW839" s="1"/>
      <c r="BX839" s="1"/>
      <c r="BY839" s="1"/>
      <c r="BZ839" s="655"/>
      <c r="CB839" s="656"/>
      <c r="CC839" s="1"/>
      <c r="CD839" s="1"/>
      <c r="CE839" s="1"/>
      <c r="CF839" s="1"/>
      <c r="CG839" s="1"/>
      <c r="CH839" s="1"/>
      <c r="CI839" s="1"/>
      <c r="CJ839" s="1"/>
      <c r="CR839" s="305"/>
      <c r="CT839" s="116"/>
      <c r="DB839" s="1"/>
      <c r="DC839" s="1"/>
      <c r="DD839" s="1"/>
      <c r="DE839" s="1"/>
      <c r="DF839" s="1"/>
      <c r="DG839" s="1"/>
      <c r="DH839" s="1"/>
      <c r="DI839" s="1"/>
      <c r="DJ839" s="655"/>
      <c r="DL839" s="116"/>
    </row>
    <row r="840" spans="2:116" ht="15.75" customHeight="1" x14ac:dyDescent="0.3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874"/>
      <c r="AR840" s="874"/>
      <c r="AS840" s="874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43"/>
      <c r="BN840" s="116"/>
      <c r="BW840" s="1"/>
      <c r="BX840" s="1"/>
      <c r="BY840" s="1"/>
      <c r="BZ840" s="655"/>
      <c r="CB840" s="656"/>
      <c r="CC840" s="1"/>
      <c r="CD840" s="1"/>
      <c r="CE840" s="1"/>
      <c r="CF840" s="1"/>
      <c r="CG840" s="1"/>
      <c r="CH840" s="1"/>
      <c r="CI840" s="1"/>
      <c r="CJ840" s="1"/>
      <c r="CR840" s="305"/>
      <c r="CT840" s="116"/>
      <c r="DB840" s="1"/>
      <c r="DC840" s="1"/>
      <c r="DD840" s="1"/>
      <c r="DE840" s="1"/>
      <c r="DF840" s="1"/>
      <c r="DG840" s="1"/>
      <c r="DH840" s="1"/>
      <c r="DI840" s="1"/>
      <c r="DJ840" s="655"/>
      <c r="DL840" s="116"/>
    </row>
    <row r="841" spans="2:116" ht="15.75" customHeight="1" x14ac:dyDescent="0.3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874"/>
      <c r="AR841" s="874"/>
      <c r="AS841" s="874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43"/>
      <c r="BN841" s="116"/>
      <c r="BW841" s="1"/>
      <c r="BX841" s="1"/>
      <c r="BY841" s="1"/>
      <c r="BZ841" s="655"/>
      <c r="CB841" s="656"/>
      <c r="CC841" s="1"/>
      <c r="CD841" s="1"/>
      <c r="CE841" s="1"/>
      <c r="CF841" s="1"/>
      <c r="CG841" s="1"/>
      <c r="CH841" s="1"/>
      <c r="CI841" s="1"/>
      <c r="CJ841" s="1"/>
      <c r="CR841" s="305"/>
      <c r="CT841" s="116"/>
      <c r="DB841" s="1"/>
      <c r="DC841" s="1"/>
      <c r="DD841" s="1"/>
      <c r="DE841" s="1"/>
      <c r="DF841" s="1"/>
      <c r="DG841" s="1"/>
      <c r="DH841" s="1"/>
      <c r="DI841" s="1"/>
      <c r="DJ841" s="655"/>
      <c r="DL841" s="116"/>
    </row>
    <row r="842" spans="2:116" ht="15.75" customHeight="1" x14ac:dyDescent="0.3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874"/>
      <c r="AR842" s="874"/>
      <c r="AS842" s="874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43"/>
      <c r="BN842" s="116"/>
      <c r="BW842" s="1"/>
      <c r="BX842" s="1"/>
      <c r="BY842" s="1"/>
      <c r="BZ842" s="655"/>
      <c r="CB842" s="656"/>
      <c r="CC842" s="1"/>
      <c r="CD842" s="1"/>
      <c r="CE842" s="1"/>
      <c r="CF842" s="1"/>
      <c r="CG842" s="1"/>
      <c r="CH842" s="1"/>
      <c r="CI842" s="1"/>
      <c r="CJ842" s="1"/>
      <c r="CR842" s="305"/>
      <c r="CT842" s="116"/>
      <c r="DB842" s="1"/>
      <c r="DC842" s="1"/>
      <c r="DD842" s="1"/>
      <c r="DE842" s="1"/>
      <c r="DF842" s="1"/>
      <c r="DG842" s="1"/>
      <c r="DH842" s="1"/>
      <c r="DI842" s="1"/>
      <c r="DJ842" s="655"/>
      <c r="DL842" s="116"/>
    </row>
    <row r="843" spans="2:116" ht="15.75" customHeight="1" x14ac:dyDescent="0.3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874"/>
      <c r="AR843" s="874"/>
      <c r="AS843" s="874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43"/>
      <c r="BN843" s="116"/>
      <c r="BW843" s="1"/>
      <c r="BX843" s="1"/>
      <c r="BY843" s="1"/>
      <c r="BZ843" s="655"/>
      <c r="CB843" s="656"/>
      <c r="CC843" s="1"/>
      <c r="CD843" s="1"/>
      <c r="CE843" s="1"/>
      <c r="CF843" s="1"/>
      <c r="CG843" s="1"/>
      <c r="CH843" s="1"/>
      <c r="CI843" s="1"/>
      <c r="CJ843" s="1"/>
      <c r="CR843" s="305"/>
      <c r="CT843" s="116"/>
      <c r="DB843" s="1"/>
      <c r="DC843" s="1"/>
      <c r="DD843" s="1"/>
      <c r="DE843" s="1"/>
      <c r="DF843" s="1"/>
      <c r="DG843" s="1"/>
      <c r="DH843" s="1"/>
      <c r="DI843" s="1"/>
      <c r="DJ843" s="655"/>
      <c r="DL843" s="116"/>
    </row>
    <row r="844" spans="2:116" ht="15.75" customHeight="1" x14ac:dyDescent="0.3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874"/>
      <c r="AR844" s="874"/>
      <c r="AS844" s="874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43"/>
      <c r="BN844" s="116"/>
      <c r="BW844" s="1"/>
      <c r="BX844" s="1"/>
      <c r="BY844" s="1"/>
      <c r="BZ844" s="655"/>
      <c r="CB844" s="656"/>
      <c r="CC844" s="1"/>
      <c r="CD844" s="1"/>
      <c r="CE844" s="1"/>
      <c r="CF844" s="1"/>
      <c r="CG844" s="1"/>
      <c r="CH844" s="1"/>
      <c r="CI844" s="1"/>
      <c r="CJ844" s="1"/>
      <c r="CR844" s="305"/>
      <c r="CT844" s="116"/>
      <c r="DB844" s="1"/>
      <c r="DC844" s="1"/>
      <c r="DD844" s="1"/>
      <c r="DE844" s="1"/>
      <c r="DF844" s="1"/>
      <c r="DG844" s="1"/>
      <c r="DH844" s="1"/>
      <c r="DI844" s="1"/>
      <c r="DJ844" s="655"/>
      <c r="DL844" s="116"/>
    </row>
    <row r="845" spans="2:116" ht="15.75" customHeight="1" x14ac:dyDescent="0.3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874"/>
      <c r="AR845" s="874"/>
      <c r="AS845" s="874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43"/>
      <c r="BN845" s="116"/>
      <c r="BW845" s="1"/>
      <c r="BX845" s="1"/>
      <c r="BY845" s="1"/>
      <c r="BZ845" s="655"/>
      <c r="CB845" s="656"/>
      <c r="CC845" s="1"/>
      <c r="CD845" s="1"/>
      <c r="CE845" s="1"/>
      <c r="CF845" s="1"/>
      <c r="CG845" s="1"/>
      <c r="CH845" s="1"/>
      <c r="CI845" s="1"/>
      <c r="CJ845" s="1"/>
      <c r="CR845" s="305"/>
      <c r="CT845" s="116"/>
      <c r="DB845" s="1"/>
      <c r="DC845" s="1"/>
      <c r="DD845" s="1"/>
      <c r="DE845" s="1"/>
      <c r="DF845" s="1"/>
      <c r="DG845" s="1"/>
      <c r="DH845" s="1"/>
      <c r="DI845" s="1"/>
      <c r="DJ845" s="655"/>
      <c r="DL845" s="116"/>
    </row>
    <row r="846" spans="2:116" ht="15.75" customHeight="1" x14ac:dyDescent="0.3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874"/>
      <c r="AR846" s="874"/>
      <c r="AS846" s="874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43"/>
      <c r="BN846" s="116"/>
      <c r="BW846" s="1"/>
      <c r="BX846" s="1"/>
      <c r="BY846" s="1"/>
      <c r="BZ846" s="655"/>
      <c r="CB846" s="656"/>
      <c r="CC846" s="1"/>
      <c r="CD846" s="1"/>
      <c r="CE846" s="1"/>
      <c r="CF846" s="1"/>
      <c r="CG846" s="1"/>
      <c r="CH846" s="1"/>
      <c r="CI846" s="1"/>
      <c r="CJ846" s="1"/>
      <c r="CR846" s="305"/>
      <c r="CT846" s="116"/>
      <c r="DB846" s="1"/>
      <c r="DC846" s="1"/>
      <c r="DD846" s="1"/>
      <c r="DE846" s="1"/>
      <c r="DF846" s="1"/>
      <c r="DG846" s="1"/>
      <c r="DH846" s="1"/>
      <c r="DI846" s="1"/>
      <c r="DJ846" s="655"/>
      <c r="DL846" s="116"/>
    </row>
    <row r="847" spans="2:116" ht="15.75" customHeight="1" x14ac:dyDescent="0.3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874"/>
      <c r="AR847" s="874"/>
      <c r="AS847" s="874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43"/>
      <c r="BN847" s="116"/>
      <c r="BW847" s="1"/>
      <c r="BX847" s="1"/>
      <c r="BY847" s="1"/>
      <c r="BZ847" s="655"/>
      <c r="CB847" s="656"/>
      <c r="CC847" s="1"/>
      <c r="CD847" s="1"/>
      <c r="CE847" s="1"/>
      <c r="CF847" s="1"/>
      <c r="CG847" s="1"/>
      <c r="CH847" s="1"/>
      <c r="CI847" s="1"/>
      <c r="CJ847" s="1"/>
      <c r="CR847" s="305"/>
      <c r="CT847" s="116"/>
      <c r="DB847" s="1"/>
      <c r="DC847" s="1"/>
      <c r="DD847" s="1"/>
      <c r="DE847" s="1"/>
      <c r="DF847" s="1"/>
      <c r="DG847" s="1"/>
      <c r="DH847" s="1"/>
      <c r="DI847" s="1"/>
      <c r="DJ847" s="655"/>
      <c r="DL847" s="116"/>
    </row>
    <row r="848" spans="2:116" ht="15.75" customHeight="1" x14ac:dyDescent="0.3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874"/>
      <c r="AR848" s="874"/>
      <c r="AS848" s="874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43"/>
      <c r="BN848" s="116"/>
      <c r="BW848" s="1"/>
      <c r="BX848" s="1"/>
      <c r="BY848" s="1"/>
      <c r="BZ848" s="655"/>
      <c r="CB848" s="656"/>
      <c r="CC848" s="1"/>
      <c r="CD848" s="1"/>
      <c r="CE848" s="1"/>
      <c r="CF848" s="1"/>
      <c r="CG848" s="1"/>
      <c r="CH848" s="1"/>
      <c r="CI848" s="1"/>
      <c r="CJ848" s="1"/>
      <c r="CR848" s="305"/>
      <c r="CT848" s="116"/>
      <c r="DB848" s="1"/>
      <c r="DC848" s="1"/>
      <c r="DD848" s="1"/>
      <c r="DE848" s="1"/>
      <c r="DF848" s="1"/>
      <c r="DG848" s="1"/>
      <c r="DH848" s="1"/>
      <c r="DI848" s="1"/>
      <c r="DJ848" s="655"/>
      <c r="DL848" s="116"/>
    </row>
    <row r="849" spans="2:116" ht="15.75" customHeight="1" x14ac:dyDescent="0.3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874"/>
      <c r="AR849" s="874"/>
      <c r="AS849" s="874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43"/>
      <c r="BN849" s="116"/>
      <c r="BW849" s="1"/>
      <c r="BX849" s="1"/>
      <c r="BY849" s="1"/>
      <c r="BZ849" s="655"/>
      <c r="CB849" s="656"/>
      <c r="CC849" s="1"/>
      <c r="CD849" s="1"/>
      <c r="CE849" s="1"/>
      <c r="CF849" s="1"/>
      <c r="CG849" s="1"/>
      <c r="CH849" s="1"/>
      <c r="CI849" s="1"/>
      <c r="CJ849" s="1"/>
      <c r="CR849" s="305"/>
      <c r="CT849" s="116"/>
      <c r="DB849" s="1"/>
      <c r="DC849" s="1"/>
      <c r="DD849" s="1"/>
      <c r="DE849" s="1"/>
      <c r="DF849" s="1"/>
      <c r="DG849" s="1"/>
      <c r="DH849" s="1"/>
      <c r="DI849" s="1"/>
      <c r="DJ849" s="655"/>
      <c r="DL849" s="116"/>
    </row>
    <row r="850" spans="2:116" ht="15.75" customHeight="1" x14ac:dyDescent="0.3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874"/>
      <c r="AR850" s="874"/>
      <c r="AS850" s="874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43"/>
      <c r="BN850" s="116"/>
      <c r="BW850" s="1"/>
      <c r="BX850" s="1"/>
      <c r="BY850" s="1"/>
      <c r="BZ850" s="655"/>
      <c r="CB850" s="656"/>
      <c r="CC850" s="1"/>
      <c r="CD850" s="1"/>
      <c r="CE850" s="1"/>
      <c r="CF850" s="1"/>
      <c r="CG850" s="1"/>
      <c r="CH850" s="1"/>
      <c r="CI850" s="1"/>
      <c r="CJ850" s="1"/>
      <c r="CR850" s="305"/>
      <c r="CT850" s="116"/>
      <c r="DB850" s="1"/>
      <c r="DC850" s="1"/>
      <c r="DD850" s="1"/>
      <c r="DE850" s="1"/>
      <c r="DF850" s="1"/>
      <c r="DG850" s="1"/>
      <c r="DH850" s="1"/>
      <c r="DI850" s="1"/>
      <c r="DJ850" s="655"/>
      <c r="DL850" s="116"/>
    </row>
    <row r="851" spans="2:116" ht="15.75" customHeight="1" x14ac:dyDescent="0.3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874"/>
      <c r="AR851" s="874"/>
      <c r="AS851" s="874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43"/>
      <c r="BN851" s="116"/>
      <c r="BW851" s="1"/>
      <c r="BX851" s="1"/>
      <c r="BY851" s="1"/>
      <c r="BZ851" s="655"/>
      <c r="CB851" s="656"/>
      <c r="CC851" s="1"/>
      <c r="CD851" s="1"/>
      <c r="CE851" s="1"/>
      <c r="CF851" s="1"/>
      <c r="CG851" s="1"/>
      <c r="CH851" s="1"/>
      <c r="CI851" s="1"/>
      <c r="CJ851" s="1"/>
      <c r="CR851" s="305"/>
      <c r="CT851" s="116"/>
      <c r="DB851" s="1"/>
      <c r="DC851" s="1"/>
      <c r="DD851" s="1"/>
      <c r="DE851" s="1"/>
      <c r="DF851" s="1"/>
      <c r="DG851" s="1"/>
      <c r="DH851" s="1"/>
      <c r="DI851" s="1"/>
      <c r="DJ851" s="655"/>
      <c r="DL851" s="116"/>
    </row>
    <row r="852" spans="2:116" ht="15.75" customHeight="1" x14ac:dyDescent="0.3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874"/>
      <c r="AR852" s="874"/>
      <c r="AS852" s="874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43"/>
      <c r="BN852" s="116"/>
      <c r="BW852" s="1"/>
      <c r="BX852" s="1"/>
      <c r="BY852" s="1"/>
      <c r="BZ852" s="655"/>
      <c r="CB852" s="656"/>
      <c r="CC852" s="1"/>
      <c r="CD852" s="1"/>
      <c r="CE852" s="1"/>
      <c r="CF852" s="1"/>
      <c r="CG852" s="1"/>
      <c r="CH852" s="1"/>
      <c r="CI852" s="1"/>
      <c r="CJ852" s="1"/>
      <c r="CR852" s="305"/>
      <c r="CT852" s="116"/>
      <c r="DB852" s="1"/>
      <c r="DC852" s="1"/>
      <c r="DD852" s="1"/>
      <c r="DE852" s="1"/>
      <c r="DF852" s="1"/>
      <c r="DG852" s="1"/>
      <c r="DH852" s="1"/>
      <c r="DI852" s="1"/>
      <c r="DJ852" s="655"/>
      <c r="DL852" s="116"/>
    </row>
    <row r="853" spans="2:116" ht="15.75" customHeight="1" x14ac:dyDescent="0.3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874"/>
      <c r="AR853" s="874"/>
      <c r="AS853" s="874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43"/>
      <c r="BN853" s="116"/>
      <c r="BW853" s="1"/>
      <c r="BX853" s="1"/>
      <c r="BY853" s="1"/>
      <c r="BZ853" s="655"/>
      <c r="CB853" s="656"/>
      <c r="CC853" s="1"/>
      <c r="CD853" s="1"/>
      <c r="CE853" s="1"/>
      <c r="CF853" s="1"/>
      <c r="CG853" s="1"/>
      <c r="CH853" s="1"/>
      <c r="CI853" s="1"/>
      <c r="CJ853" s="1"/>
      <c r="CR853" s="305"/>
      <c r="CT853" s="116"/>
      <c r="DB853" s="1"/>
      <c r="DC853" s="1"/>
      <c r="DD853" s="1"/>
      <c r="DE853" s="1"/>
      <c r="DF853" s="1"/>
      <c r="DG853" s="1"/>
      <c r="DH853" s="1"/>
      <c r="DI853" s="1"/>
      <c r="DJ853" s="655"/>
      <c r="DL853" s="116"/>
    </row>
    <row r="854" spans="2:116" ht="15.75" customHeight="1" x14ac:dyDescent="0.3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874"/>
      <c r="AR854" s="874"/>
      <c r="AS854" s="874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43"/>
      <c r="BN854" s="116"/>
      <c r="BW854" s="1"/>
      <c r="BX854" s="1"/>
      <c r="BY854" s="1"/>
      <c r="BZ854" s="655"/>
      <c r="CB854" s="656"/>
      <c r="CC854" s="1"/>
      <c r="CD854" s="1"/>
      <c r="CE854" s="1"/>
      <c r="CF854" s="1"/>
      <c r="CG854" s="1"/>
      <c r="CH854" s="1"/>
      <c r="CI854" s="1"/>
      <c r="CJ854" s="1"/>
      <c r="CR854" s="305"/>
      <c r="CT854" s="116"/>
      <c r="DB854" s="1"/>
      <c r="DC854" s="1"/>
      <c r="DD854" s="1"/>
      <c r="DE854" s="1"/>
      <c r="DF854" s="1"/>
      <c r="DG854" s="1"/>
      <c r="DH854" s="1"/>
      <c r="DI854" s="1"/>
      <c r="DJ854" s="655"/>
      <c r="DL854" s="116"/>
    </row>
    <row r="855" spans="2:116" ht="15.75" customHeight="1" x14ac:dyDescent="0.3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874"/>
      <c r="AR855" s="874"/>
      <c r="AS855" s="874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43"/>
      <c r="BN855" s="116"/>
      <c r="BW855" s="1"/>
      <c r="BX855" s="1"/>
      <c r="BY855" s="1"/>
      <c r="BZ855" s="655"/>
      <c r="CB855" s="656"/>
      <c r="CC855" s="1"/>
      <c r="CD855" s="1"/>
      <c r="CE855" s="1"/>
      <c r="CF855" s="1"/>
      <c r="CG855" s="1"/>
      <c r="CH855" s="1"/>
      <c r="CI855" s="1"/>
      <c r="CJ855" s="1"/>
      <c r="CR855" s="305"/>
      <c r="CT855" s="116"/>
      <c r="DB855" s="1"/>
      <c r="DC855" s="1"/>
      <c r="DD855" s="1"/>
      <c r="DE855" s="1"/>
      <c r="DF855" s="1"/>
      <c r="DG855" s="1"/>
      <c r="DH855" s="1"/>
      <c r="DI855" s="1"/>
      <c r="DJ855" s="655"/>
      <c r="DL855" s="116"/>
    </row>
    <row r="856" spans="2:116" ht="15.75" customHeight="1" x14ac:dyDescent="0.3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874"/>
      <c r="AR856" s="874"/>
      <c r="AS856" s="874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43"/>
      <c r="BN856" s="116"/>
      <c r="BW856" s="1"/>
      <c r="BX856" s="1"/>
      <c r="BY856" s="1"/>
      <c r="BZ856" s="655"/>
      <c r="CB856" s="656"/>
      <c r="CC856" s="1"/>
      <c r="CD856" s="1"/>
      <c r="CE856" s="1"/>
      <c r="CF856" s="1"/>
      <c r="CG856" s="1"/>
      <c r="CH856" s="1"/>
      <c r="CI856" s="1"/>
      <c r="CJ856" s="1"/>
      <c r="CR856" s="305"/>
      <c r="CT856" s="116"/>
      <c r="DB856" s="1"/>
      <c r="DC856" s="1"/>
      <c r="DD856" s="1"/>
      <c r="DE856" s="1"/>
      <c r="DF856" s="1"/>
      <c r="DG856" s="1"/>
      <c r="DH856" s="1"/>
      <c r="DI856" s="1"/>
      <c r="DJ856" s="655"/>
      <c r="DL856" s="116"/>
    </row>
    <row r="857" spans="2:116" ht="15.75" customHeight="1" x14ac:dyDescent="0.3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874"/>
      <c r="AR857" s="874"/>
      <c r="AS857" s="874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43"/>
      <c r="BN857" s="116"/>
      <c r="BW857" s="1"/>
      <c r="BX857" s="1"/>
      <c r="BY857" s="1"/>
      <c r="BZ857" s="655"/>
      <c r="CB857" s="656"/>
      <c r="CC857" s="1"/>
      <c r="CD857" s="1"/>
      <c r="CE857" s="1"/>
      <c r="CF857" s="1"/>
      <c r="CG857" s="1"/>
      <c r="CH857" s="1"/>
      <c r="CI857" s="1"/>
      <c r="CJ857" s="1"/>
      <c r="CR857" s="305"/>
      <c r="CT857" s="116"/>
      <c r="DB857" s="1"/>
      <c r="DC857" s="1"/>
      <c r="DD857" s="1"/>
      <c r="DE857" s="1"/>
      <c r="DF857" s="1"/>
      <c r="DG857" s="1"/>
      <c r="DH857" s="1"/>
      <c r="DI857" s="1"/>
      <c r="DJ857" s="655"/>
      <c r="DL857" s="116"/>
    </row>
    <row r="858" spans="2:116" ht="15.75" customHeight="1" x14ac:dyDescent="0.3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874"/>
      <c r="AR858" s="874"/>
      <c r="AS858" s="874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43"/>
      <c r="BN858" s="116"/>
      <c r="BW858" s="1"/>
      <c r="BX858" s="1"/>
      <c r="BY858" s="1"/>
      <c r="BZ858" s="655"/>
      <c r="CB858" s="656"/>
      <c r="CC858" s="1"/>
      <c r="CD858" s="1"/>
      <c r="CE858" s="1"/>
      <c r="CF858" s="1"/>
      <c r="CG858" s="1"/>
      <c r="CH858" s="1"/>
      <c r="CI858" s="1"/>
      <c r="CJ858" s="1"/>
      <c r="CR858" s="305"/>
      <c r="CT858" s="116"/>
      <c r="DB858" s="1"/>
      <c r="DC858" s="1"/>
      <c r="DD858" s="1"/>
      <c r="DE858" s="1"/>
      <c r="DF858" s="1"/>
      <c r="DG858" s="1"/>
      <c r="DH858" s="1"/>
      <c r="DI858" s="1"/>
      <c r="DJ858" s="655"/>
      <c r="DL858" s="116"/>
    </row>
    <row r="859" spans="2:116" ht="15.75" customHeight="1" x14ac:dyDescent="0.3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874"/>
      <c r="AR859" s="874"/>
      <c r="AS859" s="874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43"/>
      <c r="BN859" s="116"/>
      <c r="BW859" s="1"/>
      <c r="BX859" s="1"/>
      <c r="BY859" s="1"/>
      <c r="BZ859" s="655"/>
      <c r="CB859" s="656"/>
      <c r="CC859" s="1"/>
      <c r="CD859" s="1"/>
      <c r="CE859" s="1"/>
      <c r="CF859" s="1"/>
      <c r="CG859" s="1"/>
      <c r="CH859" s="1"/>
      <c r="CI859" s="1"/>
      <c r="CJ859" s="1"/>
      <c r="CR859" s="305"/>
      <c r="CT859" s="116"/>
      <c r="DB859" s="1"/>
      <c r="DC859" s="1"/>
      <c r="DD859" s="1"/>
      <c r="DE859" s="1"/>
      <c r="DF859" s="1"/>
      <c r="DG859" s="1"/>
      <c r="DH859" s="1"/>
      <c r="DI859" s="1"/>
      <c r="DJ859" s="655"/>
      <c r="DL859" s="116"/>
    </row>
    <row r="860" spans="2:116" ht="15.75" customHeight="1" x14ac:dyDescent="0.3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874"/>
      <c r="AR860" s="874"/>
      <c r="AS860" s="874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43"/>
      <c r="BN860" s="116"/>
      <c r="BW860" s="1"/>
      <c r="BX860" s="1"/>
      <c r="BY860" s="1"/>
      <c r="BZ860" s="655"/>
      <c r="CB860" s="656"/>
      <c r="CC860" s="1"/>
      <c r="CD860" s="1"/>
      <c r="CE860" s="1"/>
      <c r="CF860" s="1"/>
      <c r="CG860" s="1"/>
      <c r="CH860" s="1"/>
      <c r="CI860" s="1"/>
      <c r="CJ860" s="1"/>
      <c r="CR860" s="305"/>
      <c r="CT860" s="116"/>
      <c r="DB860" s="1"/>
      <c r="DC860" s="1"/>
      <c r="DD860" s="1"/>
      <c r="DE860" s="1"/>
      <c r="DF860" s="1"/>
      <c r="DG860" s="1"/>
      <c r="DH860" s="1"/>
      <c r="DI860" s="1"/>
      <c r="DJ860" s="655"/>
      <c r="DL860" s="116"/>
    </row>
    <row r="861" spans="2:116" ht="15.75" customHeight="1" x14ac:dyDescent="0.3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874"/>
      <c r="AR861" s="874"/>
      <c r="AS861" s="874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43"/>
      <c r="BN861" s="116"/>
      <c r="BW861" s="1"/>
      <c r="BX861" s="1"/>
      <c r="BY861" s="1"/>
      <c r="BZ861" s="655"/>
      <c r="CB861" s="656"/>
      <c r="CC861" s="1"/>
      <c r="CD861" s="1"/>
      <c r="CE861" s="1"/>
      <c r="CF861" s="1"/>
      <c r="CG861" s="1"/>
      <c r="CH861" s="1"/>
      <c r="CI861" s="1"/>
      <c r="CJ861" s="1"/>
      <c r="CR861" s="305"/>
      <c r="CT861" s="116"/>
      <c r="DB861" s="1"/>
      <c r="DC861" s="1"/>
      <c r="DD861" s="1"/>
      <c r="DE861" s="1"/>
      <c r="DF861" s="1"/>
      <c r="DG861" s="1"/>
      <c r="DH861" s="1"/>
      <c r="DI861" s="1"/>
      <c r="DJ861" s="655"/>
      <c r="DL861" s="116"/>
    </row>
    <row r="862" spans="2:116" ht="15.75" customHeight="1" x14ac:dyDescent="0.3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874"/>
      <c r="AR862" s="874"/>
      <c r="AS862" s="874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43"/>
      <c r="BN862" s="116"/>
      <c r="BW862" s="1"/>
      <c r="BX862" s="1"/>
      <c r="BY862" s="1"/>
      <c r="BZ862" s="655"/>
      <c r="CB862" s="656"/>
      <c r="CC862" s="1"/>
      <c r="CD862" s="1"/>
      <c r="CE862" s="1"/>
      <c r="CF862" s="1"/>
      <c r="CG862" s="1"/>
      <c r="CH862" s="1"/>
      <c r="CI862" s="1"/>
      <c r="CJ862" s="1"/>
      <c r="CR862" s="305"/>
      <c r="CT862" s="116"/>
      <c r="DB862" s="1"/>
      <c r="DC862" s="1"/>
      <c r="DD862" s="1"/>
      <c r="DE862" s="1"/>
      <c r="DF862" s="1"/>
      <c r="DG862" s="1"/>
      <c r="DH862" s="1"/>
      <c r="DI862" s="1"/>
      <c r="DJ862" s="655"/>
      <c r="DL862" s="116"/>
    </row>
    <row r="863" spans="2:116" ht="15.75" customHeight="1" x14ac:dyDescent="0.3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874"/>
      <c r="AR863" s="874"/>
      <c r="AS863" s="874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43"/>
      <c r="BN863" s="116"/>
      <c r="BW863" s="1"/>
      <c r="BX863" s="1"/>
      <c r="BY863" s="1"/>
      <c r="BZ863" s="655"/>
      <c r="CB863" s="656"/>
      <c r="CC863" s="1"/>
      <c r="CD863" s="1"/>
      <c r="CE863" s="1"/>
      <c r="CF863" s="1"/>
      <c r="CG863" s="1"/>
      <c r="CH863" s="1"/>
      <c r="CI863" s="1"/>
      <c r="CJ863" s="1"/>
      <c r="CR863" s="305"/>
      <c r="CT863" s="116"/>
      <c r="DB863" s="1"/>
      <c r="DC863" s="1"/>
      <c r="DD863" s="1"/>
      <c r="DE863" s="1"/>
      <c r="DF863" s="1"/>
      <c r="DG863" s="1"/>
      <c r="DH863" s="1"/>
      <c r="DI863" s="1"/>
      <c r="DJ863" s="655"/>
      <c r="DL863" s="116"/>
    </row>
    <row r="864" spans="2:116" ht="15.75" customHeight="1" x14ac:dyDescent="0.3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874"/>
      <c r="AR864" s="874"/>
      <c r="AS864" s="874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43"/>
      <c r="BN864" s="116"/>
      <c r="BW864" s="1"/>
      <c r="BX864" s="1"/>
      <c r="BY864" s="1"/>
      <c r="BZ864" s="655"/>
      <c r="CB864" s="656"/>
      <c r="CC864" s="1"/>
      <c r="CD864" s="1"/>
      <c r="CE864" s="1"/>
      <c r="CF864" s="1"/>
      <c r="CG864" s="1"/>
      <c r="CH864" s="1"/>
      <c r="CI864" s="1"/>
      <c r="CJ864" s="1"/>
      <c r="CR864" s="305"/>
      <c r="CT864" s="116"/>
      <c r="DB864" s="1"/>
      <c r="DC864" s="1"/>
      <c r="DD864" s="1"/>
      <c r="DE864" s="1"/>
      <c r="DF864" s="1"/>
      <c r="DG864" s="1"/>
      <c r="DH864" s="1"/>
      <c r="DI864" s="1"/>
      <c r="DJ864" s="655"/>
      <c r="DL864" s="116"/>
    </row>
    <row r="865" spans="2:116" ht="15.75" customHeight="1" x14ac:dyDescent="0.3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874"/>
      <c r="AR865" s="874"/>
      <c r="AS865" s="874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43"/>
      <c r="BN865" s="116"/>
      <c r="BW865" s="1"/>
      <c r="BX865" s="1"/>
      <c r="BY865" s="1"/>
      <c r="BZ865" s="655"/>
      <c r="CB865" s="656"/>
      <c r="CC865" s="1"/>
      <c r="CD865" s="1"/>
      <c r="CE865" s="1"/>
      <c r="CF865" s="1"/>
      <c r="CG865" s="1"/>
      <c r="CH865" s="1"/>
      <c r="CI865" s="1"/>
      <c r="CJ865" s="1"/>
      <c r="CR865" s="305"/>
      <c r="CT865" s="116"/>
      <c r="DB865" s="1"/>
      <c r="DC865" s="1"/>
      <c r="DD865" s="1"/>
      <c r="DE865" s="1"/>
      <c r="DF865" s="1"/>
      <c r="DG865" s="1"/>
      <c r="DH865" s="1"/>
      <c r="DI865" s="1"/>
      <c r="DJ865" s="655"/>
      <c r="DL865" s="116"/>
    </row>
    <row r="866" spans="2:116" ht="15.75" customHeight="1" x14ac:dyDescent="0.3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874"/>
      <c r="AR866" s="874"/>
      <c r="AS866" s="874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43"/>
      <c r="BN866" s="116"/>
      <c r="BW866" s="1"/>
      <c r="BX866" s="1"/>
      <c r="BY866" s="1"/>
      <c r="BZ866" s="655"/>
      <c r="CB866" s="656"/>
      <c r="CC866" s="1"/>
      <c r="CD866" s="1"/>
      <c r="CE866" s="1"/>
      <c r="CF866" s="1"/>
      <c r="CG866" s="1"/>
      <c r="CH866" s="1"/>
      <c r="CI866" s="1"/>
      <c r="CJ866" s="1"/>
      <c r="CR866" s="305"/>
      <c r="CT866" s="116"/>
      <c r="DB866" s="1"/>
      <c r="DC866" s="1"/>
      <c r="DD866" s="1"/>
      <c r="DE866" s="1"/>
      <c r="DF866" s="1"/>
      <c r="DG866" s="1"/>
      <c r="DH866" s="1"/>
      <c r="DI866" s="1"/>
      <c r="DJ866" s="655"/>
      <c r="DL866" s="116"/>
    </row>
    <row r="867" spans="2:116" ht="15.75" customHeight="1" x14ac:dyDescent="0.3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874"/>
      <c r="AR867" s="874"/>
      <c r="AS867" s="874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43"/>
      <c r="BN867" s="116"/>
      <c r="BW867" s="1"/>
      <c r="BX867" s="1"/>
      <c r="BY867" s="1"/>
      <c r="BZ867" s="655"/>
      <c r="CB867" s="656"/>
      <c r="CC867" s="1"/>
      <c r="CD867" s="1"/>
      <c r="CE867" s="1"/>
      <c r="CF867" s="1"/>
      <c r="CG867" s="1"/>
      <c r="CH867" s="1"/>
      <c r="CI867" s="1"/>
      <c r="CJ867" s="1"/>
      <c r="CR867" s="305"/>
      <c r="CT867" s="116"/>
      <c r="DB867" s="1"/>
      <c r="DC867" s="1"/>
      <c r="DD867" s="1"/>
      <c r="DE867" s="1"/>
      <c r="DF867" s="1"/>
      <c r="DG867" s="1"/>
      <c r="DH867" s="1"/>
      <c r="DI867" s="1"/>
      <c r="DJ867" s="655"/>
      <c r="DL867" s="116"/>
    </row>
    <row r="868" spans="2:116" ht="15.75" customHeight="1" x14ac:dyDescent="0.3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874"/>
      <c r="AR868" s="874"/>
      <c r="AS868" s="874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43"/>
      <c r="BN868" s="116"/>
      <c r="BW868" s="1"/>
      <c r="BX868" s="1"/>
      <c r="BY868" s="1"/>
      <c r="BZ868" s="655"/>
      <c r="CB868" s="656"/>
      <c r="CC868" s="1"/>
      <c r="CD868" s="1"/>
      <c r="CE868" s="1"/>
      <c r="CF868" s="1"/>
      <c r="CG868" s="1"/>
      <c r="CH868" s="1"/>
      <c r="CI868" s="1"/>
      <c r="CJ868" s="1"/>
      <c r="CR868" s="305"/>
      <c r="CT868" s="116"/>
      <c r="DB868" s="1"/>
      <c r="DC868" s="1"/>
      <c r="DD868" s="1"/>
      <c r="DE868" s="1"/>
      <c r="DF868" s="1"/>
      <c r="DG868" s="1"/>
      <c r="DH868" s="1"/>
      <c r="DI868" s="1"/>
      <c r="DJ868" s="655"/>
      <c r="DL868" s="116"/>
    </row>
    <row r="869" spans="2:116" ht="15.75" customHeight="1" x14ac:dyDescent="0.3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874"/>
      <c r="AR869" s="874"/>
      <c r="AS869" s="874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43"/>
      <c r="BN869" s="116"/>
      <c r="BW869" s="1"/>
      <c r="BX869" s="1"/>
      <c r="BY869" s="1"/>
      <c r="BZ869" s="655"/>
      <c r="CB869" s="656"/>
      <c r="CC869" s="1"/>
      <c r="CD869" s="1"/>
      <c r="CE869" s="1"/>
      <c r="CF869" s="1"/>
      <c r="CG869" s="1"/>
      <c r="CH869" s="1"/>
      <c r="CI869" s="1"/>
      <c r="CJ869" s="1"/>
      <c r="CR869" s="305"/>
      <c r="CT869" s="116"/>
      <c r="DB869" s="1"/>
      <c r="DC869" s="1"/>
      <c r="DD869" s="1"/>
      <c r="DE869" s="1"/>
      <c r="DF869" s="1"/>
      <c r="DG869" s="1"/>
      <c r="DH869" s="1"/>
      <c r="DI869" s="1"/>
      <c r="DJ869" s="655"/>
      <c r="DL869" s="116"/>
    </row>
    <row r="870" spans="2:116" ht="15.75" customHeight="1" x14ac:dyDescent="0.3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874"/>
      <c r="AR870" s="874"/>
      <c r="AS870" s="874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43"/>
      <c r="BN870" s="116"/>
      <c r="BW870" s="1"/>
      <c r="BX870" s="1"/>
      <c r="BY870" s="1"/>
      <c r="BZ870" s="655"/>
      <c r="CB870" s="656"/>
      <c r="CC870" s="1"/>
      <c r="CD870" s="1"/>
      <c r="CE870" s="1"/>
      <c r="CF870" s="1"/>
      <c r="CG870" s="1"/>
      <c r="CH870" s="1"/>
      <c r="CI870" s="1"/>
      <c r="CJ870" s="1"/>
      <c r="CR870" s="305"/>
      <c r="CT870" s="116"/>
      <c r="DB870" s="1"/>
      <c r="DC870" s="1"/>
      <c r="DD870" s="1"/>
      <c r="DE870" s="1"/>
      <c r="DF870" s="1"/>
      <c r="DG870" s="1"/>
      <c r="DH870" s="1"/>
      <c r="DI870" s="1"/>
      <c r="DJ870" s="655"/>
      <c r="DL870" s="116"/>
    </row>
    <row r="871" spans="2:116" ht="15.75" customHeight="1" x14ac:dyDescent="0.3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874"/>
      <c r="AR871" s="874"/>
      <c r="AS871" s="874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43"/>
      <c r="BN871" s="116"/>
      <c r="BW871" s="1"/>
      <c r="BX871" s="1"/>
      <c r="BY871" s="1"/>
      <c r="BZ871" s="655"/>
      <c r="CB871" s="656"/>
      <c r="CC871" s="1"/>
      <c r="CD871" s="1"/>
      <c r="CE871" s="1"/>
      <c r="CF871" s="1"/>
      <c r="CG871" s="1"/>
      <c r="CH871" s="1"/>
      <c r="CI871" s="1"/>
      <c r="CJ871" s="1"/>
      <c r="CR871" s="305"/>
      <c r="CT871" s="116"/>
      <c r="DB871" s="1"/>
      <c r="DC871" s="1"/>
      <c r="DD871" s="1"/>
      <c r="DE871" s="1"/>
      <c r="DF871" s="1"/>
      <c r="DG871" s="1"/>
      <c r="DH871" s="1"/>
      <c r="DI871" s="1"/>
      <c r="DJ871" s="655"/>
      <c r="DL871" s="116"/>
    </row>
    <row r="872" spans="2:116" ht="15.75" customHeight="1" x14ac:dyDescent="0.3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874"/>
      <c r="AR872" s="874"/>
      <c r="AS872" s="874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43"/>
      <c r="BN872" s="116"/>
      <c r="BW872" s="1"/>
      <c r="BX872" s="1"/>
      <c r="BY872" s="1"/>
      <c r="BZ872" s="655"/>
      <c r="CB872" s="656"/>
      <c r="CC872" s="1"/>
      <c r="CD872" s="1"/>
      <c r="CE872" s="1"/>
      <c r="CF872" s="1"/>
      <c r="CG872" s="1"/>
      <c r="CH872" s="1"/>
      <c r="CI872" s="1"/>
      <c r="CJ872" s="1"/>
      <c r="CR872" s="305"/>
      <c r="CT872" s="116"/>
      <c r="DB872" s="1"/>
      <c r="DC872" s="1"/>
      <c r="DD872" s="1"/>
      <c r="DE872" s="1"/>
      <c r="DF872" s="1"/>
      <c r="DG872" s="1"/>
      <c r="DH872" s="1"/>
      <c r="DI872" s="1"/>
      <c r="DJ872" s="655"/>
      <c r="DL872" s="116"/>
    </row>
    <row r="873" spans="2:116" ht="15.75" customHeight="1" x14ac:dyDescent="0.3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874"/>
      <c r="AR873" s="874"/>
      <c r="AS873" s="874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43"/>
      <c r="BN873" s="116"/>
      <c r="BW873" s="1"/>
      <c r="BX873" s="1"/>
      <c r="BY873" s="1"/>
      <c r="BZ873" s="655"/>
      <c r="CB873" s="656"/>
      <c r="CC873" s="1"/>
      <c r="CD873" s="1"/>
      <c r="CE873" s="1"/>
      <c r="CF873" s="1"/>
      <c r="CG873" s="1"/>
      <c r="CH873" s="1"/>
      <c r="CI873" s="1"/>
      <c r="CJ873" s="1"/>
      <c r="CR873" s="305"/>
      <c r="CT873" s="116"/>
      <c r="DB873" s="1"/>
      <c r="DC873" s="1"/>
      <c r="DD873" s="1"/>
      <c r="DE873" s="1"/>
      <c r="DF873" s="1"/>
      <c r="DG873" s="1"/>
      <c r="DH873" s="1"/>
      <c r="DI873" s="1"/>
      <c r="DJ873" s="655"/>
      <c r="DL873" s="116"/>
    </row>
    <row r="874" spans="2:116" ht="15.75" customHeight="1" x14ac:dyDescent="0.3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874"/>
      <c r="AR874" s="874"/>
      <c r="AS874" s="874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43"/>
      <c r="BN874" s="116"/>
      <c r="BW874" s="1"/>
      <c r="BX874" s="1"/>
      <c r="BY874" s="1"/>
      <c r="BZ874" s="655"/>
      <c r="CB874" s="656"/>
      <c r="CC874" s="1"/>
      <c r="CD874" s="1"/>
      <c r="CE874" s="1"/>
      <c r="CF874" s="1"/>
      <c r="CG874" s="1"/>
      <c r="CH874" s="1"/>
      <c r="CI874" s="1"/>
      <c r="CJ874" s="1"/>
      <c r="CR874" s="305"/>
      <c r="CT874" s="116"/>
      <c r="DB874" s="1"/>
      <c r="DC874" s="1"/>
      <c r="DD874" s="1"/>
      <c r="DE874" s="1"/>
      <c r="DF874" s="1"/>
      <c r="DG874" s="1"/>
      <c r="DH874" s="1"/>
      <c r="DI874" s="1"/>
      <c r="DJ874" s="655"/>
      <c r="DL874" s="116"/>
    </row>
    <row r="875" spans="2:116" ht="15.75" customHeight="1" x14ac:dyDescent="0.3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874"/>
      <c r="AR875" s="874"/>
      <c r="AS875" s="874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43"/>
      <c r="BN875" s="116"/>
      <c r="BW875" s="1"/>
      <c r="BX875" s="1"/>
      <c r="BY875" s="1"/>
      <c r="BZ875" s="655"/>
      <c r="CB875" s="656"/>
      <c r="CC875" s="1"/>
      <c r="CD875" s="1"/>
      <c r="CE875" s="1"/>
      <c r="CF875" s="1"/>
      <c r="CG875" s="1"/>
      <c r="CH875" s="1"/>
      <c r="CI875" s="1"/>
      <c r="CJ875" s="1"/>
      <c r="CR875" s="305"/>
      <c r="CT875" s="116"/>
      <c r="DB875" s="1"/>
      <c r="DC875" s="1"/>
      <c r="DD875" s="1"/>
      <c r="DE875" s="1"/>
      <c r="DF875" s="1"/>
      <c r="DG875" s="1"/>
      <c r="DH875" s="1"/>
      <c r="DI875" s="1"/>
      <c r="DJ875" s="655"/>
      <c r="DL875" s="116"/>
    </row>
    <row r="876" spans="2:116" ht="15.75" customHeight="1" x14ac:dyDescent="0.3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874"/>
      <c r="AR876" s="874"/>
      <c r="AS876" s="874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43"/>
      <c r="BN876" s="116"/>
      <c r="BW876" s="1"/>
      <c r="BX876" s="1"/>
      <c r="BY876" s="1"/>
      <c r="BZ876" s="655"/>
      <c r="CB876" s="656"/>
      <c r="CC876" s="1"/>
      <c r="CD876" s="1"/>
      <c r="CE876" s="1"/>
      <c r="CF876" s="1"/>
      <c r="CG876" s="1"/>
      <c r="CH876" s="1"/>
      <c r="CI876" s="1"/>
      <c r="CJ876" s="1"/>
      <c r="CR876" s="305"/>
      <c r="CT876" s="116"/>
      <c r="DB876" s="1"/>
      <c r="DC876" s="1"/>
      <c r="DD876" s="1"/>
      <c r="DE876" s="1"/>
      <c r="DF876" s="1"/>
      <c r="DG876" s="1"/>
      <c r="DH876" s="1"/>
      <c r="DI876" s="1"/>
      <c r="DJ876" s="655"/>
      <c r="DL876" s="116"/>
    </row>
    <row r="877" spans="2:116" ht="15.75" customHeight="1" x14ac:dyDescent="0.3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874"/>
      <c r="AR877" s="874"/>
      <c r="AS877" s="874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43"/>
      <c r="BN877" s="116"/>
      <c r="BW877" s="1"/>
      <c r="BX877" s="1"/>
      <c r="BY877" s="1"/>
      <c r="BZ877" s="655"/>
      <c r="CB877" s="656"/>
      <c r="CC877" s="1"/>
      <c r="CD877" s="1"/>
      <c r="CE877" s="1"/>
      <c r="CF877" s="1"/>
      <c r="CG877" s="1"/>
      <c r="CH877" s="1"/>
      <c r="CI877" s="1"/>
      <c r="CJ877" s="1"/>
      <c r="CR877" s="305"/>
      <c r="CT877" s="116"/>
      <c r="DB877" s="1"/>
      <c r="DC877" s="1"/>
      <c r="DD877" s="1"/>
      <c r="DE877" s="1"/>
      <c r="DF877" s="1"/>
      <c r="DG877" s="1"/>
      <c r="DH877" s="1"/>
      <c r="DI877" s="1"/>
      <c r="DJ877" s="655"/>
      <c r="DL877" s="116"/>
    </row>
    <row r="878" spans="2:116" ht="15.75" customHeight="1" x14ac:dyDescent="0.3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874"/>
      <c r="AR878" s="874"/>
      <c r="AS878" s="874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43"/>
      <c r="BN878" s="116"/>
      <c r="BW878" s="1"/>
      <c r="BX878" s="1"/>
      <c r="BY878" s="1"/>
      <c r="BZ878" s="655"/>
      <c r="CB878" s="656"/>
      <c r="CC878" s="1"/>
      <c r="CD878" s="1"/>
      <c r="CE878" s="1"/>
      <c r="CF878" s="1"/>
      <c r="CG878" s="1"/>
      <c r="CH878" s="1"/>
      <c r="CI878" s="1"/>
      <c r="CJ878" s="1"/>
      <c r="CR878" s="305"/>
      <c r="CT878" s="116"/>
      <c r="DB878" s="1"/>
      <c r="DC878" s="1"/>
      <c r="DD878" s="1"/>
      <c r="DE878" s="1"/>
      <c r="DF878" s="1"/>
      <c r="DG878" s="1"/>
      <c r="DH878" s="1"/>
      <c r="DI878" s="1"/>
      <c r="DJ878" s="655"/>
      <c r="DL878" s="116"/>
    </row>
    <row r="879" spans="2:116" ht="15.75" customHeight="1" x14ac:dyDescent="0.3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874"/>
      <c r="AR879" s="874"/>
      <c r="AS879" s="874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43"/>
      <c r="BN879" s="116"/>
      <c r="BW879" s="1"/>
      <c r="BX879" s="1"/>
      <c r="BY879" s="1"/>
      <c r="BZ879" s="655"/>
      <c r="CB879" s="656"/>
      <c r="CC879" s="1"/>
      <c r="CD879" s="1"/>
      <c r="CE879" s="1"/>
      <c r="CF879" s="1"/>
      <c r="CG879" s="1"/>
      <c r="CH879" s="1"/>
      <c r="CI879" s="1"/>
      <c r="CJ879" s="1"/>
      <c r="CR879" s="305"/>
      <c r="CT879" s="116"/>
      <c r="DB879" s="1"/>
      <c r="DC879" s="1"/>
      <c r="DD879" s="1"/>
      <c r="DE879" s="1"/>
      <c r="DF879" s="1"/>
      <c r="DG879" s="1"/>
      <c r="DH879" s="1"/>
      <c r="DI879" s="1"/>
      <c r="DJ879" s="655"/>
      <c r="DL879" s="116"/>
    </row>
    <row r="880" spans="2:116" ht="15.75" customHeight="1" x14ac:dyDescent="0.3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874"/>
      <c r="AR880" s="874"/>
      <c r="AS880" s="874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43"/>
      <c r="BN880" s="116"/>
      <c r="BW880" s="1"/>
      <c r="BX880" s="1"/>
      <c r="BY880" s="1"/>
      <c r="BZ880" s="655"/>
      <c r="CB880" s="656"/>
      <c r="CC880" s="1"/>
      <c r="CD880" s="1"/>
      <c r="CE880" s="1"/>
      <c r="CF880" s="1"/>
      <c r="CG880" s="1"/>
      <c r="CH880" s="1"/>
      <c r="CI880" s="1"/>
      <c r="CJ880" s="1"/>
      <c r="CR880" s="305"/>
      <c r="CT880" s="116"/>
      <c r="DB880" s="1"/>
      <c r="DC880" s="1"/>
      <c r="DD880" s="1"/>
      <c r="DE880" s="1"/>
      <c r="DF880" s="1"/>
      <c r="DG880" s="1"/>
      <c r="DH880" s="1"/>
      <c r="DI880" s="1"/>
      <c r="DJ880" s="655"/>
      <c r="DL880" s="116"/>
    </row>
    <row r="881" spans="2:116" ht="15.75" customHeight="1" x14ac:dyDescent="0.3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874"/>
      <c r="AR881" s="874"/>
      <c r="AS881" s="874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43"/>
      <c r="BN881" s="116"/>
      <c r="BW881" s="1"/>
      <c r="BX881" s="1"/>
      <c r="BY881" s="1"/>
      <c r="BZ881" s="655"/>
      <c r="CB881" s="656"/>
      <c r="CC881" s="1"/>
      <c r="CD881" s="1"/>
      <c r="CE881" s="1"/>
      <c r="CF881" s="1"/>
      <c r="CG881" s="1"/>
      <c r="CH881" s="1"/>
      <c r="CI881" s="1"/>
      <c r="CJ881" s="1"/>
      <c r="CR881" s="305"/>
      <c r="CT881" s="116"/>
      <c r="DB881" s="1"/>
      <c r="DC881" s="1"/>
      <c r="DD881" s="1"/>
      <c r="DE881" s="1"/>
      <c r="DF881" s="1"/>
      <c r="DG881" s="1"/>
      <c r="DH881" s="1"/>
      <c r="DI881" s="1"/>
      <c r="DJ881" s="655"/>
      <c r="DL881" s="116"/>
    </row>
    <row r="882" spans="2:116" ht="15.75" customHeight="1" x14ac:dyDescent="0.3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874"/>
      <c r="AR882" s="874"/>
      <c r="AS882" s="874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43"/>
      <c r="BN882" s="116"/>
      <c r="BW882" s="1"/>
      <c r="BX882" s="1"/>
      <c r="BY882" s="1"/>
      <c r="BZ882" s="655"/>
      <c r="CB882" s="656"/>
      <c r="CC882" s="1"/>
      <c r="CD882" s="1"/>
      <c r="CE882" s="1"/>
      <c r="CF882" s="1"/>
      <c r="CG882" s="1"/>
      <c r="CH882" s="1"/>
      <c r="CI882" s="1"/>
      <c r="CJ882" s="1"/>
      <c r="CR882" s="305"/>
      <c r="CT882" s="116"/>
      <c r="DB882" s="1"/>
      <c r="DC882" s="1"/>
      <c r="DD882" s="1"/>
      <c r="DE882" s="1"/>
      <c r="DF882" s="1"/>
      <c r="DG882" s="1"/>
      <c r="DH882" s="1"/>
      <c r="DI882" s="1"/>
      <c r="DJ882" s="655"/>
      <c r="DL882" s="116"/>
    </row>
    <row r="883" spans="2:116" ht="15.75" customHeight="1" x14ac:dyDescent="0.3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874"/>
      <c r="AR883" s="874"/>
      <c r="AS883" s="874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43"/>
      <c r="BN883" s="116"/>
      <c r="BW883" s="1"/>
      <c r="BX883" s="1"/>
      <c r="BY883" s="1"/>
      <c r="BZ883" s="655"/>
      <c r="CB883" s="656"/>
      <c r="CC883" s="1"/>
      <c r="CD883" s="1"/>
      <c r="CE883" s="1"/>
      <c r="CF883" s="1"/>
      <c r="CG883" s="1"/>
      <c r="CH883" s="1"/>
      <c r="CI883" s="1"/>
      <c r="CJ883" s="1"/>
      <c r="CR883" s="305"/>
      <c r="CT883" s="116"/>
      <c r="DB883" s="1"/>
      <c r="DC883" s="1"/>
      <c r="DD883" s="1"/>
      <c r="DE883" s="1"/>
      <c r="DF883" s="1"/>
      <c r="DG883" s="1"/>
      <c r="DH883" s="1"/>
      <c r="DI883" s="1"/>
      <c r="DJ883" s="655"/>
      <c r="DL883" s="116"/>
    </row>
    <row r="884" spans="2:116" ht="15.75" customHeight="1" x14ac:dyDescent="0.3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874"/>
      <c r="AR884" s="874"/>
      <c r="AS884" s="874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43"/>
      <c r="BN884" s="116"/>
      <c r="BW884" s="1"/>
      <c r="BX884" s="1"/>
      <c r="BY884" s="1"/>
      <c r="BZ884" s="655"/>
      <c r="CB884" s="656"/>
      <c r="CC884" s="1"/>
      <c r="CD884" s="1"/>
      <c r="CE884" s="1"/>
      <c r="CF884" s="1"/>
      <c r="CG884" s="1"/>
      <c r="CH884" s="1"/>
      <c r="CI884" s="1"/>
      <c r="CJ884" s="1"/>
      <c r="CR884" s="305"/>
      <c r="CT884" s="116"/>
      <c r="DB884" s="1"/>
      <c r="DC884" s="1"/>
      <c r="DD884" s="1"/>
      <c r="DE884" s="1"/>
      <c r="DF884" s="1"/>
      <c r="DG884" s="1"/>
      <c r="DH884" s="1"/>
      <c r="DI884" s="1"/>
      <c r="DJ884" s="655"/>
      <c r="DL884" s="116"/>
    </row>
    <row r="885" spans="2:116" ht="15.75" customHeight="1" x14ac:dyDescent="0.3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874"/>
      <c r="AR885" s="874"/>
      <c r="AS885" s="874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43"/>
      <c r="BN885" s="116"/>
      <c r="BW885" s="1"/>
      <c r="BX885" s="1"/>
      <c r="BY885" s="1"/>
      <c r="BZ885" s="655"/>
      <c r="CB885" s="656"/>
      <c r="CC885" s="1"/>
      <c r="CD885" s="1"/>
      <c r="CE885" s="1"/>
      <c r="CF885" s="1"/>
      <c r="CG885" s="1"/>
      <c r="CH885" s="1"/>
      <c r="CI885" s="1"/>
      <c r="CJ885" s="1"/>
      <c r="CR885" s="305"/>
      <c r="CT885" s="116"/>
      <c r="DB885" s="1"/>
      <c r="DC885" s="1"/>
      <c r="DD885" s="1"/>
      <c r="DE885" s="1"/>
      <c r="DF885" s="1"/>
      <c r="DG885" s="1"/>
      <c r="DH885" s="1"/>
      <c r="DI885" s="1"/>
      <c r="DJ885" s="655"/>
      <c r="DL885" s="116"/>
    </row>
    <row r="886" spans="2:116" ht="15.75" customHeight="1" x14ac:dyDescent="0.3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874"/>
      <c r="AR886" s="874"/>
      <c r="AS886" s="874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43"/>
      <c r="BN886" s="116"/>
      <c r="BW886" s="1"/>
      <c r="BX886" s="1"/>
      <c r="BY886" s="1"/>
      <c r="BZ886" s="655"/>
      <c r="CB886" s="656"/>
      <c r="CC886" s="1"/>
      <c r="CD886" s="1"/>
      <c r="CE886" s="1"/>
      <c r="CF886" s="1"/>
      <c r="CG886" s="1"/>
      <c r="CH886" s="1"/>
      <c r="CI886" s="1"/>
      <c r="CJ886" s="1"/>
      <c r="CR886" s="305"/>
      <c r="CT886" s="116"/>
      <c r="DB886" s="1"/>
      <c r="DC886" s="1"/>
      <c r="DD886" s="1"/>
      <c r="DE886" s="1"/>
      <c r="DF886" s="1"/>
      <c r="DG886" s="1"/>
      <c r="DH886" s="1"/>
      <c r="DI886" s="1"/>
      <c r="DJ886" s="655"/>
      <c r="DL886" s="116"/>
    </row>
    <row r="887" spans="2:116" ht="15.75" customHeight="1" x14ac:dyDescent="0.3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874"/>
      <c r="AR887" s="874"/>
      <c r="AS887" s="874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43"/>
      <c r="BN887" s="116"/>
      <c r="BW887" s="1"/>
      <c r="BX887" s="1"/>
      <c r="BY887" s="1"/>
      <c r="BZ887" s="655"/>
      <c r="CB887" s="656"/>
      <c r="CC887" s="1"/>
      <c r="CD887" s="1"/>
      <c r="CE887" s="1"/>
      <c r="CF887" s="1"/>
      <c r="CG887" s="1"/>
      <c r="CH887" s="1"/>
      <c r="CI887" s="1"/>
      <c r="CJ887" s="1"/>
      <c r="CR887" s="305"/>
      <c r="CT887" s="116"/>
      <c r="DB887" s="1"/>
      <c r="DC887" s="1"/>
      <c r="DD887" s="1"/>
      <c r="DE887" s="1"/>
      <c r="DF887" s="1"/>
      <c r="DG887" s="1"/>
      <c r="DH887" s="1"/>
      <c r="DI887" s="1"/>
      <c r="DJ887" s="655"/>
      <c r="DL887" s="116"/>
    </row>
    <row r="888" spans="2:116" ht="15.75" customHeight="1" x14ac:dyDescent="0.3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874"/>
      <c r="AR888" s="874"/>
      <c r="AS888" s="874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43"/>
      <c r="BN888" s="116"/>
      <c r="BW888" s="1"/>
      <c r="BX888" s="1"/>
      <c r="BY888" s="1"/>
      <c r="BZ888" s="655"/>
      <c r="CB888" s="656"/>
      <c r="CC888" s="1"/>
      <c r="CD888" s="1"/>
      <c r="CE888" s="1"/>
      <c r="CF888" s="1"/>
      <c r="CG888" s="1"/>
      <c r="CH888" s="1"/>
      <c r="CI888" s="1"/>
      <c r="CJ888" s="1"/>
      <c r="CR888" s="305"/>
      <c r="CT888" s="116"/>
      <c r="DB888" s="1"/>
      <c r="DC888" s="1"/>
      <c r="DD888" s="1"/>
      <c r="DE888" s="1"/>
      <c r="DF888" s="1"/>
      <c r="DG888" s="1"/>
      <c r="DH888" s="1"/>
      <c r="DI888" s="1"/>
      <c r="DJ888" s="655"/>
      <c r="DL888" s="116"/>
    </row>
    <row r="889" spans="2:116" ht="15.75" customHeight="1" x14ac:dyDescent="0.3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874"/>
      <c r="AR889" s="874"/>
      <c r="AS889" s="874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43"/>
      <c r="BN889" s="116"/>
      <c r="BW889" s="1"/>
      <c r="BX889" s="1"/>
      <c r="BY889" s="1"/>
      <c r="BZ889" s="655"/>
      <c r="CB889" s="656"/>
      <c r="CC889" s="1"/>
      <c r="CD889" s="1"/>
      <c r="CE889" s="1"/>
      <c r="CF889" s="1"/>
      <c r="CG889" s="1"/>
      <c r="CH889" s="1"/>
      <c r="CI889" s="1"/>
      <c r="CJ889" s="1"/>
      <c r="CR889" s="305"/>
      <c r="CT889" s="116"/>
      <c r="DB889" s="1"/>
      <c r="DC889" s="1"/>
      <c r="DD889" s="1"/>
      <c r="DE889" s="1"/>
      <c r="DF889" s="1"/>
      <c r="DG889" s="1"/>
      <c r="DH889" s="1"/>
      <c r="DI889" s="1"/>
      <c r="DJ889" s="655"/>
      <c r="DL889" s="116"/>
    </row>
    <row r="890" spans="2:116" ht="15.75" customHeight="1" x14ac:dyDescent="0.3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874"/>
      <c r="AR890" s="874"/>
      <c r="AS890" s="874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43"/>
      <c r="BN890" s="116"/>
      <c r="BW890" s="1"/>
      <c r="BX890" s="1"/>
      <c r="BY890" s="1"/>
      <c r="BZ890" s="655"/>
      <c r="CB890" s="656"/>
      <c r="CC890" s="1"/>
      <c r="CD890" s="1"/>
      <c r="CE890" s="1"/>
      <c r="CF890" s="1"/>
      <c r="CG890" s="1"/>
      <c r="CH890" s="1"/>
      <c r="CI890" s="1"/>
      <c r="CJ890" s="1"/>
      <c r="CR890" s="305"/>
      <c r="CT890" s="116"/>
      <c r="DB890" s="1"/>
      <c r="DC890" s="1"/>
      <c r="DD890" s="1"/>
      <c r="DE890" s="1"/>
      <c r="DF890" s="1"/>
      <c r="DG890" s="1"/>
      <c r="DH890" s="1"/>
      <c r="DI890" s="1"/>
      <c r="DJ890" s="655"/>
      <c r="DL890" s="116"/>
    </row>
    <row r="891" spans="2:116" ht="15.75" customHeight="1" x14ac:dyDescent="0.3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874"/>
      <c r="AR891" s="874"/>
      <c r="AS891" s="874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43"/>
      <c r="BN891" s="116"/>
      <c r="BW891" s="1"/>
      <c r="BX891" s="1"/>
      <c r="BY891" s="1"/>
      <c r="BZ891" s="655"/>
      <c r="CB891" s="656"/>
      <c r="CC891" s="1"/>
      <c r="CD891" s="1"/>
      <c r="CE891" s="1"/>
      <c r="CF891" s="1"/>
      <c r="CG891" s="1"/>
      <c r="CH891" s="1"/>
      <c r="CI891" s="1"/>
      <c r="CJ891" s="1"/>
      <c r="CR891" s="305"/>
      <c r="CT891" s="116"/>
      <c r="DB891" s="1"/>
      <c r="DC891" s="1"/>
      <c r="DD891" s="1"/>
      <c r="DE891" s="1"/>
      <c r="DF891" s="1"/>
      <c r="DG891" s="1"/>
      <c r="DH891" s="1"/>
      <c r="DI891" s="1"/>
      <c r="DJ891" s="655"/>
      <c r="DL891" s="116"/>
    </row>
    <row r="892" spans="2:116" ht="15.75" customHeight="1" x14ac:dyDescent="0.3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874"/>
      <c r="AR892" s="874"/>
      <c r="AS892" s="874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43"/>
      <c r="BN892" s="116"/>
      <c r="BW892" s="1"/>
      <c r="BX892" s="1"/>
      <c r="BY892" s="1"/>
      <c r="BZ892" s="655"/>
      <c r="CB892" s="656"/>
      <c r="CC892" s="1"/>
      <c r="CD892" s="1"/>
      <c r="CE892" s="1"/>
      <c r="CF892" s="1"/>
      <c r="CG892" s="1"/>
      <c r="CH892" s="1"/>
      <c r="CI892" s="1"/>
      <c r="CJ892" s="1"/>
      <c r="CR892" s="305"/>
      <c r="CT892" s="116"/>
      <c r="DB892" s="1"/>
      <c r="DC892" s="1"/>
      <c r="DD892" s="1"/>
      <c r="DE892" s="1"/>
      <c r="DF892" s="1"/>
      <c r="DG892" s="1"/>
      <c r="DH892" s="1"/>
      <c r="DI892" s="1"/>
      <c r="DJ892" s="655"/>
      <c r="DL892" s="116"/>
    </row>
    <row r="893" spans="2:116" ht="15.75" customHeight="1" x14ac:dyDescent="0.3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874"/>
      <c r="AR893" s="874"/>
      <c r="AS893" s="874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43"/>
      <c r="BN893" s="116"/>
      <c r="BW893" s="1"/>
      <c r="BX893" s="1"/>
      <c r="BY893" s="1"/>
      <c r="BZ893" s="655"/>
      <c r="CB893" s="656"/>
      <c r="CC893" s="1"/>
      <c r="CD893" s="1"/>
      <c r="CE893" s="1"/>
      <c r="CF893" s="1"/>
      <c r="CG893" s="1"/>
      <c r="CH893" s="1"/>
      <c r="CI893" s="1"/>
      <c r="CJ893" s="1"/>
      <c r="CR893" s="305"/>
      <c r="CT893" s="116"/>
      <c r="DB893" s="1"/>
      <c r="DC893" s="1"/>
      <c r="DD893" s="1"/>
      <c r="DE893" s="1"/>
      <c r="DF893" s="1"/>
      <c r="DG893" s="1"/>
      <c r="DH893" s="1"/>
      <c r="DI893" s="1"/>
      <c r="DJ893" s="655"/>
      <c r="DL893" s="116"/>
    </row>
    <row r="894" spans="2:116" ht="15.75" customHeight="1" x14ac:dyDescent="0.3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874"/>
      <c r="AR894" s="874"/>
      <c r="AS894" s="874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43"/>
      <c r="BN894" s="116"/>
      <c r="BW894" s="1"/>
      <c r="BX894" s="1"/>
      <c r="BY894" s="1"/>
      <c r="BZ894" s="655"/>
      <c r="CB894" s="656"/>
      <c r="CC894" s="1"/>
      <c r="CD894" s="1"/>
      <c r="CE894" s="1"/>
      <c r="CF894" s="1"/>
      <c r="CG894" s="1"/>
      <c r="CH894" s="1"/>
      <c r="CI894" s="1"/>
      <c r="CJ894" s="1"/>
      <c r="CR894" s="305"/>
      <c r="CT894" s="116"/>
      <c r="DB894" s="1"/>
      <c r="DC894" s="1"/>
      <c r="DD894" s="1"/>
      <c r="DE894" s="1"/>
      <c r="DF894" s="1"/>
      <c r="DG894" s="1"/>
      <c r="DH894" s="1"/>
      <c r="DI894" s="1"/>
      <c r="DJ894" s="655"/>
      <c r="DL894" s="116"/>
    </row>
    <row r="895" spans="2:116" ht="15.75" customHeight="1" x14ac:dyDescent="0.3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874"/>
      <c r="AR895" s="874"/>
      <c r="AS895" s="874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43"/>
      <c r="BN895" s="116"/>
      <c r="BW895" s="1"/>
      <c r="BX895" s="1"/>
      <c r="BY895" s="1"/>
      <c r="BZ895" s="655"/>
      <c r="CB895" s="656"/>
      <c r="CC895" s="1"/>
      <c r="CD895" s="1"/>
      <c r="CE895" s="1"/>
      <c r="CF895" s="1"/>
      <c r="CG895" s="1"/>
      <c r="CH895" s="1"/>
      <c r="CI895" s="1"/>
      <c r="CJ895" s="1"/>
      <c r="CR895" s="305"/>
      <c r="CT895" s="116"/>
      <c r="DB895" s="1"/>
      <c r="DC895" s="1"/>
      <c r="DD895" s="1"/>
      <c r="DE895" s="1"/>
      <c r="DF895" s="1"/>
      <c r="DG895" s="1"/>
      <c r="DH895" s="1"/>
      <c r="DI895" s="1"/>
      <c r="DJ895" s="655"/>
      <c r="DL895" s="116"/>
    </row>
    <row r="896" spans="2:116" ht="15.75" customHeight="1" x14ac:dyDescent="0.3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874"/>
      <c r="AR896" s="874"/>
      <c r="AS896" s="874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43"/>
      <c r="BN896" s="116"/>
      <c r="BW896" s="1"/>
      <c r="BX896" s="1"/>
      <c r="BY896" s="1"/>
      <c r="BZ896" s="655"/>
      <c r="CB896" s="656"/>
      <c r="CC896" s="1"/>
      <c r="CD896" s="1"/>
      <c r="CE896" s="1"/>
      <c r="CF896" s="1"/>
      <c r="CG896" s="1"/>
      <c r="CH896" s="1"/>
      <c r="CI896" s="1"/>
      <c r="CJ896" s="1"/>
      <c r="CR896" s="305"/>
      <c r="CT896" s="116"/>
      <c r="DB896" s="1"/>
      <c r="DC896" s="1"/>
      <c r="DD896" s="1"/>
      <c r="DE896" s="1"/>
      <c r="DF896" s="1"/>
      <c r="DG896" s="1"/>
      <c r="DH896" s="1"/>
      <c r="DI896" s="1"/>
      <c r="DJ896" s="655"/>
      <c r="DL896" s="116"/>
    </row>
    <row r="897" spans="2:116" ht="15.75" customHeight="1" x14ac:dyDescent="0.3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874"/>
      <c r="AR897" s="874"/>
      <c r="AS897" s="874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43"/>
      <c r="BN897" s="116"/>
      <c r="BW897" s="1"/>
      <c r="BX897" s="1"/>
      <c r="BY897" s="1"/>
      <c r="BZ897" s="655"/>
      <c r="CB897" s="656"/>
      <c r="CC897" s="1"/>
      <c r="CD897" s="1"/>
      <c r="CE897" s="1"/>
      <c r="CF897" s="1"/>
      <c r="CG897" s="1"/>
      <c r="CH897" s="1"/>
      <c r="CI897" s="1"/>
      <c r="CJ897" s="1"/>
      <c r="CR897" s="305"/>
      <c r="CT897" s="116"/>
      <c r="DB897" s="1"/>
      <c r="DC897" s="1"/>
      <c r="DD897" s="1"/>
      <c r="DE897" s="1"/>
      <c r="DF897" s="1"/>
      <c r="DG897" s="1"/>
      <c r="DH897" s="1"/>
      <c r="DI897" s="1"/>
      <c r="DJ897" s="655"/>
      <c r="DL897" s="116"/>
    </row>
    <row r="898" spans="2:116" ht="15.75" customHeight="1" x14ac:dyDescent="0.3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874"/>
      <c r="AR898" s="874"/>
      <c r="AS898" s="874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43"/>
      <c r="BN898" s="116"/>
      <c r="BW898" s="1"/>
      <c r="BX898" s="1"/>
      <c r="BY898" s="1"/>
      <c r="BZ898" s="655"/>
      <c r="CB898" s="656"/>
      <c r="CC898" s="1"/>
      <c r="CD898" s="1"/>
      <c r="CE898" s="1"/>
      <c r="CF898" s="1"/>
      <c r="CG898" s="1"/>
      <c r="CH898" s="1"/>
      <c r="CI898" s="1"/>
      <c r="CJ898" s="1"/>
      <c r="CR898" s="305"/>
      <c r="CT898" s="116"/>
      <c r="DB898" s="1"/>
      <c r="DC898" s="1"/>
      <c r="DD898" s="1"/>
      <c r="DE898" s="1"/>
      <c r="DF898" s="1"/>
      <c r="DG898" s="1"/>
      <c r="DH898" s="1"/>
      <c r="DI898" s="1"/>
      <c r="DJ898" s="655"/>
      <c r="DL898" s="116"/>
    </row>
    <row r="899" spans="2:116" ht="15.75" customHeight="1" x14ac:dyDescent="0.3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874"/>
      <c r="AR899" s="874"/>
      <c r="AS899" s="874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43"/>
      <c r="BN899" s="116"/>
      <c r="BW899" s="1"/>
      <c r="BX899" s="1"/>
      <c r="BY899" s="1"/>
      <c r="BZ899" s="655"/>
      <c r="CB899" s="656"/>
      <c r="CC899" s="1"/>
      <c r="CD899" s="1"/>
      <c r="CE899" s="1"/>
      <c r="CF899" s="1"/>
      <c r="CG899" s="1"/>
      <c r="CH899" s="1"/>
      <c r="CI899" s="1"/>
      <c r="CJ899" s="1"/>
      <c r="CR899" s="305"/>
      <c r="CT899" s="116"/>
      <c r="DB899" s="1"/>
      <c r="DC899" s="1"/>
      <c r="DD899" s="1"/>
      <c r="DE899" s="1"/>
      <c r="DF899" s="1"/>
      <c r="DG899" s="1"/>
      <c r="DH899" s="1"/>
      <c r="DI899" s="1"/>
      <c r="DJ899" s="655"/>
      <c r="DL899" s="116"/>
    </row>
    <row r="900" spans="2:116" ht="15.75" customHeight="1" x14ac:dyDescent="0.3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874"/>
      <c r="AR900" s="874"/>
      <c r="AS900" s="874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43"/>
      <c r="BN900" s="116"/>
      <c r="BW900" s="1"/>
      <c r="BX900" s="1"/>
      <c r="BY900" s="1"/>
      <c r="BZ900" s="655"/>
      <c r="CB900" s="656"/>
      <c r="CC900" s="1"/>
      <c r="CD900" s="1"/>
      <c r="CE900" s="1"/>
      <c r="CF900" s="1"/>
      <c r="CG900" s="1"/>
      <c r="CH900" s="1"/>
      <c r="CI900" s="1"/>
      <c r="CJ900" s="1"/>
      <c r="CR900" s="305"/>
      <c r="CT900" s="116"/>
      <c r="DB900" s="1"/>
      <c r="DC900" s="1"/>
      <c r="DD900" s="1"/>
      <c r="DE900" s="1"/>
      <c r="DF900" s="1"/>
      <c r="DG900" s="1"/>
      <c r="DH900" s="1"/>
      <c r="DI900" s="1"/>
      <c r="DJ900" s="655"/>
      <c r="DL900" s="116"/>
    </row>
    <row r="901" spans="2:116" ht="15.75" customHeight="1" x14ac:dyDescent="0.3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874"/>
      <c r="AR901" s="874"/>
      <c r="AS901" s="874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43"/>
      <c r="BN901" s="116"/>
      <c r="BW901" s="1"/>
      <c r="BX901" s="1"/>
      <c r="BY901" s="1"/>
      <c r="BZ901" s="655"/>
      <c r="CB901" s="656"/>
      <c r="CC901" s="1"/>
      <c r="CD901" s="1"/>
      <c r="CE901" s="1"/>
      <c r="CF901" s="1"/>
      <c r="CG901" s="1"/>
      <c r="CH901" s="1"/>
      <c r="CI901" s="1"/>
      <c r="CJ901" s="1"/>
      <c r="CR901" s="305"/>
      <c r="CT901" s="116"/>
      <c r="DB901" s="1"/>
      <c r="DC901" s="1"/>
      <c r="DD901" s="1"/>
      <c r="DE901" s="1"/>
      <c r="DF901" s="1"/>
      <c r="DG901" s="1"/>
      <c r="DH901" s="1"/>
      <c r="DI901" s="1"/>
      <c r="DJ901" s="655"/>
      <c r="DL901" s="116"/>
    </row>
    <row r="902" spans="2:116" ht="15.75" customHeight="1" x14ac:dyDescent="0.3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874"/>
      <c r="AR902" s="874"/>
      <c r="AS902" s="874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43"/>
      <c r="BN902" s="116"/>
      <c r="BW902" s="1"/>
      <c r="BX902" s="1"/>
      <c r="BY902" s="1"/>
      <c r="BZ902" s="655"/>
      <c r="CB902" s="656"/>
      <c r="CC902" s="1"/>
      <c r="CD902" s="1"/>
      <c r="CE902" s="1"/>
      <c r="CF902" s="1"/>
      <c r="CG902" s="1"/>
      <c r="CH902" s="1"/>
      <c r="CI902" s="1"/>
      <c r="CJ902" s="1"/>
      <c r="CR902" s="305"/>
      <c r="CT902" s="116"/>
      <c r="DB902" s="1"/>
      <c r="DC902" s="1"/>
      <c r="DD902" s="1"/>
      <c r="DE902" s="1"/>
      <c r="DF902" s="1"/>
      <c r="DG902" s="1"/>
      <c r="DH902" s="1"/>
      <c r="DI902" s="1"/>
      <c r="DJ902" s="655"/>
      <c r="DL902" s="116"/>
    </row>
    <row r="903" spans="2:116" ht="15.75" customHeight="1" x14ac:dyDescent="0.3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874"/>
      <c r="AR903" s="874"/>
      <c r="AS903" s="874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43"/>
      <c r="BN903" s="116"/>
      <c r="BW903" s="1"/>
      <c r="BX903" s="1"/>
      <c r="BY903" s="1"/>
      <c r="BZ903" s="655"/>
      <c r="CB903" s="656"/>
      <c r="CC903" s="1"/>
      <c r="CD903" s="1"/>
      <c r="CE903" s="1"/>
      <c r="CF903" s="1"/>
      <c r="CG903" s="1"/>
      <c r="CH903" s="1"/>
      <c r="CI903" s="1"/>
      <c r="CJ903" s="1"/>
      <c r="CR903" s="305"/>
      <c r="CT903" s="116"/>
      <c r="DB903" s="1"/>
      <c r="DC903" s="1"/>
      <c r="DD903" s="1"/>
      <c r="DE903" s="1"/>
      <c r="DF903" s="1"/>
      <c r="DG903" s="1"/>
      <c r="DH903" s="1"/>
      <c r="DI903" s="1"/>
      <c r="DJ903" s="655"/>
      <c r="DL903" s="116"/>
    </row>
    <row r="904" spans="2:116" ht="15.75" customHeight="1" x14ac:dyDescent="0.3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874"/>
      <c r="AR904" s="874"/>
      <c r="AS904" s="874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43"/>
      <c r="BN904" s="116"/>
      <c r="BW904" s="1"/>
      <c r="BX904" s="1"/>
      <c r="BY904" s="1"/>
      <c r="BZ904" s="655"/>
      <c r="CB904" s="656"/>
      <c r="CC904" s="1"/>
      <c r="CD904" s="1"/>
      <c r="CE904" s="1"/>
      <c r="CF904" s="1"/>
      <c r="CG904" s="1"/>
      <c r="CH904" s="1"/>
      <c r="CI904" s="1"/>
      <c r="CJ904" s="1"/>
      <c r="CR904" s="305"/>
      <c r="CT904" s="116"/>
      <c r="DB904" s="1"/>
      <c r="DC904" s="1"/>
      <c r="DD904" s="1"/>
      <c r="DE904" s="1"/>
      <c r="DF904" s="1"/>
      <c r="DG904" s="1"/>
      <c r="DH904" s="1"/>
      <c r="DI904" s="1"/>
      <c r="DJ904" s="655"/>
      <c r="DL904" s="116"/>
    </row>
    <row r="905" spans="2:116" ht="15.75" customHeight="1" x14ac:dyDescent="0.3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874"/>
      <c r="AR905" s="874"/>
      <c r="AS905" s="874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43"/>
      <c r="BN905" s="116"/>
      <c r="BW905" s="1"/>
      <c r="BX905" s="1"/>
      <c r="BY905" s="1"/>
      <c r="BZ905" s="655"/>
      <c r="CB905" s="656"/>
      <c r="CC905" s="1"/>
      <c r="CD905" s="1"/>
      <c r="CE905" s="1"/>
      <c r="CF905" s="1"/>
      <c r="CG905" s="1"/>
      <c r="CH905" s="1"/>
      <c r="CI905" s="1"/>
      <c r="CJ905" s="1"/>
      <c r="CR905" s="305"/>
      <c r="CT905" s="116"/>
      <c r="DB905" s="1"/>
      <c r="DC905" s="1"/>
      <c r="DD905" s="1"/>
      <c r="DE905" s="1"/>
      <c r="DF905" s="1"/>
      <c r="DG905" s="1"/>
      <c r="DH905" s="1"/>
      <c r="DI905" s="1"/>
      <c r="DJ905" s="655"/>
      <c r="DL905" s="116"/>
    </row>
    <row r="906" spans="2:116" ht="15.75" customHeight="1" x14ac:dyDescent="0.3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874"/>
      <c r="AR906" s="874"/>
      <c r="AS906" s="874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43"/>
      <c r="BN906" s="116"/>
      <c r="BW906" s="1"/>
      <c r="BX906" s="1"/>
      <c r="BY906" s="1"/>
      <c r="BZ906" s="655"/>
      <c r="CB906" s="656"/>
      <c r="CC906" s="1"/>
      <c r="CD906" s="1"/>
      <c r="CE906" s="1"/>
      <c r="CF906" s="1"/>
      <c r="CG906" s="1"/>
      <c r="CH906" s="1"/>
      <c r="CI906" s="1"/>
      <c r="CJ906" s="1"/>
      <c r="CR906" s="305"/>
      <c r="CT906" s="116"/>
      <c r="DB906" s="1"/>
      <c r="DC906" s="1"/>
      <c r="DD906" s="1"/>
      <c r="DE906" s="1"/>
      <c r="DF906" s="1"/>
      <c r="DG906" s="1"/>
      <c r="DH906" s="1"/>
      <c r="DI906" s="1"/>
      <c r="DJ906" s="655"/>
      <c r="DL906" s="116"/>
    </row>
    <row r="907" spans="2:116" ht="15.75" customHeight="1" x14ac:dyDescent="0.3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874"/>
      <c r="AR907" s="874"/>
      <c r="AS907" s="874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43"/>
      <c r="BN907" s="116"/>
      <c r="BW907" s="1"/>
      <c r="BX907" s="1"/>
      <c r="BY907" s="1"/>
      <c r="BZ907" s="655"/>
      <c r="CB907" s="656"/>
      <c r="CC907" s="1"/>
      <c r="CD907" s="1"/>
      <c r="CE907" s="1"/>
      <c r="CF907" s="1"/>
      <c r="CG907" s="1"/>
      <c r="CH907" s="1"/>
      <c r="CI907" s="1"/>
      <c r="CJ907" s="1"/>
      <c r="CR907" s="305"/>
      <c r="CT907" s="116"/>
      <c r="DB907" s="1"/>
      <c r="DC907" s="1"/>
      <c r="DD907" s="1"/>
      <c r="DE907" s="1"/>
      <c r="DF907" s="1"/>
      <c r="DG907" s="1"/>
      <c r="DH907" s="1"/>
      <c r="DI907" s="1"/>
      <c r="DJ907" s="655"/>
      <c r="DL907" s="116"/>
    </row>
    <row r="908" spans="2:116" ht="15.75" customHeight="1" x14ac:dyDescent="0.3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874"/>
      <c r="AR908" s="874"/>
      <c r="AS908" s="874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43"/>
      <c r="BN908" s="116"/>
      <c r="BW908" s="1"/>
      <c r="BX908" s="1"/>
      <c r="BY908" s="1"/>
      <c r="BZ908" s="655"/>
      <c r="CB908" s="656"/>
      <c r="CC908" s="1"/>
      <c r="CD908" s="1"/>
      <c r="CE908" s="1"/>
      <c r="CF908" s="1"/>
      <c r="CG908" s="1"/>
      <c r="CH908" s="1"/>
      <c r="CI908" s="1"/>
      <c r="CJ908" s="1"/>
      <c r="CR908" s="305"/>
      <c r="CT908" s="116"/>
      <c r="DB908" s="1"/>
      <c r="DC908" s="1"/>
      <c r="DD908" s="1"/>
      <c r="DE908" s="1"/>
      <c r="DF908" s="1"/>
      <c r="DG908" s="1"/>
      <c r="DH908" s="1"/>
      <c r="DI908" s="1"/>
      <c r="DJ908" s="655"/>
      <c r="DL908" s="116"/>
    </row>
    <row r="909" spans="2:116" ht="15.75" customHeight="1" x14ac:dyDescent="0.3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874"/>
      <c r="AR909" s="874"/>
      <c r="AS909" s="874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43"/>
      <c r="BN909" s="116"/>
      <c r="BW909" s="1"/>
      <c r="BX909" s="1"/>
      <c r="BY909" s="1"/>
      <c r="BZ909" s="655"/>
      <c r="CB909" s="656"/>
      <c r="CC909" s="1"/>
      <c r="CD909" s="1"/>
      <c r="CE909" s="1"/>
      <c r="CF909" s="1"/>
      <c r="CG909" s="1"/>
      <c r="CH909" s="1"/>
      <c r="CI909" s="1"/>
      <c r="CJ909" s="1"/>
      <c r="CR909" s="305"/>
      <c r="CT909" s="116"/>
      <c r="DB909" s="1"/>
      <c r="DC909" s="1"/>
      <c r="DD909" s="1"/>
      <c r="DE909" s="1"/>
      <c r="DF909" s="1"/>
      <c r="DG909" s="1"/>
      <c r="DH909" s="1"/>
      <c r="DI909" s="1"/>
      <c r="DJ909" s="655"/>
      <c r="DL909" s="116"/>
    </row>
    <row r="910" spans="2:116" ht="15.75" customHeight="1" x14ac:dyDescent="0.3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874"/>
      <c r="AR910" s="874"/>
      <c r="AS910" s="874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43"/>
      <c r="BN910" s="116"/>
      <c r="BW910" s="1"/>
      <c r="BX910" s="1"/>
      <c r="BY910" s="1"/>
      <c r="BZ910" s="655"/>
      <c r="CB910" s="656"/>
      <c r="CC910" s="1"/>
      <c r="CD910" s="1"/>
      <c r="CE910" s="1"/>
      <c r="CF910" s="1"/>
      <c r="CG910" s="1"/>
      <c r="CH910" s="1"/>
      <c r="CI910" s="1"/>
      <c r="CJ910" s="1"/>
      <c r="CR910" s="305"/>
      <c r="CT910" s="116"/>
      <c r="DB910" s="1"/>
      <c r="DC910" s="1"/>
      <c r="DD910" s="1"/>
      <c r="DE910" s="1"/>
      <c r="DF910" s="1"/>
      <c r="DG910" s="1"/>
      <c r="DH910" s="1"/>
      <c r="DI910" s="1"/>
      <c r="DJ910" s="655"/>
      <c r="DL910" s="116"/>
    </row>
    <row r="911" spans="2:116" ht="15.75" customHeight="1" x14ac:dyDescent="0.3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874"/>
      <c r="AR911" s="874"/>
      <c r="AS911" s="874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43"/>
      <c r="BN911" s="116"/>
      <c r="BW911" s="1"/>
      <c r="BX911" s="1"/>
      <c r="BY911" s="1"/>
      <c r="BZ911" s="655"/>
      <c r="CB911" s="656"/>
      <c r="CC911" s="1"/>
      <c r="CD911" s="1"/>
      <c r="CE911" s="1"/>
      <c r="CF911" s="1"/>
      <c r="CG911" s="1"/>
      <c r="CH911" s="1"/>
      <c r="CI911" s="1"/>
      <c r="CJ911" s="1"/>
      <c r="CR911" s="305"/>
      <c r="CT911" s="116"/>
      <c r="DB911" s="1"/>
      <c r="DC911" s="1"/>
      <c r="DD911" s="1"/>
      <c r="DE911" s="1"/>
      <c r="DF911" s="1"/>
      <c r="DG911" s="1"/>
      <c r="DH911" s="1"/>
      <c r="DI911" s="1"/>
      <c r="DJ911" s="655"/>
      <c r="DL911" s="116"/>
    </row>
    <row r="912" spans="2:116" ht="15.75" customHeight="1" x14ac:dyDescent="0.3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874"/>
      <c r="AR912" s="874"/>
      <c r="AS912" s="874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43"/>
      <c r="BN912" s="116"/>
      <c r="BW912" s="1"/>
      <c r="BX912" s="1"/>
      <c r="BY912" s="1"/>
      <c r="BZ912" s="655"/>
      <c r="CB912" s="656"/>
      <c r="CC912" s="1"/>
      <c r="CD912" s="1"/>
      <c r="CE912" s="1"/>
      <c r="CF912" s="1"/>
      <c r="CG912" s="1"/>
      <c r="CH912" s="1"/>
      <c r="CI912" s="1"/>
      <c r="CJ912" s="1"/>
      <c r="CR912" s="305"/>
      <c r="CT912" s="116"/>
      <c r="DB912" s="1"/>
      <c r="DC912" s="1"/>
      <c r="DD912" s="1"/>
      <c r="DE912" s="1"/>
      <c r="DF912" s="1"/>
      <c r="DG912" s="1"/>
      <c r="DH912" s="1"/>
      <c r="DI912" s="1"/>
      <c r="DJ912" s="655"/>
      <c r="DL912" s="116"/>
    </row>
    <row r="913" spans="2:116" ht="15.75" customHeight="1" x14ac:dyDescent="0.3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874"/>
      <c r="AR913" s="874"/>
      <c r="AS913" s="874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43"/>
      <c r="BN913" s="116"/>
      <c r="BW913" s="1"/>
      <c r="BX913" s="1"/>
      <c r="BY913" s="1"/>
      <c r="BZ913" s="655"/>
      <c r="CB913" s="656"/>
      <c r="CC913" s="1"/>
      <c r="CD913" s="1"/>
      <c r="CE913" s="1"/>
      <c r="CF913" s="1"/>
      <c r="CG913" s="1"/>
      <c r="CH913" s="1"/>
      <c r="CI913" s="1"/>
      <c r="CJ913" s="1"/>
      <c r="CR913" s="305"/>
      <c r="CT913" s="116"/>
      <c r="DB913" s="1"/>
      <c r="DC913" s="1"/>
      <c r="DD913" s="1"/>
      <c r="DE913" s="1"/>
      <c r="DF913" s="1"/>
      <c r="DG913" s="1"/>
      <c r="DH913" s="1"/>
      <c r="DI913" s="1"/>
      <c r="DJ913" s="655"/>
      <c r="DL913" s="116"/>
    </row>
    <row r="914" spans="2:116" ht="15.75" customHeight="1" x14ac:dyDescent="0.3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874"/>
      <c r="AR914" s="874"/>
      <c r="AS914" s="874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43"/>
      <c r="BN914" s="116"/>
      <c r="BW914" s="1"/>
      <c r="BX914" s="1"/>
      <c r="BY914" s="1"/>
      <c r="BZ914" s="655"/>
      <c r="CB914" s="656"/>
      <c r="CC914" s="1"/>
      <c r="CD914" s="1"/>
      <c r="CE914" s="1"/>
      <c r="CF914" s="1"/>
      <c r="CG914" s="1"/>
      <c r="CH914" s="1"/>
      <c r="CI914" s="1"/>
      <c r="CJ914" s="1"/>
      <c r="CR914" s="305"/>
      <c r="CT914" s="116"/>
      <c r="DB914" s="1"/>
      <c r="DC914" s="1"/>
      <c r="DD914" s="1"/>
      <c r="DE914" s="1"/>
      <c r="DF914" s="1"/>
      <c r="DG914" s="1"/>
      <c r="DH914" s="1"/>
      <c r="DI914" s="1"/>
      <c r="DJ914" s="655"/>
      <c r="DL914" s="116"/>
    </row>
    <row r="915" spans="2:116" ht="15.75" customHeight="1" x14ac:dyDescent="0.3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874"/>
      <c r="AR915" s="874"/>
      <c r="AS915" s="874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43"/>
      <c r="BN915" s="116"/>
      <c r="BW915" s="1"/>
      <c r="BX915" s="1"/>
      <c r="BY915" s="1"/>
      <c r="BZ915" s="655"/>
      <c r="CB915" s="656"/>
      <c r="CC915" s="1"/>
      <c r="CD915" s="1"/>
      <c r="CE915" s="1"/>
      <c r="CF915" s="1"/>
      <c r="CG915" s="1"/>
      <c r="CH915" s="1"/>
      <c r="CI915" s="1"/>
      <c r="CJ915" s="1"/>
      <c r="CR915" s="305"/>
      <c r="CT915" s="116"/>
      <c r="DB915" s="1"/>
      <c r="DC915" s="1"/>
      <c r="DD915" s="1"/>
      <c r="DE915" s="1"/>
      <c r="DF915" s="1"/>
      <c r="DG915" s="1"/>
      <c r="DH915" s="1"/>
      <c r="DI915" s="1"/>
      <c r="DJ915" s="655"/>
      <c r="DL915" s="116"/>
    </row>
    <row r="916" spans="2:116" ht="15.75" customHeight="1" x14ac:dyDescent="0.3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874"/>
      <c r="AR916" s="874"/>
      <c r="AS916" s="874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43"/>
      <c r="BN916" s="116"/>
      <c r="BW916" s="1"/>
      <c r="BX916" s="1"/>
      <c r="BY916" s="1"/>
      <c r="BZ916" s="655"/>
      <c r="CB916" s="656"/>
      <c r="CC916" s="1"/>
      <c r="CD916" s="1"/>
      <c r="CE916" s="1"/>
      <c r="CF916" s="1"/>
      <c r="CG916" s="1"/>
      <c r="CH916" s="1"/>
      <c r="CI916" s="1"/>
      <c r="CJ916" s="1"/>
      <c r="CR916" s="305"/>
      <c r="CT916" s="116"/>
      <c r="DB916" s="1"/>
      <c r="DC916" s="1"/>
      <c r="DD916" s="1"/>
      <c r="DE916" s="1"/>
      <c r="DF916" s="1"/>
      <c r="DG916" s="1"/>
      <c r="DH916" s="1"/>
      <c r="DI916" s="1"/>
      <c r="DJ916" s="655"/>
      <c r="DL916" s="116"/>
    </row>
    <row r="917" spans="2:116" ht="15.75" customHeight="1" x14ac:dyDescent="0.3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874"/>
      <c r="AR917" s="874"/>
      <c r="AS917" s="874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43"/>
      <c r="BN917" s="116"/>
      <c r="BW917" s="1"/>
      <c r="BX917" s="1"/>
      <c r="BY917" s="1"/>
      <c r="BZ917" s="655"/>
      <c r="CB917" s="656"/>
      <c r="CC917" s="1"/>
      <c r="CD917" s="1"/>
      <c r="CE917" s="1"/>
      <c r="CF917" s="1"/>
      <c r="CG917" s="1"/>
      <c r="CH917" s="1"/>
      <c r="CI917" s="1"/>
      <c r="CJ917" s="1"/>
      <c r="CR917" s="305"/>
      <c r="CT917" s="116"/>
      <c r="DB917" s="1"/>
      <c r="DC917" s="1"/>
      <c r="DD917" s="1"/>
      <c r="DE917" s="1"/>
      <c r="DF917" s="1"/>
      <c r="DG917" s="1"/>
      <c r="DH917" s="1"/>
      <c r="DI917" s="1"/>
      <c r="DJ917" s="655"/>
      <c r="DL917" s="116"/>
    </row>
    <row r="918" spans="2:116" ht="15.75" customHeight="1" x14ac:dyDescent="0.3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874"/>
      <c r="AR918" s="874"/>
      <c r="AS918" s="874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43"/>
      <c r="BN918" s="116"/>
      <c r="BW918" s="1"/>
      <c r="BX918" s="1"/>
      <c r="BY918" s="1"/>
      <c r="BZ918" s="655"/>
      <c r="CB918" s="656"/>
      <c r="CC918" s="1"/>
      <c r="CD918" s="1"/>
      <c r="CE918" s="1"/>
      <c r="CF918" s="1"/>
      <c r="CG918" s="1"/>
      <c r="CH918" s="1"/>
      <c r="CI918" s="1"/>
      <c r="CJ918" s="1"/>
      <c r="CR918" s="305"/>
      <c r="CT918" s="116"/>
      <c r="DB918" s="1"/>
      <c r="DC918" s="1"/>
      <c r="DD918" s="1"/>
      <c r="DE918" s="1"/>
      <c r="DF918" s="1"/>
      <c r="DG918" s="1"/>
      <c r="DH918" s="1"/>
      <c r="DI918" s="1"/>
      <c r="DJ918" s="655"/>
      <c r="DL918" s="116"/>
    </row>
    <row r="919" spans="2:116" ht="15.75" customHeight="1" x14ac:dyDescent="0.3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874"/>
      <c r="AR919" s="874"/>
      <c r="AS919" s="874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43"/>
      <c r="BN919" s="116"/>
      <c r="BW919" s="1"/>
      <c r="BX919" s="1"/>
      <c r="BY919" s="1"/>
      <c r="BZ919" s="655"/>
      <c r="CB919" s="656"/>
      <c r="CC919" s="1"/>
      <c r="CD919" s="1"/>
      <c r="CE919" s="1"/>
      <c r="CF919" s="1"/>
      <c r="CG919" s="1"/>
      <c r="CH919" s="1"/>
      <c r="CI919" s="1"/>
      <c r="CJ919" s="1"/>
      <c r="CR919" s="305"/>
      <c r="CT919" s="116"/>
      <c r="DB919" s="1"/>
      <c r="DC919" s="1"/>
      <c r="DD919" s="1"/>
      <c r="DE919" s="1"/>
      <c r="DF919" s="1"/>
      <c r="DG919" s="1"/>
      <c r="DH919" s="1"/>
      <c r="DI919" s="1"/>
      <c r="DJ919" s="655"/>
      <c r="DL919" s="116"/>
    </row>
    <row r="920" spans="2:116" ht="15.75" customHeight="1" x14ac:dyDescent="0.3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874"/>
      <c r="AR920" s="874"/>
      <c r="AS920" s="874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43"/>
      <c r="BN920" s="116"/>
      <c r="BW920" s="1"/>
      <c r="BX920" s="1"/>
      <c r="BY920" s="1"/>
      <c r="BZ920" s="655"/>
      <c r="CB920" s="656"/>
      <c r="CC920" s="1"/>
      <c r="CD920" s="1"/>
      <c r="CE920" s="1"/>
      <c r="CF920" s="1"/>
      <c r="CG920" s="1"/>
      <c r="CH920" s="1"/>
      <c r="CI920" s="1"/>
      <c r="CJ920" s="1"/>
      <c r="CR920" s="305"/>
      <c r="CT920" s="116"/>
      <c r="DB920" s="1"/>
      <c r="DC920" s="1"/>
      <c r="DD920" s="1"/>
      <c r="DE920" s="1"/>
      <c r="DF920" s="1"/>
      <c r="DG920" s="1"/>
      <c r="DH920" s="1"/>
      <c r="DI920" s="1"/>
      <c r="DJ920" s="655"/>
      <c r="DL920" s="116"/>
    </row>
    <row r="921" spans="2:116" ht="15.75" customHeight="1" x14ac:dyDescent="0.3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874"/>
      <c r="AR921" s="874"/>
      <c r="AS921" s="874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43"/>
      <c r="BN921" s="116"/>
      <c r="BW921" s="1"/>
      <c r="BX921" s="1"/>
      <c r="BY921" s="1"/>
      <c r="BZ921" s="655"/>
      <c r="CB921" s="656"/>
      <c r="CC921" s="1"/>
      <c r="CD921" s="1"/>
      <c r="CE921" s="1"/>
      <c r="CF921" s="1"/>
      <c r="CG921" s="1"/>
      <c r="CH921" s="1"/>
      <c r="CI921" s="1"/>
      <c r="CJ921" s="1"/>
      <c r="CR921" s="305"/>
      <c r="CT921" s="116"/>
      <c r="DB921" s="1"/>
      <c r="DC921" s="1"/>
      <c r="DD921" s="1"/>
      <c r="DE921" s="1"/>
      <c r="DF921" s="1"/>
      <c r="DG921" s="1"/>
      <c r="DH921" s="1"/>
      <c r="DI921" s="1"/>
      <c r="DJ921" s="655"/>
      <c r="DL921" s="116"/>
    </row>
    <row r="922" spans="2:116" ht="15.75" customHeight="1" x14ac:dyDescent="0.3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874"/>
      <c r="AR922" s="874"/>
      <c r="AS922" s="874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43"/>
      <c r="BN922" s="116"/>
      <c r="BW922" s="1"/>
      <c r="BX922" s="1"/>
      <c r="BY922" s="1"/>
      <c r="BZ922" s="655"/>
      <c r="CB922" s="656"/>
      <c r="CC922" s="1"/>
      <c r="CD922" s="1"/>
      <c r="CE922" s="1"/>
      <c r="CF922" s="1"/>
      <c r="CG922" s="1"/>
      <c r="CH922" s="1"/>
      <c r="CI922" s="1"/>
      <c r="CJ922" s="1"/>
      <c r="CR922" s="305"/>
      <c r="CT922" s="116"/>
      <c r="DB922" s="1"/>
      <c r="DC922" s="1"/>
      <c r="DD922" s="1"/>
      <c r="DE922" s="1"/>
      <c r="DF922" s="1"/>
      <c r="DG922" s="1"/>
      <c r="DH922" s="1"/>
      <c r="DI922" s="1"/>
      <c r="DJ922" s="655"/>
      <c r="DL922" s="116"/>
    </row>
    <row r="923" spans="2:116" ht="15.75" customHeight="1" x14ac:dyDescent="0.3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874"/>
      <c r="AR923" s="874"/>
      <c r="AS923" s="874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43"/>
      <c r="BN923" s="116"/>
      <c r="BW923" s="1"/>
      <c r="BX923" s="1"/>
      <c r="BY923" s="1"/>
      <c r="BZ923" s="655"/>
      <c r="CB923" s="656"/>
      <c r="CC923" s="1"/>
      <c r="CD923" s="1"/>
      <c r="CE923" s="1"/>
      <c r="CF923" s="1"/>
      <c r="CG923" s="1"/>
      <c r="CH923" s="1"/>
      <c r="CI923" s="1"/>
      <c r="CJ923" s="1"/>
      <c r="CR923" s="305"/>
      <c r="CT923" s="116"/>
      <c r="DB923" s="1"/>
      <c r="DC923" s="1"/>
      <c r="DD923" s="1"/>
      <c r="DE923" s="1"/>
      <c r="DF923" s="1"/>
      <c r="DG923" s="1"/>
      <c r="DH923" s="1"/>
      <c r="DI923" s="1"/>
      <c r="DJ923" s="655"/>
      <c r="DL923" s="116"/>
    </row>
    <row r="924" spans="2:116" ht="15.75" customHeight="1" x14ac:dyDescent="0.3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874"/>
      <c r="AR924" s="874"/>
      <c r="AS924" s="874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43"/>
      <c r="BN924" s="116"/>
      <c r="BW924" s="1"/>
      <c r="BX924" s="1"/>
      <c r="BY924" s="1"/>
      <c r="BZ924" s="655"/>
      <c r="CB924" s="656"/>
      <c r="CC924" s="1"/>
      <c r="CD924" s="1"/>
      <c r="CE924" s="1"/>
      <c r="CF924" s="1"/>
      <c r="CG924" s="1"/>
      <c r="CH924" s="1"/>
      <c r="CI924" s="1"/>
      <c r="CJ924" s="1"/>
      <c r="CR924" s="305"/>
      <c r="CT924" s="116"/>
      <c r="DB924" s="1"/>
      <c r="DC924" s="1"/>
      <c r="DD924" s="1"/>
      <c r="DE924" s="1"/>
      <c r="DF924" s="1"/>
      <c r="DG924" s="1"/>
      <c r="DH924" s="1"/>
      <c r="DI924" s="1"/>
      <c r="DJ924" s="655"/>
      <c r="DL924" s="116"/>
    </row>
    <row r="925" spans="2:116" ht="15.75" customHeight="1" x14ac:dyDescent="0.3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874"/>
      <c r="AR925" s="874"/>
      <c r="AS925" s="874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43"/>
      <c r="BN925" s="116"/>
      <c r="BW925" s="1"/>
      <c r="BX925" s="1"/>
      <c r="BY925" s="1"/>
      <c r="BZ925" s="655"/>
      <c r="CB925" s="656"/>
      <c r="CC925" s="1"/>
      <c r="CD925" s="1"/>
      <c r="CE925" s="1"/>
      <c r="CF925" s="1"/>
      <c r="CG925" s="1"/>
      <c r="CH925" s="1"/>
      <c r="CI925" s="1"/>
      <c r="CJ925" s="1"/>
      <c r="CR925" s="305"/>
      <c r="CT925" s="116"/>
      <c r="DB925" s="1"/>
      <c r="DC925" s="1"/>
      <c r="DD925" s="1"/>
      <c r="DE925" s="1"/>
      <c r="DF925" s="1"/>
      <c r="DG925" s="1"/>
      <c r="DH925" s="1"/>
      <c r="DI925" s="1"/>
      <c r="DJ925" s="655"/>
      <c r="DL925" s="116"/>
    </row>
    <row r="926" spans="2:116" ht="15.75" customHeight="1" x14ac:dyDescent="0.3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874"/>
      <c r="AR926" s="874"/>
      <c r="AS926" s="874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43"/>
      <c r="BN926" s="116"/>
      <c r="BW926" s="1"/>
      <c r="BX926" s="1"/>
      <c r="BY926" s="1"/>
      <c r="BZ926" s="655"/>
      <c r="CB926" s="656"/>
      <c r="CC926" s="1"/>
      <c r="CD926" s="1"/>
      <c r="CE926" s="1"/>
      <c r="CF926" s="1"/>
      <c r="CG926" s="1"/>
      <c r="CH926" s="1"/>
      <c r="CI926" s="1"/>
      <c r="CJ926" s="1"/>
      <c r="CR926" s="305"/>
      <c r="CT926" s="116"/>
      <c r="DB926" s="1"/>
      <c r="DC926" s="1"/>
      <c r="DD926" s="1"/>
      <c r="DE926" s="1"/>
      <c r="DF926" s="1"/>
      <c r="DG926" s="1"/>
      <c r="DH926" s="1"/>
      <c r="DI926" s="1"/>
      <c r="DJ926" s="655"/>
      <c r="DL926" s="116"/>
    </row>
    <row r="927" spans="2:116" ht="15.75" customHeight="1" x14ac:dyDescent="0.3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874"/>
      <c r="AR927" s="874"/>
      <c r="AS927" s="874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43"/>
      <c r="BN927" s="116"/>
      <c r="BW927" s="1"/>
      <c r="BX927" s="1"/>
      <c r="BY927" s="1"/>
      <c r="BZ927" s="655"/>
      <c r="CB927" s="656"/>
      <c r="CC927" s="1"/>
      <c r="CD927" s="1"/>
      <c r="CE927" s="1"/>
      <c r="CF927" s="1"/>
      <c r="CG927" s="1"/>
      <c r="CH927" s="1"/>
      <c r="CI927" s="1"/>
      <c r="CJ927" s="1"/>
      <c r="CR927" s="305"/>
      <c r="CT927" s="116"/>
      <c r="DB927" s="1"/>
      <c r="DC927" s="1"/>
      <c r="DD927" s="1"/>
      <c r="DE927" s="1"/>
      <c r="DF927" s="1"/>
      <c r="DG927" s="1"/>
      <c r="DH927" s="1"/>
      <c r="DI927" s="1"/>
      <c r="DJ927" s="655"/>
      <c r="DL927" s="116"/>
    </row>
    <row r="928" spans="2:116" ht="15.75" customHeight="1" x14ac:dyDescent="0.3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874"/>
      <c r="AR928" s="874"/>
      <c r="AS928" s="874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43"/>
      <c r="BN928" s="116"/>
      <c r="BW928" s="1"/>
      <c r="BX928" s="1"/>
      <c r="BY928" s="1"/>
      <c r="BZ928" s="655"/>
      <c r="CB928" s="656"/>
      <c r="CC928" s="1"/>
      <c r="CD928" s="1"/>
      <c r="CE928" s="1"/>
      <c r="CF928" s="1"/>
      <c r="CG928" s="1"/>
      <c r="CH928" s="1"/>
      <c r="CI928" s="1"/>
      <c r="CJ928" s="1"/>
      <c r="CR928" s="305"/>
      <c r="CT928" s="116"/>
      <c r="DB928" s="1"/>
      <c r="DC928" s="1"/>
      <c r="DD928" s="1"/>
      <c r="DE928" s="1"/>
      <c r="DF928" s="1"/>
      <c r="DG928" s="1"/>
      <c r="DH928" s="1"/>
      <c r="DI928" s="1"/>
      <c r="DJ928" s="655"/>
      <c r="DL928" s="116"/>
    </row>
    <row r="929" spans="2:116" ht="15.75" customHeight="1" x14ac:dyDescent="0.3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874"/>
      <c r="AR929" s="874"/>
      <c r="AS929" s="874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43"/>
      <c r="BN929" s="116"/>
      <c r="BW929" s="1"/>
      <c r="BX929" s="1"/>
      <c r="BY929" s="1"/>
      <c r="BZ929" s="655"/>
      <c r="CB929" s="656"/>
      <c r="CC929" s="1"/>
      <c r="CD929" s="1"/>
      <c r="CE929" s="1"/>
      <c r="CF929" s="1"/>
      <c r="CG929" s="1"/>
      <c r="CH929" s="1"/>
      <c r="CI929" s="1"/>
      <c r="CJ929" s="1"/>
      <c r="CR929" s="305"/>
      <c r="CT929" s="116"/>
      <c r="DB929" s="1"/>
      <c r="DC929" s="1"/>
      <c r="DD929" s="1"/>
      <c r="DE929" s="1"/>
      <c r="DF929" s="1"/>
      <c r="DG929" s="1"/>
      <c r="DH929" s="1"/>
      <c r="DI929" s="1"/>
      <c r="DJ929" s="655"/>
      <c r="DL929" s="116"/>
    </row>
    <row r="930" spans="2:116" ht="15.75" customHeight="1" x14ac:dyDescent="0.3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874"/>
      <c r="AR930" s="874"/>
      <c r="AS930" s="874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43"/>
      <c r="BN930" s="116"/>
      <c r="BW930" s="1"/>
      <c r="BX930" s="1"/>
      <c r="BY930" s="1"/>
      <c r="BZ930" s="655"/>
      <c r="CB930" s="656"/>
      <c r="CC930" s="1"/>
      <c r="CD930" s="1"/>
      <c r="CE930" s="1"/>
      <c r="CF930" s="1"/>
      <c r="CG930" s="1"/>
      <c r="CH930" s="1"/>
      <c r="CI930" s="1"/>
      <c r="CJ930" s="1"/>
      <c r="CR930" s="305"/>
      <c r="CT930" s="116"/>
      <c r="DB930" s="1"/>
      <c r="DC930" s="1"/>
      <c r="DD930" s="1"/>
      <c r="DE930" s="1"/>
      <c r="DF930" s="1"/>
      <c r="DG930" s="1"/>
      <c r="DH930" s="1"/>
      <c r="DI930" s="1"/>
      <c r="DJ930" s="655"/>
      <c r="DL930" s="116"/>
    </row>
    <row r="931" spans="2:116" ht="15.75" customHeight="1" x14ac:dyDescent="0.3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874"/>
      <c r="AR931" s="874"/>
      <c r="AS931" s="874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43"/>
      <c r="BN931" s="116"/>
      <c r="BW931" s="1"/>
      <c r="BX931" s="1"/>
      <c r="BY931" s="1"/>
      <c r="BZ931" s="655"/>
      <c r="CB931" s="656"/>
      <c r="CC931" s="1"/>
      <c r="CD931" s="1"/>
      <c r="CE931" s="1"/>
      <c r="CF931" s="1"/>
      <c r="CG931" s="1"/>
      <c r="CH931" s="1"/>
      <c r="CI931" s="1"/>
      <c r="CJ931" s="1"/>
      <c r="CR931" s="305"/>
      <c r="CT931" s="116"/>
      <c r="DB931" s="1"/>
      <c r="DC931" s="1"/>
      <c r="DD931" s="1"/>
      <c r="DE931" s="1"/>
      <c r="DF931" s="1"/>
      <c r="DG931" s="1"/>
      <c r="DH931" s="1"/>
      <c r="DI931" s="1"/>
      <c r="DJ931" s="655"/>
      <c r="DL931" s="116"/>
    </row>
    <row r="932" spans="2:116" ht="15.75" customHeight="1" x14ac:dyDescent="0.3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874"/>
      <c r="AR932" s="874"/>
      <c r="AS932" s="874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43"/>
      <c r="BN932" s="116"/>
      <c r="BW932" s="1"/>
      <c r="BX932" s="1"/>
      <c r="BY932" s="1"/>
      <c r="BZ932" s="655"/>
      <c r="CB932" s="656"/>
      <c r="CC932" s="1"/>
      <c r="CD932" s="1"/>
      <c r="CE932" s="1"/>
      <c r="CF932" s="1"/>
      <c r="CG932" s="1"/>
      <c r="CH932" s="1"/>
      <c r="CI932" s="1"/>
      <c r="CJ932" s="1"/>
      <c r="CR932" s="305"/>
      <c r="CT932" s="116"/>
      <c r="DB932" s="1"/>
      <c r="DC932" s="1"/>
      <c r="DD932" s="1"/>
      <c r="DE932" s="1"/>
      <c r="DF932" s="1"/>
      <c r="DG932" s="1"/>
      <c r="DH932" s="1"/>
      <c r="DI932" s="1"/>
      <c r="DJ932" s="655"/>
      <c r="DL932" s="116"/>
    </row>
    <row r="933" spans="2:116" ht="15.75" customHeight="1" x14ac:dyDescent="0.3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874"/>
      <c r="AR933" s="874"/>
      <c r="AS933" s="874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43"/>
      <c r="BN933" s="116"/>
      <c r="BW933" s="1"/>
      <c r="BX933" s="1"/>
      <c r="BY933" s="1"/>
      <c r="BZ933" s="655"/>
      <c r="CB933" s="656"/>
      <c r="CC933" s="1"/>
      <c r="CD933" s="1"/>
      <c r="CE933" s="1"/>
      <c r="CF933" s="1"/>
      <c r="CG933" s="1"/>
      <c r="CH933" s="1"/>
      <c r="CI933" s="1"/>
      <c r="CJ933" s="1"/>
      <c r="CR933" s="305"/>
      <c r="CT933" s="116"/>
      <c r="DB933" s="1"/>
      <c r="DC933" s="1"/>
      <c r="DD933" s="1"/>
      <c r="DE933" s="1"/>
      <c r="DF933" s="1"/>
      <c r="DG933" s="1"/>
      <c r="DH933" s="1"/>
      <c r="DI933" s="1"/>
      <c r="DJ933" s="655"/>
      <c r="DL933" s="116"/>
    </row>
    <row r="934" spans="2:116" ht="15.75" customHeight="1" x14ac:dyDescent="0.3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874"/>
      <c r="AR934" s="874"/>
      <c r="AS934" s="874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43"/>
      <c r="BN934" s="116"/>
      <c r="BW934" s="1"/>
      <c r="BX934" s="1"/>
      <c r="BY934" s="1"/>
      <c r="BZ934" s="655"/>
      <c r="CB934" s="656"/>
      <c r="CC934" s="1"/>
      <c r="CD934" s="1"/>
      <c r="CE934" s="1"/>
      <c r="CF934" s="1"/>
      <c r="CG934" s="1"/>
      <c r="CH934" s="1"/>
      <c r="CI934" s="1"/>
      <c r="CJ934" s="1"/>
      <c r="CR934" s="305"/>
      <c r="CT934" s="116"/>
      <c r="DB934" s="1"/>
      <c r="DC934" s="1"/>
      <c r="DD934" s="1"/>
      <c r="DE934" s="1"/>
      <c r="DF934" s="1"/>
      <c r="DG934" s="1"/>
      <c r="DH934" s="1"/>
      <c r="DI934" s="1"/>
      <c r="DJ934" s="655"/>
      <c r="DL934" s="116"/>
    </row>
    <row r="935" spans="2:116" ht="15.75" customHeight="1" x14ac:dyDescent="0.3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874"/>
      <c r="AR935" s="874"/>
      <c r="AS935" s="874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43"/>
      <c r="BN935" s="116"/>
      <c r="BW935" s="1"/>
      <c r="BX935" s="1"/>
      <c r="BY935" s="1"/>
      <c r="BZ935" s="655"/>
      <c r="CB935" s="656"/>
      <c r="CC935" s="1"/>
      <c r="CD935" s="1"/>
      <c r="CE935" s="1"/>
      <c r="CF935" s="1"/>
      <c r="CG935" s="1"/>
      <c r="CH935" s="1"/>
      <c r="CI935" s="1"/>
      <c r="CJ935" s="1"/>
      <c r="CR935" s="305"/>
      <c r="CT935" s="116"/>
      <c r="DB935" s="1"/>
      <c r="DC935" s="1"/>
      <c r="DD935" s="1"/>
      <c r="DE935" s="1"/>
      <c r="DF935" s="1"/>
      <c r="DG935" s="1"/>
      <c r="DH935" s="1"/>
      <c r="DI935" s="1"/>
      <c r="DJ935" s="655"/>
      <c r="DL935" s="116"/>
    </row>
    <row r="936" spans="2:116" ht="15.75" customHeight="1" x14ac:dyDescent="0.3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874"/>
      <c r="AR936" s="874"/>
      <c r="AS936" s="874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43"/>
      <c r="BN936" s="116"/>
      <c r="BW936" s="1"/>
      <c r="BX936" s="1"/>
      <c r="BY936" s="1"/>
      <c r="BZ936" s="655"/>
      <c r="CB936" s="656"/>
      <c r="CC936" s="1"/>
      <c r="CD936" s="1"/>
      <c r="CE936" s="1"/>
      <c r="CF936" s="1"/>
      <c r="CG936" s="1"/>
      <c r="CH936" s="1"/>
      <c r="CI936" s="1"/>
      <c r="CJ936" s="1"/>
      <c r="CR936" s="305"/>
      <c r="CT936" s="116"/>
      <c r="DB936" s="1"/>
      <c r="DC936" s="1"/>
      <c r="DD936" s="1"/>
      <c r="DE936" s="1"/>
      <c r="DF936" s="1"/>
      <c r="DG936" s="1"/>
      <c r="DH936" s="1"/>
      <c r="DI936" s="1"/>
      <c r="DJ936" s="655"/>
      <c r="DL936" s="116"/>
    </row>
    <row r="937" spans="2:116" ht="15.75" customHeight="1" x14ac:dyDescent="0.3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874"/>
      <c r="AR937" s="874"/>
      <c r="AS937" s="874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43"/>
      <c r="BN937" s="116"/>
      <c r="BW937" s="1"/>
      <c r="BX937" s="1"/>
      <c r="BY937" s="1"/>
      <c r="BZ937" s="655"/>
      <c r="CB937" s="656"/>
      <c r="CC937" s="1"/>
      <c r="CD937" s="1"/>
      <c r="CE937" s="1"/>
      <c r="CF937" s="1"/>
      <c r="CG937" s="1"/>
      <c r="CH937" s="1"/>
      <c r="CI937" s="1"/>
      <c r="CJ937" s="1"/>
      <c r="CR937" s="305"/>
      <c r="CT937" s="116"/>
      <c r="DB937" s="1"/>
      <c r="DC937" s="1"/>
      <c r="DD937" s="1"/>
      <c r="DE937" s="1"/>
      <c r="DF937" s="1"/>
      <c r="DG937" s="1"/>
      <c r="DH937" s="1"/>
      <c r="DI937" s="1"/>
      <c r="DJ937" s="655"/>
      <c r="DL937" s="116"/>
    </row>
    <row r="938" spans="2:116" ht="15.75" customHeight="1" x14ac:dyDescent="0.3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874"/>
      <c r="AR938" s="874"/>
      <c r="AS938" s="874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43"/>
      <c r="BN938" s="116"/>
      <c r="BW938" s="1"/>
      <c r="BX938" s="1"/>
      <c r="BY938" s="1"/>
      <c r="BZ938" s="655"/>
      <c r="CB938" s="656"/>
      <c r="CC938" s="1"/>
      <c r="CD938" s="1"/>
      <c r="CE938" s="1"/>
      <c r="CF938" s="1"/>
      <c r="CG938" s="1"/>
      <c r="CH938" s="1"/>
      <c r="CI938" s="1"/>
      <c r="CJ938" s="1"/>
      <c r="CR938" s="305"/>
      <c r="CT938" s="116"/>
      <c r="DB938" s="1"/>
      <c r="DC938" s="1"/>
      <c r="DD938" s="1"/>
      <c r="DE938" s="1"/>
      <c r="DF938" s="1"/>
      <c r="DG938" s="1"/>
      <c r="DH938" s="1"/>
      <c r="DI938" s="1"/>
      <c r="DJ938" s="655"/>
      <c r="DL938" s="116"/>
    </row>
    <row r="939" spans="2:116" ht="15.75" customHeight="1" x14ac:dyDescent="0.3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874"/>
      <c r="AR939" s="874"/>
      <c r="AS939" s="874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43"/>
      <c r="BN939" s="116"/>
      <c r="BW939" s="1"/>
      <c r="BX939" s="1"/>
      <c r="BY939" s="1"/>
      <c r="BZ939" s="655"/>
      <c r="CB939" s="656"/>
      <c r="CC939" s="1"/>
      <c r="CD939" s="1"/>
      <c r="CE939" s="1"/>
      <c r="CF939" s="1"/>
      <c r="CG939" s="1"/>
      <c r="CH939" s="1"/>
      <c r="CI939" s="1"/>
      <c r="CJ939" s="1"/>
      <c r="CR939" s="305"/>
      <c r="CT939" s="116"/>
      <c r="DB939" s="1"/>
      <c r="DC939" s="1"/>
      <c r="DD939" s="1"/>
      <c r="DE939" s="1"/>
      <c r="DF939" s="1"/>
      <c r="DG939" s="1"/>
      <c r="DH939" s="1"/>
      <c r="DI939" s="1"/>
      <c r="DJ939" s="655"/>
      <c r="DL939" s="116"/>
    </row>
    <row r="940" spans="2:116" ht="15.75" customHeight="1" x14ac:dyDescent="0.3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874"/>
      <c r="AR940" s="874"/>
      <c r="AS940" s="874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43"/>
      <c r="BN940" s="116"/>
      <c r="BW940" s="1"/>
      <c r="BX940" s="1"/>
      <c r="BY940" s="1"/>
      <c r="BZ940" s="655"/>
      <c r="CB940" s="656"/>
      <c r="CC940" s="1"/>
      <c r="CD940" s="1"/>
      <c r="CE940" s="1"/>
      <c r="CF940" s="1"/>
      <c r="CG940" s="1"/>
      <c r="CH940" s="1"/>
      <c r="CI940" s="1"/>
      <c r="CJ940" s="1"/>
      <c r="CR940" s="305"/>
      <c r="CT940" s="116"/>
      <c r="DB940" s="1"/>
      <c r="DC940" s="1"/>
      <c r="DD940" s="1"/>
      <c r="DE940" s="1"/>
      <c r="DF940" s="1"/>
      <c r="DG940" s="1"/>
      <c r="DH940" s="1"/>
      <c r="DI940" s="1"/>
      <c r="DJ940" s="655"/>
      <c r="DL940" s="116"/>
    </row>
    <row r="941" spans="2:116" ht="15.75" customHeight="1" x14ac:dyDescent="0.3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874"/>
      <c r="AR941" s="874"/>
      <c r="AS941" s="874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43"/>
      <c r="BN941" s="116"/>
      <c r="BW941" s="1"/>
      <c r="BX941" s="1"/>
      <c r="BY941" s="1"/>
      <c r="BZ941" s="655"/>
      <c r="CB941" s="656"/>
      <c r="CC941" s="1"/>
      <c r="CD941" s="1"/>
      <c r="CE941" s="1"/>
      <c r="CF941" s="1"/>
      <c r="CG941" s="1"/>
      <c r="CH941" s="1"/>
      <c r="CI941" s="1"/>
      <c r="CJ941" s="1"/>
      <c r="CR941" s="305"/>
      <c r="CT941" s="116"/>
      <c r="DB941" s="1"/>
      <c r="DC941" s="1"/>
      <c r="DD941" s="1"/>
      <c r="DE941" s="1"/>
      <c r="DF941" s="1"/>
      <c r="DG941" s="1"/>
      <c r="DH941" s="1"/>
      <c r="DI941" s="1"/>
      <c r="DJ941" s="655"/>
      <c r="DL941" s="116"/>
    </row>
    <row r="942" spans="2:116" ht="15.75" customHeight="1" x14ac:dyDescent="0.3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874"/>
      <c r="AR942" s="874"/>
      <c r="AS942" s="874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43"/>
      <c r="BN942" s="116"/>
      <c r="BW942" s="1"/>
      <c r="BX942" s="1"/>
      <c r="BY942" s="1"/>
      <c r="BZ942" s="655"/>
      <c r="CB942" s="656"/>
      <c r="CC942" s="1"/>
      <c r="CD942" s="1"/>
      <c r="CE942" s="1"/>
      <c r="CF942" s="1"/>
      <c r="CG942" s="1"/>
      <c r="CH942" s="1"/>
      <c r="CI942" s="1"/>
      <c r="CJ942" s="1"/>
      <c r="CR942" s="305"/>
      <c r="CT942" s="116"/>
      <c r="DB942" s="1"/>
      <c r="DC942" s="1"/>
      <c r="DD942" s="1"/>
      <c r="DE942" s="1"/>
      <c r="DF942" s="1"/>
      <c r="DG942" s="1"/>
      <c r="DH942" s="1"/>
      <c r="DI942" s="1"/>
      <c r="DJ942" s="655"/>
      <c r="DL942" s="116"/>
    </row>
    <row r="943" spans="2:116" ht="15.75" customHeight="1" x14ac:dyDescent="0.3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874"/>
      <c r="AR943" s="874"/>
      <c r="AS943" s="874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43"/>
      <c r="BN943" s="116"/>
      <c r="BW943" s="1"/>
      <c r="BX943" s="1"/>
      <c r="BY943" s="1"/>
      <c r="BZ943" s="655"/>
      <c r="CB943" s="656"/>
      <c r="CC943" s="1"/>
      <c r="CD943" s="1"/>
      <c r="CE943" s="1"/>
      <c r="CF943" s="1"/>
      <c r="CG943" s="1"/>
      <c r="CH943" s="1"/>
      <c r="CI943" s="1"/>
      <c r="CJ943" s="1"/>
      <c r="CR943" s="305"/>
      <c r="CT943" s="116"/>
      <c r="DB943" s="1"/>
      <c r="DC943" s="1"/>
      <c r="DD943" s="1"/>
      <c r="DE943" s="1"/>
      <c r="DF943" s="1"/>
      <c r="DG943" s="1"/>
      <c r="DH943" s="1"/>
      <c r="DI943" s="1"/>
      <c r="DJ943" s="655"/>
      <c r="DL943" s="116"/>
    </row>
    <row r="944" spans="2:116" ht="15.75" customHeight="1" x14ac:dyDescent="0.3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874"/>
      <c r="AR944" s="874"/>
      <c r="AS944" s="874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43"/>
      <c r="BN944" s="116"/>
      <c r="BW944" s="1"/>
      <c r="BX944" s="1"/>
      <c r="BY944" s="1"/>
      <c r="BZ944" s="655"/>
      <c r="CB944" s="656"/>
      <c r="CC944" s="1"/>
      <c r="CD944" s="1"/>
      <c r="CE944" s="1"/>
      <c r="CF944" s="1"/>
      <c r="CG944" s="1"/>
      <c r="CH944" s="1"/>
      <c r="CI944" s="1"/>
      <c r="CJ944" s="1"/>
      <c r="CR944" s="305"/>
      <c r="CT944" s="116"/>
      <c r="DB944" s="1"/>
      <c r="DC944" s="1"/>
      <c r="DD944" s="1"/>
      <c r="DE944" s="1"/>
      <c r="DF944" s="1"/>
      <c r="DG944" s="1"/>
      <c r="DH944" s="1"/>
      <c r="DI944" s="1"/>
      <c r="DJ944" s="655"/>
      <c r="DL944" s="116"/>
    </row>
    <row r="945" spans="2:116" ht="15.75" customHeight="1" x14ac:dyDescent="0.3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874"/>
      <c r="AR945" s="874"/>
      <c r="AS945" s="874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43"/>
      <c r="BN945" s="116"/>
      <c r="BW945" s="1"/>
      <c r="BX945" s="1"/>
      <c r="BY945" s="1"/>
      <c r="BZ945" s="655"/>
      <c r="CB945" s="656"/>
      <c r="CC945" s="1"/>
      <c r="CD945" s="1"/>
      <c r="CE945" s="1"/>
      <c r="CF945" s="1"/>
      <c r="CG945" s="1"/>
      <c r="CH945" s="1"/>
      <c r="CI945" s="1"/>
      <c r="CJ945" s="1"/>
      <c r="CR945" s="305"/>
      <c r="CT945" s="116"/>
      <c r="DB945" s="1"/>
      <c r="DC945" s="1"/>
      <c r="DD945" s="1"/>
      <c r="DE945" s="1"/>
      <c r="DF945" s="1"/>
      <c r="DG945" s="1"/>
      <c r="DH945" s="1"/>
      <c r="DI945" s="1"/>
      <c r="DJ945" s="655"/>
      <c r="DL945" s="116"/>
    </row>
    <row r="946" spans="2:116" ht="15.75" customHeight="1" x14ac:dyDescent="0.3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874"/>
      <c r="AR946" s="874"/>
      <c r="AS946" s="874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43"/>
      <c r="BN946" s="116"/>
      <c r="BW946" s="1"/>
      <c r="BX946" s="1"/>
      <c r="BY946" s="1"/>
      <c r="BZ946" s="655"/>
      <c r="CB946" s="656"/>
      <c r="CC946" s="1"/>
      <c r="CD946" s="1"/>
      <c r="CE946" s="1"/>
      <c r="CF946" s="1"/>
      <c r="CG946" s="1"/>
      <c r="CH946" s="1"/>
      <c r="CI946" s="1"/>
      <c r="CJ946" s="1"/>
      <c r="CR946" s="305"/>
      <c r="CT946" s="116"/>
      <c r="DB946" s="1"/>
      <c r="DC946" s="1"/>
      <c r="DD946" s="1"/>
      <c r="DE946" s="1"/>
      <c r="DF946" s="1"/>
      <c r="DG946" s="1"/>
      <c r="DH946" s="1"/>
      <c r="DI946" s="1"/>
      <c r="DJ946" s="655"/>
      <c r="DL946" s="116"/>
    </row>
    <row r="947" spans="2:116" ht="15.75" customHeight="1" x14ac:dyDescent="0.3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874"/>
      <c r="AR947" s="874"/>
      <c r="AS947" s="874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43"/>
      <c r="BN947" s="116"/>
      <c r="BW947" s="1"/>
      <c r="BX947" s="1"/>
      <c r="BY947" s="1"/>
      <c r="BZ947" s="655"/>
      <c r="CB947" s="656"/>
      <c r="CC947" s="1"/>
      <c r="CD947" s="1"/>
      <c r="CE947" s="1"/>
      <c r="CF947" s="1"/>
      <c r="CG947" s="1"/>
      <c r="CH947" s="1"/>
      <c r="CI947" s="1"/>
      <c r="CJ947" s="1"/>
      <c r="CR947" s="305"/>
      <c r="CT947" s="116"/>
      <c r="DB947" s="1"/>
      <c r="DC947" s="1"/>
      <c r="DD947" s="1"/>
      <c r="DE947" s="1"/>
      <c r="DF947" s="1"/>
      <c r="DG947" s="1"/>
      <c r="DH947" s="1"/>
      <c r="DI947" s="1"/>
      <c r="DJ947" s="655"/>
      <c r="DL947" s="116"/>
    </row>
    <row r="948" spans="2:116" ht="15.75" customHeight="1" x14ac:dyDescent="0.3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874"/>
      <c r="AR948" s="874"/>
      <c r="AS948" s="874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43"/>
      <c r="BN948" s="116"/>
      <c r="BW948" s="1"/>
      <c r="BX948" s="1"/>
      <c r="BY948" s="1"/>
      <c r="BZ948" s="655"/>
      <c r="CB948" s="656"/>
      <c r="CC948" s="1"/>
      <c r="CD948" s="1"/>
      <c r="CE948" s="1"/>
      <c r="CF948" s="1"/>
      <c r="CG948" s="1"/>
      <c r="CH948" s="1"/>
      <c r="CI948" s="1"/>
      <c r="CJ948" s="1"/>
      <c r="CR948" s="305"/>
      <c r="CT948" s="116"/>
      <c r="DB948" s="1"/>
      <c r="DC948" s="1"/>
      <c r="DD948" s="1"/>
      <c r="DE948" s="1"/>
      <c r="DF948" s="1"/>
      <c r="DG948" s="1"/>
      <c r="DH948" s="1"/>
      <c r="DI948" s="1"/>
      <c r="DJ948" s="655"/>
      <c r="DL948" s="116"/>
    </row>
    <row r="949" spans="2:116" ht="15.75" customHeight="1" x14ac:dyDescent="0.3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874"/>
      <c r="AR949" s="874"/>
      <c r="AS949" s="874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43"/>
      <c r="BN949" s="116"/>
      <c r="BW949" s="1"/>
      <c r="BX949" s="1"/>
      <c r="BY949" s="1"/>
      <c r="BZ949" s="655"/>
      <c r="CB949" s="656"/>
      <c r="CC949" s="1"/>
      <c r="CD949" s="1"/>
      <c r="CE949" s="1"/>
      <c r="CF949" s="1"/>
      <c r="CG949" s="1"/>
      <c r="CH949" s="1"/>
      <c r="CI949" s="1"/>
      <c r="CJ949" s="1"/>
      <c r="CR949" s="305"/>
      <c r="CT949" s="116"/>
      <c r="DB949" s="1"/>
      <c r="DC949" s="1"/>
      <c r="DD949" s="1"/>
      <c r="DE949" s="1"/>
      <c r="DF949" s="1"/>
      <c r="DG949" s="1"/>
      <c r="DH949" s="1"/>
      <c r="DI949" s="1"/>
      <c r="DJ949" s="655"/>
      <c r="DL949" s="116"/>
    </row>
    <row r="950" spans="2:116" ht="15.75" customHeight="1" x14ac:dyDescent="0.3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874"/>
      <c r="AR950" s="874"/>
      <c r="AS950" s="874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43"/>
      <c r="BN950" s="116"/>
      <c r="BW950" s="1"/>
      <c r="BX950" s="1"/>
      <c r="BY950" s="1"/>
      <c r="BZ950" s="655"/>
      <c r="CB950" s="656"/>
      <c r="CC950" s="1"/>
      <c r="CD950" s="1"/>
      <c r="CE950" s="1"/>
      <c r="CF950" s="1"/>
      <c r="CG950" s="1"/>
      <c r="CH950" s="1"/>
      <c r="CI950" s="1"/>
      <c r="CJ950" s="1"/>
      <c r="CR950" s="305"/>
      <c r="CT950" s="116"/>
      <c r="DB950" s="1"/>
      <c r="DC950" s="1"/>
      <c r="DD950" s="1"/>
      <c r="DE950" s="1"/>
      <c r="DF950" s="1"/>
      <c r="DG950" s="1"/>
      <c r="DH950" s="1"/>
      <c r="DI950" s="1"/>
      <c r="DJ950" s="655"/>
      <c r="DL950" s="116"/>
    </row>
    <row r="951" spans="2:116" ht="15.75" customHeight="1" x14ac:dyDescent="0.3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874"/>
      <c r="AR951" s="874"/>
      <c r="AS951" s="874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43"/>
      <c r="BN951" s="116"/>
      <c r="BW951" s="1"/>
      <c r="BX951" s="1"/>
      <c r="BY951" s="1"/>
      <c r="BZ951" s="655"/>
      <c r="CB951" s="656"/>
      <c r="CC951" s="1"/>
      <c r="CD951" s="1"/>
      <c r="CE951" s="1"/>
      <c r="CF951" s="1"/>
      <c r="CG951" s="1"/>
      <c r="CH951" s="1"/>
      <c r="CI951" s="1"/>
      <c r="CJ951" s="1"/>
      <c r="CR951" s="305"/>
      <c r="CT951" s="116"/>
      <c r="DB951" s="1"/>
      <c r="DC951" s="1"/>
      <c r="DD951" s="1"/>
      <c r="DE951" s="1"/>
      <c r="DF951" s="1"/>
      <c r="DG951" s="1"/>
      <c r="DH951" s="1"/>
      <c r="DI951" s="1"/>
      <c r="DJ951" s="655"/>
      <c r="DL951" s="116"/>
    </row>
    <row r="952" spans="2:116" ht="15.75" customHeight="1" x14ac:dyDescent="0.3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874"/>
      <c r="AR952" s="874"/>
      <c r="AS952" s="874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43"/>
      <c r="BN952" s="116"/>
      <c r="BW952" s="1"/>
      <c r="BX952" s="1"/>
      <c r="BY952" s="1"/>
      <c r="BZ952" s="655"/>
      <c r="CB952" s="656"/>
      <c r="CC952" s="1"/>
      <c r="CD952" s="1"/>
      <c r="CE952" s="1"/>
      <c r="CF952" s="1"/>
      <c r="CG952" s="1"/>
      <c r="CH952" s="1"/>
      <c r="CI952" s="1"/>
      <c r="CJ952" s="1"/>
      <c r="CR952" s="305"/>
      <c r="CT952" s="116"/>
      <c r="DB952" s="1"/>
      <c r="DC952" s="1"/>
      <c r="DD952" s="1"/>
      <c r="DE952" s="1"/>
      <c r="DF952" s="1"/>
      <c r="DG952" s="1"/>
      <c r="DH952" s="1"/>
      <c r="DI952" s="1"/>
      <c r="DJ952" s="655"/>
      <c r="DL952" s="116"/>
    </row>
    <row r="953" spans="2:116" ht="15.75" customHeight="1" x14ac:dyDescent="0.3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874"/>
      <c r="AR953" s="874"/>
      <c r="AS953" s="874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43"/>
      <c r="BN953" s="116"/>
      <c r="BW953" s="1"/>
      <c r="BX953" s="1"/>
      <c r="BY953" s="1"/>
      <c r="BZ953" s="655"/>
      <c r="CB953" s="656"/>
      <c r="CC953" s="1"/>
      <c r="CD953" s="1"/>
      <c r="CE953" s="1"/>
      <c r="CF953" s="1"/>
      <c r="CG953" s="1"/>
      <c r="CH953" s="1"/>
      <c r="CI953" s="1"/>
      <c r="CJ953" s="1"/>
      <c r="CR953" s="305"/>
      <c r="CT953" s="116"/>
      <c r="DB953" s="1"/>
      <c r="DC953" s="1"/>
      <c r="DD953" s="1"/>
      <c r="DE953" s="1"/>
      <c r="DF953" s="1"/>
      <c r="DG953" s="1"/>
      <c r="DH953" s="1"/>
      <c r="DI953" s="1"/>
      <c r="DJ953" s="655"/>
      <c r="DL953" s="116"/>
    </row>
    <row r="954" spans="2:116" ht="15.75" customHeight="1" x14ac:dyDescent="0.3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874"/>
      <c r="AR954" s="874"/>
      <c r="AS954" s="874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43"/>
      <c r="BN954" s="116"/>
      <c r="BW954" s="1"/>
      <c r="BX954" s="1"/>
      <c r="BY954" s="1"/>
      <c r="BZ954" s="655"/>
      <c r="CB954" s="656"/>
      <c r="CC954" s="1"/>
      <c r="CD954" s="1"/>
      <c r="CE954" s="1"/>
      <c r="CF954" s="1"/>
      <c r="CG954" s="1"/>
      <c r="CH954" s="1"/>
      <c r="CI954" s="1"/>
      <c r="CJ954" s="1"/>
      <c r="CR954" s="305"/>
      <c r="CT954" s="116"/>
      <c r="DB954" s="1"/>
      <c r="DC954" s="1"/>
      <c r="DD954" s="1"/>
      <c r="DE954" s="1"/>
      <c r="DF954" s="1"/>
      <c r="DG954" s="1"/>
      <c r="DH954" s="1"/>
      <c r="DI954" s="1"/>
      <c r="DJ954" s="655"/>
      <c r="DL954" s="116"/>
    </row>
    <row r="955" spans="2:116" ht="15.75" customHeight="1" x14ac:dyDescent="0.3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874"/>
      <c r="AR955" s="874"/>
      <c r="AS955" s="874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43"/>
      <c r="BN955" s="116"/>
      <c r="BW955" s="1"/>
      <c r="BX955" s="1"/>
      <c r="BY955" s="1"/>
      <c r="BZ955" s="655"/>
      <c r="CB955" s="656"/>
      <c r="CC955" s="1"/>
      <c r="CD955" s="1"/>
      <c r="CE955" s="1"/>
      <c r="CF955" s="1"/>
      <c r="CG955" s="1"/>
      <c r="CH955" s="1"/>
      <c r="CI955" s="1"/>
      <c r="CJ955" s="1"/>
      <c r="CR955" s="305"/>
      <c r="CT955" s="116"/>
      <c r="DB955" s="1"/>
      <c r="DC955" s="1"/>
      <c r="DD955" s="1"/>
      <c r="DE955" s="1"/>
      <c r="DF955" s="1"/>
      <c r="DG955" s="1"/>
      <c r="DH955" s="1"/>
      <c r="DI955" s="1"/>
      <c r="DJ955" s="655"/>
      <c r="DL955" s="116"/>
    </row>
    <row r="956" spans="2:116" ht="15.75" customHeight="1" x14ac:dyDescent="0.3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874"/>
      <c r="AR956" s="874"/>
      <c r="AS956" s="874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43"/>
      <c r="BN956" s="116"/>
      <c r="BW956" s="1"/>
      <c r="BX956" s="1"/>
      <c r="BY956" s="1"/>
      <c r="BZ956" s="655"/>
      <c r="CB956" s="656"/>
      <c r="CC956" s="1"/>
      <c r="CD956" s="1"/>
      <c r="CE956" s="1"/>
      <c r="CF956" s="1"/>
      <c r="CG956" s="1"/>
      <c r="CH956" s="1"/>
      <c r="CI956" s="1"/>
      <c r="CJ956" s="1"/>
      <c r="CR956" s="305"/>
      <c r="CT956" s="116"/>
      <c r="DB956" s="1"/>
      <c r="DC956" s="1"/>
      <c r="DD956" s="1"/>
      <c r="DE956" s="1"/>
      <c r="DF956" s="1"/>
      <c r="DG956" s="1"/>
      <c r="DH956" s="1"/>
      <c r="DI956" s="1"/>
      <c r="DJ956" s="655"/>
      <c r="DL956" s="116"/>
    </row>
    <row r="957" spans="2:116" ht="15.75" customHeight="1" x14ac:dyDescent="0.3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874"/>
      <c r="AR957" s="874"/>
      <c r="AS957" s="874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43"/>
      <c r="BN957" s="116"/>
      <c r="BW957" s="1"/>
      <c r="BX957" s="1"/>
      <c r="BY957" s="1"/>
      <c r="BZ957" s="655"/>
      <c r="CB957" s="656"/>
      <c r="CC957" s="1"/>
      <c r="CD957" s="1"/>
      <c r="CE957" s="1"/>
      <c r="CF957" s="1"/>
      <c r="CG957" s="1"/>
      <c r="CH957" s="1"/>
      <c r="CI957" s="1"/>
      <c r="CJ957" s="1"/>
      <c r="CR957" s="305"/>
      <c r="CT957" s="116"/>
      <c r="DB957" s="1"/>
      <c r="DC957" s="1"/>
      <c r="DD957" s="1"/>
      <c r="DE957" s="1"/>
      <c r="DF957" s="1"/>
      <c r="DG957" s="1"/>
      <c r="DH957" s="1"/>
      <c r="DI957" s="1"/>
      <c r="DJ957" s="655"/>
      <c r="DL957" s="116"/>
    </row>
    <row r="958" spans="2:116" ht="15.75" customHeight="1" x14ac:dyDescent="0.3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874"/>
      <c r="AR958" s="874"/>
      <c r="AS958" s="874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43"/>
      <c r="BN958" s="116"/>
      <c r="BW958" s="1"/>
      <c r="BX958" s="1"/>
      <c r="BY958" s="1"/>
      <c r="BZ958" s="655"/>
      <c r="CB958" s="656"/>
      <c r="CC958" s="1"/>
      <c r="CD958" s="1"/>
      <c r="CE958" s="1"/>
      <c r="CF958" s="1"/>
      <c r="CG958" s="1"/>
      <c r="CH958" s="1"/>
      <c r="CI958" s="1"/>
      <c r="CJ958" s="1"/>
      <c r="CR958" s="305"/>
      <c r="CT958" s="116"/>
      <c r="DB958" s="1"/>
      <c r="DC958" s="1"/>
      <c r="DD958" s="1"/>
      <c r="DE958" s="1"/>
      <c r="DF958" s="1"/>
      <c r="DG958" s="1"/>
      <c r="DH958" s="1"/>
      <c r="DI958" s="1"/>
      <c r="DJ958" s="655"/>
      <c r="DL958" s="116"/>
    </row>
    <row r="959" spans="2:116" ht="15.75" customHeight="1" x14ac:dyDescent="0.3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874"/>
      <c r="AR959" s="874"/>
      <c r="AS959" s="874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43"/>
      <c r="BN959" s="116"/>
      <c r="BW959" s="1"/>
      <c r="BX959" s="1"/>
      <c r="BY959" s="1"/>
      <c r="BZ959" s="655"/>
      <c r="CB959" s="656"/>
      <c r="CC959" s="1"/>
      <c r="CD959" s="1"/>
      <c r="CE959" s="1"/>
      <c r="CF959" s="1"/>
      <c r="CG959" s="1"/>
      <c r="CH959" s="1"/>
      <c r="CI959" s="1"/>
      <c r="CJ959" s="1"/>
      <c r="CR959" s="305"/>
      <c r="CT959" s="116"/>
      <c r="DB959" s="1"/>
      <c r="DC959" s="1"/>
      <c r="DD959" s="1"/>
      <c r="DE959" s="1"/>
      <c r="DF959" s="1"/>
      <c r="DG959" s="1"/>
      <c r="DH959" s="1"/>
      <c r="DI959" s="1"/>
      <c r="DJ959" s="655"/>
      <c r="DL959" s="116"/>
    </row>
    <row r="960" spans="2:116" ht="15.75" customHeight="1" x14ac:dyDescent="0.3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874"/>
      <c r="AR960" s="874"/>
      <c r="AS960" s="874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43"/>
      <c r="BN960" s="116"/>
      <c r="BW960" s="1"/>
      <c r="BX960" s="1"/>
      <c r="BY960" s="1"/>
      <c r="BZ960" s="655"/>
      <c r="CB960" s="656"/>
      <c r="CC960" s="1"/>
      <c r="CD960" s="1"/>
      <c r="CE960" s="1"/>
      <c r="CF960" s="1"/>
      <c r="CG960" s="1"/>
      <c r="CH960" s="1"/>
      <c r="CI960" s="1"/>
      <c r="CJ960" s="1"/>
      <c r="CR960" s="305"/>
      <c r="CT960" s="116"/>
      <c r="DB960" s="1"/>
      <c r="DC960" s="1"/>
      <c r="DD960" s="1"/>
      <c r="DE960" s="1"/>
      <c r="DF960" s="1"/>
      <c r="DG960" s="1"/>
      <c r="DH960" s="1"/>
      <c r="DI960" s="1"/>
      <c r="DJ960" s="655"/>
      <c r="DL960" s="116"/>
    </row>
    <row r="961" spans="2:116" ht="15.75" customHeight="1" x14ac:dyDescent="0.3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874"/>
      <c r="AR961" s="874"/>
      <c r="AS961" s="874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43"/>
      <c r="BN961" s="116"/>
      <c r="BW961" s="1"/>
      <c r="BX961" s="1"/>
      <c r="BY961" s="1"/>
      <c r="BZ961" s="655"/>
      <c r="CB961" s="656"/>
      <c r="CC961" s="1"/>
      <c r="CD961" s="1"/>
      <c r="CE961" s="1"/>
      <c r="CF961" s="1"/>
      <c r="CG961" s="1"/>
      <c r="CH961" s="1"/>
      <c r="CI961" s="1"/>
      <c r="CJ961" s="1"/>
      <c r="CR961" s="305"/>
      <c r="CT961" s="116"/>
      <c r="DB961" s="1"/>
      <c r="DC961" s="1"/>
      <c r="DD961" s="1"/>
      <c r="DE961" s="1"/>
      <c r="DF961" s="1"/>
      <c r="DG961" s="1"/>
      <c r="DH961" s="1"/>
      <c r="DI961" s="1"/>
      <c r="DJ961" s="655"/>
      <c r="DL961" s="116"/>
    </row>
    <row r="962" spans="2:116" ht="15.75" customHeight="1" x14ac:dyDescent="0.3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874"/>
      <c r="AR962" s="874"/>
      <c r="AS962" s="874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43"/>
      <c r="BN962" s="116"/>
      <c r="BW962" s="1"/>
      <c r="BX962" s="1"/>
      <c r="BY962" s="1"/>
      <c r="BZ962" s="655"/>
      <c r="CB962" s="656"/>
      <c r="CC962" s="1"/>
      <c r="CD962" s="1"/>
      <c r="CE962" s="1"/>
      <c r="CF962" s="1"/>
      <c r="CG962" s="1"/>
      <c r="CH962" s="1"/>
      <c r="CI962" s="1"/>
      <c r="CJ962" s="1"/>
      <c r="CR962" s="305"/>
      <c r="CT962" s="116"/>
      <c r="DB962" s="1"/>
      <c r="DC962" s="1"/>
      <c r="DD962" s="1"/>
      <c r="DE962" s="1"/>
      <c r="DF962" s="1"/>
      <c r="DG962" s="1"/>
      <c r="DH962" s="1"/>
      <c r="DI962" s="1"/>
      <c r="DJ962" s="655"/>
      <c r="DL962" s="116"/>
    </row>
    <row r="963" spans="2:116" ht="15.75" customHeight="1" x14ac:dyDescent="0.3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874"/>
      <c r="AR963" s="874"/>
      <c r="AS963" s="874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43"/>
      <c r="BN963" s="116"/>
      <c r="BW963" s="1"/>
      <c r="BX963" s="1"/>
      <c r="BY963" s="1"/>
      <c r="BZ963" s="655"/>
      <c r="CB963" s="656"/>
      <c r="CC963" s="1"/>
      <c r="CD963" s="1"/>
      <c r="CE963" s="1"/>
      <c r="CF963" s="1"/>
      <c r="CG963" s="1"/>
      <c r="CH963" s="1"/>
      <c r="CI963" s="1"/>
      <c r="CJ963" s="1"/>
      <c r="CR963" s="305"/>
      <c r="CT963" s="116"/>
      <c r="DB963" s="1"/>
      <c r="DC963" s="1"/>
      <c r="DD963" s="1"/>
      <c r="DE963" s="1"/>
      <c r="DF963" s="1"/>
      <c r="DG963" s="1"/>
      <c r="DH963" s="1"/>
      <c r="DI963" s="1"/>
      <c r="DJ963" s="655"/>
      <c r="DL963" s="116"/>
    </row>
    <row r="964" spans="2:116" ht="15.75" customHeight="1" x14ac:dyDescent="0.3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874"/>
      <c r="AR964" s="874"/>
      <c r="AS964" s="874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43"/>
      <c r="BN964" s="116"/>
      <c r="BW964" s="1"/>
      <c r="BX964" s="1"/>
      <c r="BY964" s="1"/>
      <c r="BZ964" s="655"/>
      <c r="CB964" s="656"/>
      <c r="CC964" s="1"/>
      <c r="CD964" s="1"/>
      <c r="CE964" s="1"/>
      <c r="CF964" s="1"/>
      <c r="CG964" s="1"/>
      <c r="CH964" s="1"/>
      <c r="CI964" s="1"/>
      <c r="CJ964" s="1"/>
      <c r="CR964" s="305"/>
      <c r="CT964" s="116"/>
      <c r="DB964" s="1"/>
      <c r="DC964" s="1"/>
      <c r="DD964" s="1"/>
      <c r="DE964" s="1"/>
      <c r="DF964" s="1"/>
      <c r="DG964" s="1"/>
      <c r="DH964" s="1"/>
      <c r="DI964" s="1"/>
      <c r="DJ964" s="655"/>
      <c r="DL964" s="116"/>
    </row>
    <row r="965" spans="2:116" ht="15.75" customHeight="1" x14ac:dyDescent="0.3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874"/>
      <c r="AR965" s="874"/>
      <c r="AS965" s="874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43"/>
      <c r="BN965" s="116"/>
      <c r="BW965" s="1"/>
      <c r="BX965" s="1"/>
      <c r="BY965" s="1"/>
      <c r="BZ965" s="655"/>
      <c r="CB965" s="656"/>
      <c r="CC965" s="1"/>
      <c r="CD965" s="1"/>
      <c r="CE965" s="1"/>
      <c r="CF965" s="1"/>
      <c r="CG965" s="1"/>
      <c r="CH965" s="1"/>
      <c r="CI965" s="1"/>
      <c r="CJ965" s="1"/>
      <c r="CR965" s="305"/>
      <c r="CT965" s="116"/>
      <c r="DB965" s="1"/>
      <c r="DC965" s="1"/>
      <c r="DD965" s="1"/>
      <c r="DE965" s="1"/>
      <c r="DF965" s="1"/>
      <c r="DG965" s="1"/>
      <c r="DH965" s="1"/>
      <c r="DI965" s="1"/>
      <c r="DJ965" s="655"/>
      <c r="DL965" s="116"/>
    </row>
    <row r="966" spans="2:116" ht="15.75" customHeight="1" x14ac:dyDescent="0.3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874"/>
      <c r="AR966" s="874"/>
      <c r="AS966" s="874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43"/>
      <c r="BN966" s="116"/>
      <c r="BW966" s="1"/>
      <c r="BX966" s="1"/>
      <c r="BY966" s="1"/>
      <c r="BZ966" s="655"/>
      <c r="CB966" s="656"/>
      <c r="CC966" s="1"/>
      <c r="CD966" s="1"/>
      <c r="CE966" s="1"/>
      <c r="CF966" s="1"/>
      <c r="CG966" s="1"/>
      <c r="CH966" s="1"/>
      <c r="CI966" s="1"/>
      <c r="CJ966" s="1"/>
      <c r="CR966" s="305"/>
      <c r="CT966" s="116"/>
      <c r="DB966" s="1"/>
      <c r="DC966" s="1"/>
      <c r="DD966" s="1"/>
      <c r="DE966" s="1"/>
      <c r="DF966" s="1"/>
      <c r="DG966" s="1"/>
      <c r="DH966" s="1"/>
      <c r="DI966" s="1"/>
      <c r="DJ966" s="655"/>
      <c r="DL966" s="116"/>
    </row>
    <row r="967" spans="2:116" ht="15.75" customHeight="1" x14ac:dyDescent="0.3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874"/>
      <c r="AR967" s="874"/>
      <c r="AS967" s="874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43"/>
      <c r="BN967" s="116"/>
      <c r="BW967" s="1"/>
      <c r="BX967" s="1"/>
      <c r="BY967" s="1"/>
      <c r="BZ967" s="655"/>
      <c r="CB967" s="656"/>
      <c r="CC967" s="1"/>
      <c r="CD967" s="1"/>
      <c r="CE967" s="1"/>
      <c r="CF967" s="1"/>
      <c r="CG967" s="1"/>
      <c r="CH967" s="1"/>
      <c r="CI967" s="1"/>
      <c r="CJ967" s="1"/>
      <c r="CR967" s="305"/>
      <c r="CT967" s="116"/>
      <c r="DB967" s="1"/>
      <c r="DC967" s="1"/>
      <c r="DD967" s="1"/>
      <c r="DE967" s="1"/>
      <c r="DF967" s="1"/>
      <c r="DG967" s="1"/>
      <c r="DH967" s="1"/>
      <c r="DI967" s="1"/>
      <c r="DJ967" s="655"/>
      <c r="DL967" s="116"/>
    </row>
    <row r="968" spans="2:116" ht="15.75" customHeight="1" x14ac:dyDescent="0.3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874"/>
      <c r="AR968" s="874"/>
      <c r="AS968" s="874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43"/>
      <c r="BN968" s="116"/>
      <c r="BW968" s="1"/>
      <c r="BX968" s="1"/>
      <c r="BY968" s="1"/>
      <c r="BZ968" s="655"/>
      <c r="CB968" s="656"/>
      <c r="CC968" s="1"/>
      <c r="CD968" s="1"/>
      <c r="CE968" s="1"/>
      <c r="CF968" s="1"/>
      <c r="CG968" s="1"/>
      <c r="CH968" s="1"/>
      <c r="CI968" s="1"/>
      <c r="CJ968" s="1"/>
      <c r="CR968" s="305"/>
      <c r="CT968" s="116"/>
      <c r="DB968" s="1"/>
      <c r="DC968" s="1"/>
      <c r="DD968" s="1"/>
      <c r="DE968" s="1"/>
      <c r="DF968" s="1"/>
      <c r="DG968" s="1"/>
      <c r="DH968" s="1"/>
      <c r="DI968" s="1"/>
      <c r="DJ968" s="655"/>
      <c r="DL968" s="116"/>
    </row>
    <row r="969" spans="2:116" ht="15.75" customHeight="1" x14ac:dyDescent="0.3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874"/>
      <c r="AR969" s="874"/>
      <c r="AS969" s="874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43"/>
      <c r="BN969" s="116"/>
      <c r="BW969" s="1"/>
      <c r="BX969" s="1"/>
      <c r="BY969" s="1"/>
      <c r="BZ969" s="655"/>
      <c r="CB969" s="656"/>
      <c r="CC969" s="1"/>
      <c r="CD969" s="1"/>
      <c r="CE969" s="1"/>
      <c r="CF969" s="1"/>
      <c r="CG969" s="1"/>
      <c r="CH969" s="1"/>
      <c r="CI969" s="1"/>
      <c r="CJ969" s="1"/>
      <c r="CR969" s="305"/>
      <c r="CT969" s="116"/>
      <c r="DB969" s="1"/>
      <c r="DC969" s="1"/>
      <c r="DD969" s="1"/>
      <c r="DE969" s="1"/>
      <c r="DF969" s="1"/>
      <c r="DG969" s="1"/>
      <c r="DH969" s="1"/>
      <c r="DI969" s="1"/>
      <c r="DJ969" s="655"/>
      <c r="DL969" s="116"/>
    </row>
    <row r="970" spans="2:116" ht="15.75" customHeight="1" x14ac:dyDescent="0.3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874"/>
      <c r="AR970" s="874"/>
      <c r="AS970" s="874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43"/>
      <c r="BN970" s="116"/>
      <c r="BW970" s="1"/>
      <c r="BX970" s="1"/>
      <c r="BY970" s="1"/>
      <c r="BZ970" s="655"/>
      <c r="CB970" s="656"/>
      <c r="CC970" s="1"/>
      <c r="CD970" s="1"/>
      <c r="CE970" s="1"/>
      <c r="CF970" s="1"/>
      <c r="CG970" s="1"/>
      <c r="CH970" s="1"/>
      <c r="CI970" s="1"/>
      <c r="CJ970" s="1"/>
      <c r="CR970" s="305"/>
      <c r="CT970" s="116"/>
      <c r="DB970" s="1"/>
      <c r="DC970" s="1"/>
      <c r="DD970" s="1"/>
      <c r="DE970" s="1"/>
      <c r="DF970" s="1"/>
      <c r="DG970" s="1"/>
      <c r="DH970" s="1"/>
      <c r="DI970" s="1"/>
      <c r="DJ970" s="655"/>
      <c r="DL970" s="116"/>
    </row>
    <row r="971" spans="2:116" ht="15.75" customHeight="1" x14ac:dyDescent="0.3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874"/>
      <c r="AR971" s="874"/>
      <c r="AS971" s="874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43"/>
      <c r="BN971" s="116"/>
      <c r="BW971" s="1"/>
      <c r="BX971" s="1"/>
      <c r="BY971" s="1"/>
      <c r="BZ971" s="655"/>
      <c r="CB971" s="656"/>
      <c r="CC971" s="1"/>
      <c r="CD971" s="1"/>
      <c r="CE971" s="1"/>
      <c r="CF971" s="1"/>
      <c r="CG971" s="1"/>
      <c r="CH971" s="1"/>
      <c r="CI971" s="1"/>
      <c r="CJ971" s="1"/>
      <c r="CR971" s="305"/>
      <c r="CT971" s="116"/>
      <c r="DB971" s="1"/>
      <c r="DC971" s="1"/>
      <c r="DD971" s="1"/>
      <c r="DE971" s="1"/>
      <c r="DF971" s="1"/>
      <c r="DG971" s="1"/>
      <c r="DH971" s="1"/>
      <c r="DI971" s="1"/>
      <c r="DJ971" s="655"/>
      <c r="DL971" s="116"/>
    </row>
    <row r="972" spans="2:116" ht="15.75" customHeight="1" x14ac:dyDescent="0.3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874"/>
      <c r="AR972" s="874"/>
      <c r="AS972" s="874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43"/>
      <c r="BN972" s="116"/>
      <c r="BW972" s="1"/>
      <c r="BX972" s="1"/>
      <c r="BY972" s="1"/>
      <c r="BZ972" s="655"/>
      <c r="CB972" s="656"/>
      <c r="CC972" s="1"/>
      <c r="CD972" s="1"/>
      <c r="CE972" s="1"/>
      <c r="CF972" s="1"/>
      <c r="CG972" s="1"/>
      <c r="CH972" s="1"/>
      <c r="CI972" s="1"/>
      <c r="CJ972" s="1"/>
      <c r="CR972" s="305"/>
      <c r="CT972" s="116"/>
      <c r="DB972" s="1"/>
      <c r="DC972" s="1"/>
      <c r="DD972" s="1"/>
      <c r="DE972" s="1"/>
      <c r="DF972" s="1"/>
      <c r="DG972" s="1"/>
      <c r="DH972" s="1"/>
      <c r="DI972" s="1"/>
      <c r="DJ972" s="655"/>
      <c r="DL972" s="116"/>
    </row>
    <row r="973" spans="2:116" ht="15.75" customHeight="1" x14ac:dyDescent="0.3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874"/>
      <c r="AR973" s="874"/>
      <c r="AS973" s="874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43"/>
      <c r="BN973" s="116"/>
      <c r="BW973" s="1"/>
      <c r="BX973" s="1"/>
      <c r="BY973" s="1"/>
      <c r="BZ973" s="655"/>
      <c r="CB973" s="656"/>
      <c r="CC973" s="1"/>
      <c r="CD973" s="1"/>
      <c r="CE973" s="1"/>
      <c r="CF973" s="1"/>
      <c r="CG973" s="1"/>
      <c r="CH973" s="1"/>
      <c r="CI973" s="1"/>
      <c r="CJ973" s="1"/>
      <c r="CR973" s="305"/>
      <c r="CT973" s="116"/>
      <c r="DB973" s="1"/>
      <c r="DC973" s="1"/>
      <c r="DD973" s="1"/>
      <c r="DE973" s="1"/>
      <c r="DF973" s="1"/>
      <c r="DG973" s="1"/>
      <c r="DH973" s="1"/>
      <c r="DI973" s="1"/>
      <c r="DJ973" s="655"/>
      <c r="DL973" s="116"/>
    </row>
    <row r="974" spans="2:116" ht="15.75" customHeight="1" x14ac:dyDescent="0.3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874"/>
      <c r="AR974" s="874"/>
      <c r="AS974" s="874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43"/>
      <c r="BN974" s="116"/>
      <c r="BW974" s="1"/>
      <c r="BX974" s="1"/>
      <c r="BY974" s="1"/>
      <c r="BZ974" s="655"/>
      <c r="CB974" s="656"/>
      <c r="CC974" s="1"/>
      <c r="CD974" s="1"/>
      <c r="CE974" s="1"/>
      <c r="CF974" s="1"/>
      <c r="CG974" s="1"/>
      <c r="CH974" s="1"/>
      <c r="CI974" s="1"/>
      <c r="CJ974" s="1"/>
      <c r="CR974" s="305"/>
      <c r="CT974" s="116"/>
      <c r="DB974" s="1"/>
      <c r="DC974" s="1"/>
      <c r="DD974" s="1"/>
      <c r="DE974" s="1"/>
      <c r="DF974" s="1"/>
      <c r="DG974" s="1"/>
      <c r="DH974" s="1"/>
      <c r="DI974" s="1"/>
      <c r="DJ974" s="655"/>
      <c r="DL974" s="116"/>
    </row>
    <row r="975" spans="2:116" ht="15.75" customHeight="1" x14ac:dyDescent="0.3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874"/>
      <c r="AR975" s="874"/>
      <c r="AS975" s="874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43"/>
      <c r="BN975" s="116"/>
      <c r="BW975" s="1"/>
      <c r="BX975" s="1"/>
      <c r="BY975" s="1"/>
      <c r="BZ975" s="655"/>
      <c r="CB975" s="656"/>
      <c r="CC975" s="1"/>
      <c r="CD975" s="1"/>
      <c r="CE975" s="1"/>
      <c r="CF975" s="1"/>
      <c r="CG975" s="1"/>
      <c r="CH975" s="1"/>
      <c r="CI975" s="1"/>
      <c r="CJ975" s="1"/>
      <c r="CR975" s="305"/>
      <c r="CT975" s="116"/>
      <c r="DB975" s="1"/>
      <c r="DC975" s="1"/>
      <c r="DD975" s="1"/>
      <c r="DE975" s="1"/>
      <c r="DF975" s="1"/>
      <c r="DG975" s="1"/>
      <c r="DH975" s="1"/>
      <c r="DI975" s="1"/>
      <c r="DJ975" s="655"/>
      <c r="DL975" s="116"/>
    </row>
    <row r="976" spans="2:116" ht="15.75" customHeight="1" x14ac:dyDescent="0.3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874"/>
      <c r="AR976" s="874"/>
      <c r="AS976" s="874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43"/>
      <c r="BN976" s="116"/>
      <c r="BW976" s="1"/>
      <c r="BX976" s="1"/>
      <c r="BY976" s="1"/>
      <c r="BZ976" s="655"/>
      <c r="CB976" s="656"/>
      <c r="CC976" s="1"/>
      <c r="CD976" s="1"/>
      <c r="CE976" s="1"/>
      <c r="CF976" s="1"/>
      <c r="CG976" s="1"/>
      <c r="CH976" s="1"/>
      <c r="CI976" s="1"/>
      <c r="CJ976" s="1"/>
      <c r="CR976" s="305"/>
      <c r="CT976" s="116"/>
      <c r="DB976" s="1"/>
      <c r="DC976" s="1"/>
      <c r="DD976" s="1"/>
      <c r="DE976" s="1"/>
      <c r="DF976" s="1"/>
      <c r="DG976" s="1"/>
      <c r="DH976" s="1"/>
      <c r="DI976" s="1"/>
      <c r="DJ976" s="655"/>
      <c r="DL976" s="116"/>
    </row>
    <row r="977" spans="2:116" ht="15.75" customHeight="1" x14ac:dyDescent="0.3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874"/>
      <c r="AR977" s="874"/>
      <c r="AS977" s="874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43"/>
      <c r="BN977" s="116"/>
      <c r="BW977" s="1"/>
      <c r="BX977" s="1"/>
      <c r="BY977" s="1"/>
      <c r="BZ977" s="655"/>
      <c r="CB977" s="656"/>
      <c r="CC977" s="1"/>
      <c r="CD977" s="1"/>
      <c r="CE977" s="1"/>
      <c r="CF977" s="1"/>
      <c r="CG977" s="1"/>
      <c r="CH977" s="1"/>
      <c r="CI977" s="1"/>
      <c r="CJ977" s="1"/>
      <c r="CR977" s="305"/>
      <c r="CT977" s="116"/>
      <c r="DB977" s="1"/>
      <c r="DC977" s="1"/>
      <c r="DD977" s="1"/>
      <c r="DE977" s="1"/>
      <c r="DF977" s="1"/>
      <c r="DG977" s="1"/>
      <c r="DH977" s="1"/>
      <c r="DI977" s="1"/>
      <c r="DJ977" s="655"/>
      <c r="DL977" s="116"/>
    </row>
    <row r="978" spans="2:116" ht="15.75" customHeight="1" x14ac:dyDescent="0.3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874"/>
      <c r="AR978" s="874"/>
      <c r="AS978" s="874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43"/>
      <c r="BN978" s="116"/>
      <c r="BW978" s="1"/>
      <c r="BX978" s="1"/>
      <c r="BY978" s="1"/>
      <c r="BZ978" s="655"/>
      <c r="CB978" s="656"/>
      <c r="CG978" s="1"/>
      <c r="CH978" s="1"/>
      <c r="CI978" s="1"/>
      <c r="CJ978" s="1"/>
      <c r="CR978" s="305"/>
      <c r="CT978" s="116"/>
      <c r="DB978" s="1"/>
      <c r="DC978" s="1"/>
      <c r="DD978" s="1"/>
      <c r="DE978" s="1"/>
      <c r="DF978" s="1"/>
      <c r="DG978" s="1"/>
      <c r="DH978" s="1"/>
      <c r="DI978" s="1"/>
      <c r="DJ978" s="655"/>
      <c r="DL978" s="116"/>
    </row>
    <row r="979" spans="2:116" ht="15.75" customHeight="1" x14ac:dyDescent="0.3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874"/>
      <c r="AR979" s="874"/>
      <c r="AS979" s="874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43"/>
      <c r="BN979" s="116"/>
      <c r="BW979" s="1"/>
      <c r="BX979" s="1"/>
      <c r="BY979" s="1"/>
      <c r="BZ979" s="655"/>
      <c r="CB979" s="656"/>
      <c r="CG979" s="1"/>
      <c r="CH979" s="1"/>
      <c r="CI979" s="1"/>
      <c r="CJ979" s="1"/>
      <c r="CR979" s="305"/>
      <c r="CT979" s="116"/>
      <c r="DB979" s="1"/>
      <c r="DC979" s="1"/>
      <c r="DD979" s="1"/>
      <c r="DE979" s="1"/>
      <c r="DF979" s="1"/>
      <c r="DG979" s="1"/>
      <c r="DH979" s="1"/>
      <c r="DI979" s="1"/>
      <c r="DJ979" s="655"/>
      <c r="DL979" s="116"/>
    </row>
    <row r="980" spans="2:116" ht="15.75" customHeight="1" x14ac:dyDescent="0.3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874"/>
      <c r="AR980" s="874"/>
      <c r="AS980" s="874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43"/>
      <c r="BN980" s="116"/>
      <c r="BW980" s="1"/>
      <c r="BX980" s="1"/>
      <c r="BY980" s="1"/>
      <c r="BZ980" s="655"/>
      <c r="CB980" s="656"/>
      <c r="CG980" s="1"/>
      <c r="CH980" s="1"/>
      <c r="CI980" s="1"/>
      <c r="CJ980" s="1"/>
      <c r="CR980" s="305"/>
      <c r="CT980" s="116"/>
      <c r="DB980" s="1"/>
      <c r="DC980" s="1"/>
      <c r="DD980" s="1"/>
      <c r="DE980" s="1"/>
      <c r="DF980" s="1"/>
      <c r="DG980" s="1"/>
      <c r="DH980" s="1"/>
      <c r="DI980" s="1"/>
      <c r="DJ980" s="655"/>
      <c r="DL980" s="116"/>
    </row>
    <row r="981" spans="2:116" ht="15.75" customHeight="1" x14ac:dyDescent="0.3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874"/>
      <c r="AR981" s="874"/>
      <c r="AS981" s="874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43"/>
      <c r="BN981" s="116"/>
      <c r="BW981" s="1"/>
      <c r="BX981" s="1"/>
      <c r="BY981" s="1"/>
      <c r="BZ981" s="655"/>
      <c r="CB981" s="656"/>
      <c r="CG981" s="1"/>
      <c r="CH981" s="1"/>
      <c r="CI981" s="1"/>
      <c r="CJ981" s="1"/>
      <c r="CR981" s="305"/>
      <c r="CT981" s="116"/>
      <c r="DB981" s="1"/>
      <c r="DC981" s="1"/>
      <c r="DD981" s="1"/>
      <c r="DE981" s="1"/>
      <c r="DF981" s="1"/>
      <c r="DG981" s="1"/>
      <c r="DH981" s="1"/>
      <c r="DI981" s="1"/>
      <c r="DJ981" s="655"/>
      <c r="DL981" s="116"/>
    </row>
    <row r="982" spans="2:116" ht="15.75" customHeight="1" x14ac:dyDescent="0.3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874"/>
      <c r="AR982" s="874"/>
      <c r="AS982" s="874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43"/>
      <c r="BN982" s="116"/>
      <c r="BW982" s="1"/>
      <c r="BX982" s="1"/>
      <c r="BY982" s="1"/>
      <c r="BZ982" s="655"/>
      <c r="CB982" s="656"/>
      <c r="CG982" s="1"/>
      <c r="CH982" s="1"/>
      <c r="CI982" s="1"/>
      <c r="CJ982" s="1"/>
      <c r="CR982" s="305"/>
      <c r="CT982" s="116"/>
      <c r="DB982" s="1"/>
      <c r="DC982" s="1"/>
      <c r="DD982" s="1"/>
      <c r="DE982" s="1"/>
      <c r="DF982" s="1"/>
      <c r="DG982" s="1"/>
      <c r="DH982" s="1"/>
      <c r="DI982" s="1"/>
      <c r="DJ982" s="655"/>
      <c r="DL982" s="116"/>
    </row>
    <row r="983" spans="2:116" ht="15.75" customHeight="1" x14ac:dyDescent="0.3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874"/>
      <c r="AR983" s="874"/>
      <c r="AS983" s="874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43"/>
      <c r="BN983" s="116"/>
      <c r="BW983" s="1"/>
      <c r="BX983" s="1"/>
      <c r="BY983" s="1"/>
      <c r="BZ983" s="655"/>
      <c r="CB983" s="656"/>
      <c r="CG983" s="1"/>
      <c r="CH983" s="1"/>
      <c r="CI983" s="1"/>
      <c r="CJ983" s="1"/>
      <c r="CR983" s="305"/>
      <c r="CT983" s="116"/>
      <c r="DB983" s="1"/>
      <c r="DC983" s="1"/>
      <c r="DD983" s="1"/>
      <c r="DE983" s="1"/>
      <c r="DF983" s="1"/>
      <c r="DG983" s="1"/>
      <c r="DH983" s="1"/>
      <c r="DI983" s="1"/>
      <c r="DJ983" s="655"/>
      <c r="DL983" s="116"/>
    </row>
    <row r="984" spans="2:116" ht="15.75" customHeight="1" x14ac:dyDescent="0.3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874"/>
      <c r="AR984" s="874"/>
      <c r="AS984" s="874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43"/>
      <c r="BN984" s="116"/>
      <c r="BW984" s="1"/>
      <c r="BX984" s="1"/>
      <c r="BY984" s="1"/>
      <c r="BZ984" s="655"/>
      <c r="CB984" s="656"/>
      <c r="CG984" s="1"/>
      <c r="CH984" s="1"/>
      <c r="CI984" s="1"/>
      <c r="CJ984" s="1"/>
      <c r="CR984" s="305"/>
      <c r="CT984" s="116"/>
      <c r="DB984" s="1"/>
      <c r="DC984" s="1"/>
      <c r="DD984" s="1"/>
      <c r="DE984" s="1"/>
      <c r="DF984" s="1"/>
      <c r="DG984" s="1"/>
      <c r="DH984" s="1"/>
      <c r="DI984" s="1"/>
      <c r="DJ984" s="655"/>
      <c r="DL984" s="116"/>
    </row>
    <row r="985" spans="2:116" ht="15.75" customHeight="1" x14ac:dyDescent="0.3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874"/>
      <c r="AR985" s="874"/>
      <c r="AS985" s="874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43"/>
      <c r="BN985" s="116"/>
      <c r="BW985" s="1"/>
      <c r="BX985" s="1"/>
      <c r="BY985" s="1"/>
      <c r="BZ985" s="655"/>
      <c r="CB985" s="656"/>
      <c r="CG985" s="1"/>
      <c r="CH985" s="1"/>
      <c r="CI985" s="1"/>
      <c r="CJ985" s="1"/>
      <c r="CR985" s="305"/>
      <c r="CT985" s="116"/>
      <c r="DB985" s="1"/>
      <c r="DC985" s="1"/>
      <c r="DD985" s="1"/>
      <c r="DE985" s="1"/>
      <c r="DF985" s="1"/>
      <c r="DG985" s="1"/>
      <c r="DH985" s="1"/>
      <c r="DI985" s="1"/>
      <c r="DJ985" s="655"/>
      <c r="DL985" s="116"/>
    </row>
    <row r="986" spans="2:116" ht="15.75" customHeight="1" x14ac:dyDescent="0.3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874"/>
      <c r="AR986" s="874"/>
      <c r="AS986" s="874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43"/>
      <c r="BN986" s="116"/>
      <c r="BW986" s="1"/>
      <c r="BX986" s="1"/>
      <c r="BY986" s="1"/>
      <c r="BZ986" s="655"/>
      <c r="CB986" s="656"/>
      <c r="CG986" s="1"/>
      <c r="CH986" s="1"/>
      <c r="CI986" s="1"/>
      <c r="CJ986" s="1"/>
      <c r="CR986" s="305"/>
      <c r="CT986" s="116"/>
      <c r="DB986" s="1"/>
      <c r="DC986" s="1"/>
      <c r="DD986" s="1"/>
      <c r="DE986" s="1"/>
      <c r="DF986" s="1"/>
      <c r="DG986" s="1"/>
      <c r="DH986" s="1"/>
      <c r="DI986" s="1"/>
      <c r="DJ986" s="655"/>
      <c r="DL986" s="116"/>
    </row>
    <row r="987" spans="2:116" ht="15.75" customHeight="1" x14ac:dyDescent="0.3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874"/>
      <c r="AR987" s="874"/>
      <c r="AS987" s="874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43"/>
      <c r="BN987" s="116"/>
      <c r="BW987" s="1"/>
      <c r="BX987" s="1"/>
      <c r="BY987" s="1"/>
      <c r="BZ987" s="655"/>
      <c r="CB987" s="656"/>
      <c r="CG987" s="1"/>
      <c r="CH987" s="1"/>
      <c r="CI987" s="1"/>
      <c r="CJ987" s="1"/>
      <c r="CR987" s="305"/>
      <c r="CT987" s="116"/>
      <c r="DB987" s="1"/>
      <c r="DC987" s="1"/>
      <c r="DD987" s="1"/>
      <c r="DE987" s="1"/>
      <c r="DF987" s="1"/>
      <c r="DG987" s="1"/>
      <c r="DH987" s="1"/>
      <c r="DI987" s="1"/>
      <c r="DJ987" s="655"/>
      <c r="DL987" s="116"/>
    </row>
    <row r="988" spans="2:116" ht="15.75" customHeight="1" x14ac:dyDescent="0.3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874"/>
      <c r="AR988" s="874"/>
      <c r="AS988" s="874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43"/>
      <c r="BN988" s="116"/>
      <c r="BW988" s="1"/>
      <c r="BX988" s="1"/>
      <c r="BY988" s="1"/>
      <c r="BZ988" s="655"/>
      <c r="CB988" s="656"/>
      <c r="CG988" s="1"/>
      <c r="CH988" s="1"/>
      <c r="CI988" s="1"/>
      <c r="CJ988" s="1"/>
      <c r="CR988" s="305"/>
      <c r="CT988" s="116"/>
      <c r="DB988" s="1"/>
      <c r="DC988" s="1"/>
      <c r="DD988" s="1"/>
      <c r="DE988" s="1"/>
      <c r="DF988" s="1"/>
      <c r="DG988" s="1"/>
      <c r="DH988" s="1"/>
      <c r="DI988" s="1"/>
      <c r="DJ988" s="655"/>
      <c r="DL988" s="116"/>
    </row>
    <row r="989" spans="2:116" ht="15.75" customHeight="1" x14ac:dyDescent="0.3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874"/>
      <c r="AR989" s="874"/>
      <c r="AS989" s="874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43"/>
      <c r="BN989" s="116"/>
      <c r="BW989" s="1"/>
      <c r="BX989" s="1"/>
      <c r="BY989" s="1"/>
      <c r="BZ989" s="655"/>
      <c r="CB989" s="656"/>
      <c r="CG989" s="1"/>
      <c r="CH989" s="1"/>
      <c r="CI989" s="1"/>
      <c r="CJ989" s="1"/>
      <c r="CR989" s="305"/>
      <c r="CT989" s="116"/>
      <c r="DB989" s="1"/>
      <c r="DC989" s="1"/>
      <c r="DD989" s="1"/>
      <c r="DE989" s="1"/>
      <c r="DF989" s="1"/>
      <c r="DG989" s="1"/>
      <c r="DH989" s="1"/>
      <c r="DI989" s="1"/>
      <c r="DJ989" s="655"/>
      <c r="DL989" s="116"/>
    </row>
    <row r="990" spans="2:116" ht="15.75" customHeight="1" x14ac:dyDescent="0.3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874"/>
      <c r="AR990" s="874"/>
      <c r="AS990" s="874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43"/>
      <c r="BN990" s="116"/>
      <c r="BW990" s="1"/>
      <c r="BX990" s="1"/>
      <c r="BY990" s="1"/>
      <c r="BZ990" s="655"/>
      <c r="CB990" s="656"/>
      <c r="CG990" s="1"/>
      <c r="CH990" s="1"/>
      <c r="CI990" s="1"/>
      <c r="CJ990" s="1"/>
      <c r="CR990" s="305"/>
      <c r="CT990" s="116"/>
      <c r="DB990" s="1"/>
      <c r="DC990" s="1"/>
      <c r="DD990" s="1"/>
      <c r="DE990" s="1"/>
      <c r="DF990" s="1"/>
      <c r="DG990" s="1"/>
      <c r="DH990" s="1"/>
      <c r="DI990" s="1"/>
      <c r="DJ990" s="655"/>
      <c r="DL990" s="116"/>
    </row>
    <row r="991" spans="2:116" ht="15.75" customHeight="1" x14ac:dyDescent="0.3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874"/>
      <c r="AR991" s="874"/>
      <c r="AS991" s="874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43"/>
      <c r="BN991" s="116"/>
      <c r="BW991" s="1"/>
      <c r="BX991" s="1"/>
      <c r="BY991" s="1"/>
      <c r="BZ991" s="655"/>
      <c r="CB991" s="656"/>
      <c r="CG991" s="1"/>
      <c r="CH991" s="1"/>
      <c r="CI991" s="1"/>
      <c r="CJ991" s="1"/>
      <c r="CR991" s="305"/>
      <c r="CT991" s="116"/>
      <c r="DB991" s="1"/>
      <c r="DC991" s="1"/>
      <c r="DD991" s="1"/>
      <c r="DE991" s="1"/>
      <c r="DF991" s="1"/>
      <c r="DG991" s="1"/>
      <c r="DH991" s="1"/>
      <c r="DI991" s="1"/>
      <c r="DJ991" s="655"/>
      <c r="DL991" s="116"/>
    </row>
    <row r="992" spans="2:116" ht="15.75" customHeight="1" x14ac:dyDescent="0.3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874"/>
      <c r="AR992" s="874"/>
      <c r="AS992" s="874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43"/>
      <c r="BN992" s="116"/>
      <c r="BW992" s="1"/>
      <c r="BX992" s="1"/>
      <c r="BY992" s="1"/>
      <c r="BZ992" s="655"/>
      <c r="CB992" s="656"/>
      <c r="CG992" s="1"/>
      <c r="CH992" s="1"/>
      <c r="CI992" s="1"/>
      <c r="CJ992" s="1"/>
      <c r="CR992" s="305"/>
      <c r="CT992" s="116"/>
      <c r="DB992" s="1"/>
      <c r="DC992" s="1"/>
      <c r="DD992" s="1"/>
      <c r="DE992" s="1"/>
      <c r="DF992" s="1"/>
      <c r="DG992" s="1"/>
      <c r="DH992" s="1"/>
      <c r="DI992" s="1"/>
      <c r="DJ992" s="655"/>
      <c r="DL992" s="116"/>
    </row>
    <row r="993" spans="2:116" ht="15.75" customHeight="1" x14ac:dyDescent="0.3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874"/>
      <c r="AR993" s="874"/>
      <c r="AS993" s="874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43"/>
      <c r="BN993" s="116"/>
      <c r="BW993" s="1"/>
      <c r="BX993" s="1"/>
      <c r="BY993" s="1"/>
      <c r="BZ993" s="655"/>
      <c r="CB993" s="656"/>
      <c r="CG993" s="1"/>
      <c r="CH993" s="1"/>
      <c r="CI993" s="1"/>
      <c r="CJ993" s="1"/>
      <c r="CR993" s="305"/>
      <c r="CT993" s="116"/>
      <c r="DB993" s="1"/>
      <c r="DC993" s="1"/>
      <c r="DD993" s="1"/>
      <c r="DE993" s="1"/>
      <c r="DF993" s="1"/>
      <c r="DG993" s="1"/>
      <c r="DH993" s="1"/>
      <c r="DI993" s="1"/>
      <c r="DJ993" s="655"/>
      <c r="DL993" s="116"/>
    </row>
    <row r="994" spans="2:116" ht="15.75" customHeight="1" x14ac:dyDescent="0.3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874"/>
      <c r="AR994" s="874"/>
      <c r="AS994" s="874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43"/>
      <c r="BN994" s="116"/>
      <c r="BW994" s="1"/>
      <c r="BX994" s="1"/>
      <c r="BY994" s="1"/>
      <c r="BZ994" s="655"/>
      <c r="CB994" s="656"/>
      <c r="CG994" s="1"/>
      <c r="CH994" s="1"/>
      <c r="CI994" s="1"/>
      <c r="CJ994" s="1"/>
      <c r="CR994" s="305"/>
      <c r="CT994" s="116"/>
      <c r="DB994" s="1"/>
      <c r="DC994" s="1"/>
      <c r="DD994" s="1"/>
      <c r="DE994" s="1"/>
      <c r="DF994" s="1"/>
      <c r="DG994" s="1"/>
      <c r="DH994" s="1"/>
      <c r="DI994" s="1"/>
      <c r="DJ994" s="655"/>
      <c r="DL994" s="116"/>
    </row>
    <row r="995" spans="2:116" ht="15.75" customHeight="1" x14ac:dyDescent="0.3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874"/>
      <c r="AR995" s="874"/>
      <c r="AS995" s="874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43"/>
      <c r="BN995" s="116"/>
      <c r="BW995" s="1"/>
      <c r="BX995" s="1"/>
      <c r="BY995" s="1"/>
      <c r="BZ995" s="655"/>
      <c r="CB995" s="656"/>
      <c r="CG995" s="1"/>
      <c r="CH995" s="1"/>
      <c r="CI995" s="1"/>
      <c r="CJ995" s="1"/>
      <c r="CR995" s="305"/>
      <c r="CT995" s="116"/>
      <c r="DB995" s="1"/>
      <c r="DC995" s="1"/>
      <c r="DD995" s="1"/>
      <c r="DE995" s="1"/>
      <c r="DF995" s="1"/>
      <c r="DG995" s="1"/>
      <c r="DH995" s="1"/>
      <c r="DI995" s="1"/>
      <c r="DJ995" s="655"/>
      <c r="DL995" s="116"/>
    </row>
    <row r="996" spans="2:116" ht="15.75" customHeight="1" x14ac:dyDescent="0.3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874"/>
      <c r="AR996" s="874"/>
      <c r="AS996" s="874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43"/>
      <c r="BN996" s="116"/>
      <c r="BW996" s="1"/>
      <c r="BX996" s="1"/>
      <c r="BY996" s="1"/>
      <c r="BZ996" s="655"/>
      <c r="CB996" s="656"/>
      <c r="CG996" s="1"/>
      <c r="CH996" s="1"/>
      <c r="CI996" s="1"/>
      <c r="CJ996" s="1"/>
      <c r="CR996" s="305"/>
      <c r="CT996" s="116"/>
      <c r="DB996" s="1"/>
      <c r="DC996" s="1"/>
      <c r="DD996" s="1"/>
      <c r="DE996" s="1"/>
      <c r="DF996" s="1"/>
      <c r="DG996" s="1"/>
      <c r="DH996" s="1"/>
      <c r="DI996" s="1"/>
      <c r="DJ996" s="655"/>
      <c r="DL996" s="116"/>
    </row>
    <row r="997" spans="2:116" ht="15.75" customHeight="1" x14ac:dyDescent="0.3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874"/>
      <c r="AR997" s="874"/>
      <c r="AS997" s="874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43"/>
      <c r="BN997" s="116"/>
      <c r="BW997" s="1"/>
      <c r="BX997" s="1"/>
      <c r="BY997" s="1"/>
      <c r="BZ997" s="655"/>
      <c r="CB997" s="656"/>
      <c r="CG997" s="1"/>
      <c r="CH997" s="1"/>
      <c r="CI997" s="1"/>
      <c r="CJ997" s="1"/>
      <c r="CR997" s="305"/>
      <c r="CT997" s="116"/>
      <c r="DB997" s="1"/>
      <c r="DC997" s="1"/>
      <c r="DD997" s="1"/>
      <c r="DE997" s="1"/>
      <c r="DF997" s="1"/>
      <c r="DG997" s="1"/>
      <c r="DH997" s="1"/>
      <c r="DI997" s="1"/>
      <c r="DJ997" s="655"/>
      <c r="DL997" s="116"/>
    </row>
    <row r="998" spans="2:116" ht="15.75" customHeight="1" x14ac:dyDescent="0.3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874"/>
      <c r="AR998" s="874"/>
      <c r="AS998" s="874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43"/>
      <c r="BN998" s="116"/>
      <c r="BW998" s="1"/>
      <c r="BX998" s="1"/>
      <c r="BY998" s="1"/>
      <c r="BZ998" s="655"/>
      <c r="CB998" s="656"/>
      <c r="CG998" s="1"/>
      <c r="CH998" s="1"/>
      <c r="CI998" s="1"/>
      <c r="CJ998" s="1"/>
      <c r="CR998" s="305"/>
      <c r="CT998" s="116"/>
      <c r="DB998" s="1"/>
      <c r="DC998" s="1"/>
      <c r="DD998" s="1"/>
      <c r="DE998" s="1"/>
      <c r="DF998" s="1"/>
      <c r="DG998" s="1"/>
      <c r="DH998" s="1"/>
      <c r="DI998" s="1"/>
      <c r="DJ998" s="655"/>
      <c r="DL998" s="116"/>
    </row>
    <row r="999" spans="2:116" ht="15.75" customHeight="1" x14ac:dyDescent="0.3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874"/>
      <c r="AR999" s="874"/>
      <c r="AS999" s="874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43"/>
      <c r="BN999" s="116"/>
      <c r="BW999" s="1"/>
      <c r="BX999" s="1"/>
      <c r="BY999" s="1"/>
      <c r="BZ999" s="655"/>
      <c r="CB999" s="656"/>
      <c r="CG999" s="1"/>
      <c r="CH999" s="1"/>
      <c r="CI999" s="1"/>
      <c r="CJ999" s="1"/>
      <c r="CR999" s="305"/>
      <c r="CT999" s="116"/>
      <c r="DB999" s="1"/>
      <c r="DC999" s="1"/>
      <c r="DD999" s="1"/>
      <c r="DE999" s="1"/>
      <c r="DF999" s="1"/>
      <c r="DG999" s="1"/>
      <c r="DH999" s="1"/>
      <c r="DI999" s="1"/>
      <c r="DJ999" s="655"/>
      <c r="DL999" s="116"/>
    </row>
    <row r="1000" spans="2:116" ht="15.75" customHeight="1" x14ac:dyDescent="0.3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874"/>
      <c r="AR1000" s="874"/>
      <c r="AS1000" s="874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43"/>
      <c r="BN1000" s="116"/>
      <c r="BW1000" s="1"/>
      <c r="BX1000" s="1"/>
      <c r="BY1000" s="1"/>
      <c r="BZ1000" s="655"/>
      <c r="CB1000" s="656"/>
      <c r="CG1000" s="1"/>
      <c r="CH1000" s="1"/>
      <c r="CI1000" s="1"/>
      <c r="CJ1000" s="1"/>
      <c r="CR1000" s="305"/>
      <c r="CT1000" s="116"/>
      <c r="DB1000" s="1"/>
      <c r="DC1000" s="1"/>
      <c r="DD1000" s="1"/>
      <c r="DE1000" s="1"/>
      <c r="DF1000" s="1"/>
      <c r="DG1000" s="1"/>
      <c r="DH1000" s="1"/>
      <c r="DI1000" s="1"/>
      <c r="DJ1000" s="655"/>
      <c r="DL1000" s="116"/>
    </row>
  </sheetData>
  <mergeCells count="20">
    <mergeCell ref="DF5:DI5"/>
    <mergeCell ref="L5:O5"/>
    <mergeCell ref="Q5:S5"/>
    <mergeCell ref="U5:V5"/>
    <mergeCell ref="Y5:AA5"/>
    <mergeCell ref="AE5:AG5"/>
    <mergeCell ref="AI5:AK5"/>
    <mergeCell ref="AN5:AP5"/>
    <mergeCell ref="CC3:CP3"/>
    <mergeCell ref="CU3:DA3"/>
    <mergeCell ref="AU5:BB5"/>
    <mergeCell ref="BO5:BQ5"/>
    <mergeCell ref="CC5:CI5"/>
    <mergeCell ref="CK5:CQ5"/>
    <mergeCell ref="CU5:DB5"/>
    <mergeCell ref="C3:H3"/>
    <mergeCell ref="L3:W3"/>
    <mergeCell ref="AE3:AK3"/>
    <mergeCell ref="AN3:BL3"/>
    <mergeCell ref="BO3:BV3"/>
  </mergeCells>
  <phoneticPr fontId="93" type="noConversion"/>
  <conditionalFormatting sqref="AN9:AN24 AN26 AN28 AN30 AN32 AN34 AN36">
    <cfRule type="duplicateValues" dxfId="0" priority="58"/>
  </conditionalFormatting>
  <pageMargins left="0.7" right="0.7" top="0.75" bottom="0.75" header="0" footer="0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topLeftCell="A21" workbookViewId="0">
      <selection activeCell="G11" sqref="G11"/>
    </sheetView>
  </sheetViews>
  <sheetFormatPr baseColWidth="10" defaultColWidth="14.44140625" defaultRowHeight="15" customHeight="1" x14ac:dyDescent="0.3"/>
  <cols>
    <col min="1" max="2" width="11.44140625" customWidth="1"/>
    <col min="3" max="3" width="21.5546875" customWidth="1"/>
    <col min="4" max="5" width="11.44140625" customWidth="1"/>
    <col min="6" max="6" width="13.88671875" customWidth="1"/>
    <col min="7" max="7" width="22.109375" customWidth="1"/>
    <col min="8" max="8" width="11.44140625" customWidth="1"/>
    <col min="9" max="9" width="18.44140625" customWidth="1"/>
    <col min="10" max="10" width="22" customWidth="1"/>
    <col min="11" max="11" width="24.6640625" customWidth="1"/>
    <col min="12" max="12" width="21.33203125" customWidth="1"/>
    <col min="13" max="13" width="11.44140625" customWidth="1"/>
    <col min="14" max="14" width="10.109375" customWidth="1"/>
    <col min="15" max="15" width="23.6640625" customWidth="1"/>
    <col min="16" max="16" width="8.44140625" customWidth="1"/>
    <col min="17" max="17" width="23.5546875" customWidth="1"/>
    <col min="18" max="18" width="16.33203125" customWidth="1"/>
    <col min="19" max="19" width="28.109375" customWidth="1"/>
    <col min="20" max="38" width="11.44140625" customWidth="1"/>
  </cols>
  <sheetData>
    <row r="1" spans="1:38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ht="14.4" x14ac:dyDescent="0.3">
      <c r="A3" s="1"/>
      <c r="B3" s="1"/>
      <c r="C3" s="1"/>
      <c r="D3" s="1"/>
      <c r="E3" s="1"/>
      <c r="F3" s="1" t="s">
        <v>486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ht="14.4" x14ac:dyDescent="0.3">
      <c r="A4" s="1"/>
      <c r="B4" s="1"/>
      <c r="C4" s="1"/>
      <c r="D4" s="1"/>
      <c r="E4" s="1"/>
      <c r="F4" s="1" t="s">
        <v>480</v>
      </c>
      <c r="G4" s="1"/>
      <c r="H4" s="722"/>
      <c r="I4" s="723"/>
      <c r="J4" s="723"/>
      <c r="K4" s="723"/>
      <c r="L4" s="723"/>
      <c r="M4" s="723"/>
      <c r="N4" s="724"/>
      <c r="O4" s="1"/>
      <c r="P4" s="722"/>
      <c r="Q4" s="723"/>
      <c r="R4" s="723"/>
      <c r="S4" s="723"/>
      <c r="T4" s="723"/>
      <c r="U4" s="723"/>
      <c r="V4" s="724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ht="14.4" x14ac:dyDescent="0.3">
      <c r="A5" s="1"/>
      <c r="B5" s="1"/>
      <c r="C5" s="1"/>
      <c r="D5" s="1"/>
      <c r="E5" s="1"/>
      <c r="F5" s="1"/>
      <c r="G5" s="1"/>
      <c r="H5" s="725"/>
      <c r="I5" s="1"/>
      <c r="J5" s="1"/>
      <c r="K5" s="1"/>
      <c r="L5" s="1"/>
      <c r="M5" s="1"/>
      <c r="N5" s="726"/>
      <c r="O5" s="1"/>
      <c r="P5" s="725"/>
      <c r="Q5" s="1"/>
      <c r="R5" s="1"/>
      <c r="S5" s="1"/>
      <c r="T5" s="1"/>
      <c r="U5" s="1"/>
      <c r="V5" s="726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ht="14.4" x14ac:dyDescent="0.3">
      <c r="A6" s="1"/>
      <c r="B6" s="1"/>
      <c r="C6" s="1"/>
      <c r="D6" s="1"/>
      <c r="E6" s="1"/>
      <c r="F6" s="1"/>
      <c r="G6" s="1"/>
      <c r="H6" s="725"/>
      <c r="I6" s="1"/>
      <c r="J6" s="1017" t="s">
        <v>1498</v>
      </c>
      <c r="K6" s="1016"/>
      <c r="L6" s="985"/>
      <c r="M6" s="727" t="s">
        <v>1499</v>
      </c>
      <c r="N6" s="726"/>
      <c r="O6" s="1"/>
      <c r="P6" s="725"/>
      <c r="Q6" s="1"/>
      <c r="R6" s="1017" t="s">
        <v>1500</v>
      </c>
      <c r="S6" s="1016"/>
      <c r="T6" s="985"/>
      <c r="U6" s="727" t="s">
        <v>1501</v>
      </c>
      <c r="V6" s="726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7.6" x14ac:dyDescent="0.3">
      <c r="A7" s="1"/>
      <c r="B7" s="1"/>
      <c r="C7" s="1"/>
      <c r="D7" s="728" t="s">
        <v>1502</v>
      </c>
      <c r="E7" s="729" t="s">
        <v>1503</v>
      </c>
      <c r="F7" s="730" t="s">
        <v>1499</v>
      </c>
      <c r="G7" s="1"/>
      <c r="H7" s="725"/>
      <c r="I7" s="538"/>
      <c r="J7" s="731" t="s">
        <v>1413</v>
      </c>
      <c r="K7" s="732" t="s">
        <v>1504</v>
      </c>
      <c r="L7" s="733" t="s">
        <v>919</v>
      </c>
      <c r="M7" s="734" t="s">
        <v>919</v>
      </c>
      <c r="N7" s="726"/>
      <c r="O7" s="1"/>
      <c r="P7" s="725"/>
      <c r="Q7" s="538"/>
      <c r="R7" s="731" t="s">
        <v>1413</v>
      </c>
      <c r="S7" s="732" t="s">
        <v>1504</v>
      </c>
      <c r="T7" s="733" t="s">
        <v>919</v>
      </c>
      <c r="U7" s="734" t="s">
        <v>919</v>
      </c>
      <c r="V7" s="726"/>
      <c r="W7" s="1"/>
      <c r="X7" s="1"/>
      <c r="Y7" s="1"/>
      <c r="Z7" s="1"/>
      <c r="AA7" s="1"/>
      <c r="AB7" s="1"/>
      <c r="AC7" s="1"/>
      <c r="AD7" s="1"/>
      <c r="AE7" s="1"/>
    </row>
    <row r="8" spans="1:38" ht="14.4" x14ac:dyDescent="0.3">
      <c r="A8" s="1"/>
      <c r="B8" s="1"/>
      <c r="C8" s="735" t="s">
        <v>1505</v>
      </c>
      <c r="D8" s="736">
        <f>+D9+D10+D11</f>
        <v>38.799999999999997</v>
      </c>
      <c r="E8" s="737"/>
      <c r="F8" s="738"/>
      <c r="G8" s="1"/>
      <c r="H8" s="725"/>
      <c r="I8" s="739" t="s">
        <v>1414</v>
      </c>
      <c r="J8" s="740">
        <f t="shared" ref="J8:L8" si="0">+SUM(J9:J11)</f>
        <v>16.216999999999999</v>
      </c>
      <c r="K8" s="741">
        <f t="shared" si="0"/>
        <v>22.582999999999998</v>
      </c>
      <c r="L8" s="742">
        <f t="shared" si="0"/>
        <v>38.799999999999997</v>
      </c>
      <c r="M8" s="743">
        <f>+SUM(M9:M12)</f>
        <v>1.9</v>
      </c>
      <c r="N8" s="726"/>
      <c r="O8" s="1"/>
      <c r="P8" s="725"/>
      <c r="Q8" s="739" t="s">
        <v>1414</v>
      </c>
      <c r="R8" s="740">
        <f t="shared" ref="R8:T8" si="1">+J8/1000</f>
        <v>1.6216999999999999E-2</v>
      </c>
      <c r="S8" s="741">
        <f t="shared" si="1"/>
        <v>2.2582999999999999E-2</v>
      </c>
      <c r="T8" s="741">
        <f t="shared" si="1"/>
        <v>3.8799999999999994E-2</v>
      </c>
      <c r="U8" s="743">
        <f t="shared" ref="U8:U12" si="2">+M8*(1/1000)*1000</f>
        <v>1.9</v>
      </c>
      <c r="V8" s="726"/>
      <c r="W8" s="1"/>
      <c r="X8" s="1"/>
      <c r="Y8" s="1"/>
      <c r="Z8" s="1"/>
      <c r="AA8" s="1"/>
      <c r="AB8" s="1"/>
      <c r="AC8" s="1"/>
      <c r="AD8" s="1"/>
      <c r="AE8" s="1"/>
    </row>
    <row r="9" spans="1:38" ht="14.4" x14ac:dyDescent="0.3">
      <c r="A9" s="1"/>
      <c r="B9" s="1"/>
      <c r="C9" s="744" t="s">
        <v>1406</v>
      </c>
      <c r="D9" s="656">
        <v>14.3</v>
      </c>
      <c r="E9" s="655">
        <v>0.74</v>
      </c>
      <c r="F9" s="745">
        <v>0.3</v>
      </c>
      <c r="G9" s="1"/>
      <c r="H9" s="725"/>
      <c r="I9" s="746" t="s">
        <v>1406</v>
      </c>
      <c r="J9" s="747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48">
        <v>0.3</v>
      </c>
      <c r="N9" s="726"/>
      <c r="O9" s="1"/>
      <c r="P9" s="725"/>
      <c r="Q9" s="746" t="s">
        <v>1406</v>
      </c>
      <c r="R9" s="747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48">
        <f t="shared" si="2"/>
        <v>0.3</v>
      </c>
      <c r="V9" s="726"/>
      <c r="W9" s="1"/>
      <c r="X9" s="1"/>
      <c r="Y9" s="1"/>
      <c r="Z9" s="1"/>
      <c r="AA9" s="1"/>
      <c r="AB9" s="1"/>
      <c r="AC9" s="1"/>
      <c r="AD9" s="1"/>
      <c r="AE9" s="1"/>
    </row>
    <row r="10" spans="1:38" ht="14.4" x14ac:dyDescent="0.3">
      <c r="A10" s="1"/>
      <c r="B10" s="1"/>
      <c r="C10" s="744" t="s">
        <v>1407</v>
      </c>
      <c r="D10" s="656">
        <v>5.3</v>
      </c>
      <c r="E10" s="655">
        <v>0.23</v>
      </c>
      <c r="F10" s="745">
        <v>0.4</v>
      </c>
      <c r="G10" s="1"/>
      <c r="H10" s="725"/>
      <c r="I10" s="746" t="s">
        <v>1415</v>
      </c>
      <c r="J10" s="747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48">
        <v>0.4</v>
      </c>
      <c r="N10" s="726"/>
      <c r="O10" s="1"/>
      <c r="P10" s="725"/>
      <c r="Q10" s="746" t="s">
        <v>1415</v>
      </c>
      <c r="R10" s="747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48">
        <f t="shared" si="2"/>
        <v>0.4</v>
      </c>
      <c r="V10" s="726"/>
      <c r="W10" s="1"/>
      <c r="X10" s="1"/>
      <c r="Y10" s="1"/>
      <c r="Z10" s="1"/>
      <c r="AA10" s="1"/>
      <c r="AB10" s="1"/>
      <c r="AC10" s="1"/>
      <c r="AD10" s="1"/>
      <c r="AE10" s="1"/>
    </row>
    <row r="11" spans="1:38" ht="14.4" x14ac:dyDescent="0.3">
      <c r="A11" s="1"/>
      <c r="B11" s="1"/>
      <c r="C11" s="744" t="s">
        <v>1408</v>
      </c>
      <c r="D11" s="656">
        <v>19.2</v>
      </c>
      <c r="E11" s="655">
        <v>0.23</v>
      </c>
      <c r="F11" s="745">
        <v>0.5</v>
      </c>
      <c r="G11" s="1"/>
      <c r="H11" s="725"/>
      <c r="I11" s="749" t="s">
        <v>1408</v>
      </c>
      <c r="J11" s="747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48">
        <v>0.5</v>
      </c>
      <c r="N11" s="726"/>
      <c r="O11" s="1"/>
      <c r="P11" s="725"/>
      <c r="Q11" s="749" t="s">
        <v>1408</v>
      </c>
      <c r="R11" s="747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48">
        <f t="shared" si="2"/>
        <v>0.5</v>
      </c>
      <c r="V11" s="726"/>
      <c r="W11" s="1"/>
      <c r="X11" s="1"/>
      <c r="Y11" s="1"/>
      <c r="Z11" s="1"/>
      <c r="AA11" s="1"/>
      <c r="AB11" s="1"/>
      <c r="AC11" s="1"/>
      <c r="AD11" s="1"/>
      <c r="AE11" s="1"/>
    </row>
    <row r="12" spans="1:38" ht="14.4" x14ac:dyDescent="0.3">
      <c r="A12" s="1"/>
      <c r="B12" s="1"/>
      <c r="C12" s="750" t="s">
        <v>1506</v>
      </c>
      <c r="D12" s="751">
        <v>16.100000000000001</v>
      </c>
      <c r="E12" s="752">
        <f>+SUMPRODUCT(D9:D11,E9:E11)</f>
        <v>16.216999999999999</v>
      </c>
      <c r="F12" s="753">
        <v>0.7</v>
      </c>
      <c r="G12" s="1"/>
      <c r="H12" s="725"/>
      <c r="I12" s="754" t="s">
        <v>1416</v>
      </c>
      <c r="J12" s="755">
        <f>+J8</f>
        <v>16.216999999999999</v>
      </c>
      <c r="K12" s="411"/>
      <c r="L12" s="756"/>
      <c r="M12" s="757">
        <v>0.7</v>
      </c>
      <c r="N12" s="726"/>
      <c r="O12" s="1"/>
      <c r="P12" s="725"/>
      <c r="Q12" s="754" t="s">
        <v>1416</v>
      </c>
      <c r="R12" s="755">
        <f>+R8</f>
        <v>1.6216999999999999E-2</v>
      </c>
      <c r="S12" s="411"/>
      <c r="T12" s="756"/>
      <c r="U12" s="757">
        <f t="shared" si="2"/>
        <v>0.7</v>
      </c>
      <c r="V12" s="726"/>
      <c r="W12" s="1"/>
      <c r="X12" s="1"/>
      <c r="Y12" s="1"/>
      <c r="Z12" s="1"/>
      <c r="AA12" s="1"/>
      <c r="AB12" s="1"/>
      <c r="AC12" s="1"/>
      <c r="AD12" s="1"/>
      <c r="AE12" s="1"/>
    </row>
    <row r="13" spans="1:38" ht="14.4" x14ac:dyDescent="0.3">
      <c r="A13" s="1"/>
      <c r="B13" s="1"/>
      <c r="C13" s="1"/>
      <c r="D13" s="758" t="s">
        <v>1502</v>
      </c>
      <c r="E13" s="759" t="s">
        <v>1503</v>
      </c>
      <c r="F13" s="760" t="s">
        <v>1499</v>
      </c>
      <c r="G13" s="1"/>
      <c r="H13" s="725"/>
      <c r="I13" s="1"/>
      <c r="J13" s="1"/>
      <c r="K13" s="1"/>
      <c r="L13" s="1"/>
      <c r="M13" s="1"/>
      <c r="N13" s="726"/>
      <c r="O13" s="1"/>
      <c r="P13" s="725"/>
      <c r="Q13" s="1"/>
      <c r="R13" s="1"/>
      <c r="S13" s="1"/>
      <c r="T13" s="1"/>
      <c r="U13" s="1"/>
      <c r="V13" s="726"/>
      <c r="W13" s="1"/>
      <c r="X13" s="1"/>
      <c r="Y13" s="1"/>
      <c r="Z13" s="1"/>
      <c r="AA13" s="1"/>
      <c r="AB13" s="1"/>
      <c r="AC13" s="1"/>
      <c r="AD13" s="1"/>
      <c r="AE13" s="1"/>
    </row>
    <row r="14" spans="1:38" ht="14.4" x14ac:dyDescent="0.3">
      <c r="A14" s="1"/>
      <c r="B14" s="1"/>
      <c r="C14" s="730" t="s">
        <v>1507</v>
      </c>
      <c r="D14" s="761">
        <v>4</v>
      </c>
      <c r="E14" s="1"/>
      <c r="F14" s="762">
        <v>0.3</v>
      </c>
      <c r="G14" s="1"/>
      <c r="H14" s="725"/>
      <c r="I14" s="1"/>
      <c r="J14" s="1"/>
      <c r="K14" s="1"/>
      <c r="L14" s="1"/>
      <c r="M14" s="1"/>
      <c r="N14" s="726"/>
      <c r="O14" s="1"/>
      <c r="P14" s="725"/>
      <c r="Q14" s="1"/>
      <c r="R14" s="1"/>
      <c r="S14" s="1"/>
      <c r="T14" s="1"/>
      <c r="U14" s="1"/>
      <c r="V14" s="726"/>
      <c r="W14" s="1"/>
      <c r="X14" s="1"/>
      <c r="Y14" s="1"/>
      <c r="Z14" s="1"/>
      <c r="AA14" s="1"/>
      <c r="AB14" s="1"/>
      <c r="AC14" s="1"/>
      <c r="AD14" s="1"/>
      <c r="AE14" s="1"/>
    </row>
    <row r="15" spans="1:38" ht="14.4" x14ac:dyDescent="0.3">
      <c r="A15" s="1"/>
      <c r="B15" s="1"/>
      <c r="C15" s="748" t="s">
        <v>1436</v>
      </c>
      <c r="D15" s="656">
        <v>4.5999999999999996</v>
      </c>
      <c r="E15" s="655">
        <v>1</v>
      </c>
      <c r="F15" s="745">
        <v>0.3</v>
      </c>
      <c r="G15" s="1"/>
      <c r="H15" s="725"/>
      <c r="I15" s="1"/>
      <c r="J15" s="1"/>
      <c r="K15" s="1"/>
      <c r="L15" s="1"/>
      <c r="M15" s="1"/>
      <c r="N15" s="726"/>
      <c r="O15" s="216"/>
      <c r="P15" s="725"/>
      <c r="Q15" s="1"/>
      <c r="R15" s="1"/>
      <c r="S15" s="1"/>
      <c r="T15" s="1"/>
      <c r="U15" s="1"/>
      <c r="V15" s="726"/>
      <c r="W15" s="1"/>
      <c r="X15" s="1"/>
      <c r="Y15" s="1"/>
      <c r="Z15" s="1"/>
      <c r="AA15" s="1"/>
      <c r="AB15" s="1"/>
      <c r="AC15" s="1"/>
      <c r="AD15" s="1"/>
      <c r="AE15" s="1"/>
    </row>
    <row r="16" spans="1:38" ht="14.4" x14ac:dyDescent="0.3">
      <c r="A16" s="1"/>
      <c r="B16" s="1"/>
      <c r="C16" s="748" t="s">
        <v>1438</v>
      </c>
      <c r="D16" s="656">
        <v>3.9</v>
      </c>
      <c r="E16" s="655">
        <v>1</v>
      </c>
      <c r="F16" s="745">
        <v>0.3</v>
      </c>
      <c r="G16" s="1"/>
      <c r="H16" s="725"/>
      <c r="I16" s="1"/>
      <c r="J16" s="763" t="s">
        <v>1498</v>
      </c>
      <c r="K16" s="727" t="s">
        <v>1499</v>
      </c>
      <c r="L16" s="1"/>
      <c r="M16" s="1"/>
      <c r="N16" s="726"/>
      <c r="O16" s="1"/>
      <c r="P16" s="725"/>
      <c r="Q16" s="1"/>
      <c r="R16" s="763" t="s">
        <v>1500</v>
      </c>
      <c r="S16" s="727" t="s">
        <v>1499</v>
      </c>
      <c r="T16" s="1"/>
      <c r="U16" s="1"/>
      <c r="V16" s="726"/>
      <c r="W16" s="1"/>
      <c r="X16" s="1"/>
      <c r="Y16" s="1"/>
      <c r="Z16" s="1"/>
      <c r="AA16" s="1"/>
      <c r="AB16" s="1"/>
      <c r="AC16" s="1"/>
      <c r="AD16" s="1"/>
      <c r="AE16" s="1"/>
    </row>
    <row r="17" spans="1:38" ht="14.4" x14ac:dyDescent="0.3">
      <c r="A17" s="1"/>
      <c r="B17" s="1"/>
      <c r="C17" s="757" t="s">
        <v>1508</v>
      </c>
      <c r="D17" s="656">
        <v>1.1000000000000001</v>
      </c>
      <c r="E17" s="655">
        <v>1</v>
      </c>
      <c r="F17" s="753">
        <v>0.3</v>
      </c>
      <c r="G17" s="1"/>
      <c r="H17" s="725"/>
      <c r="I17" s="751" t="s">
        <v>1509</v>
      </c>
      <c r="J17" s="764">
        <v>4</v>
      </c>
      <c r="K17" s="765">
        <v>0.3</v>
      </c>
      <c r="L17" s="1"/>
      <c r="M17" s="1"/>
      <c r="N17" s="726"/>
      <c r="O17" s="1"/>
      <c r="P17" s="725"/>
      <c r="Q17" s="751" t="s">
        <v>1509</v>
      </c>
      <c r="R17" s="764">
        <f t="shared" ref="R17:R20" si="9">+J17/1000</f>
        <v>4.0000000000000001E-3</v>
      </c>
      <c r="S17" s="765">
        <f t="shared" ref="S17:S20" si="10">+K17*1000/1000</f>
        <v>0.3</v>
      </c>
      <c r="T17" s="1"/>
      <c r="U17" s="1"/>
      <c r="V17" s="726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ht="14.4" x14ac:dyDescent="0.3">
      <c r="A18" s="1"/>
      <c r="B18" s="1"/>
      <c r="C18" s="1"/>
      <c r="D18" s="758" t="s">
        <v>1502</v>
      </c>
      <c r="E18" s="759" t="s">
        <v>1503</v>
      </c>
      <c r="F18" s="760" t="s">
        <v>1499</v>
      </c>
      <c r="G18" s="1"/>
      <c r="H18" s="725"/>
      <c r="I18" s="746" t="s">
        <v>1510</v>
      </c>
      <c r="J18" s="766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6"/>
      <c r="O18" s="1"/>
      <c r="P18" s="725"/>
      <c r="Q18" s="746" t="s">
        <v>1510</v>
      </c>
      <c r="R18" s="766">
        <f t="shared" si="9"/>
        <v>4.5999999999999999E-3</v>
      </c>
      <c r="S18" s="321">
        <f t="shared" si="10"/>
        <v>0.3</v>
      </c>
      <c r="T18" s="1"/>
      <c r="U18" s="1"/>
      <c r="V18" s="726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ht="14.4" x14ac:dyDescent="0.3">
      <c r="A19" s="1"/>
      <c r="B19" s="1"/>
      <c r="C19" s="735" t="s">
        <v>1511</v>
      </c>
      <c r="D19" s="767">
        <f>+SUM(D20:D26)</f>
        <v>84.449999999999989</v>
      </c>
      <c r="E19" s="729"/>
      <c r="F19" s="762">
        <f>+SUM(F20:F27)</f>
        <v>5.6703000000000001</v>
      </c>
      <c r="G19" s="1"/>
      <c r="H19" s="725"/>
      <c r="I19" s="746" t="s">
        <v>1512</v>
      </c>
      <c r="J19" s="766">
        <f t="shared" si="11"/>
        <v>3.9</v>
      </c>
      <c r="K19" s="321">
        <f t="shared" si="12"/>
        <v>0.3</v>
      </c>
      <c r="L19" s="1"/>
      <c r="M19" s="1"/>
      <c r="N19" s="726"/>
      <c r="O19" s="1"/>
      <c r="P19" s="725"/>
      <c r="Q19" s="746" t="s">
        <v>1512</v>
      </c>
      <c r="R19" s="766">
        <f t="shared" si="9"/>
        <v>3.8999999999999998E-3</v>
      </c>
      <c r="S19" s="321">
        <f t="shared" si="10"/>
        <v>0.3</v>
      </c>
      <c r="T19" s="1"/>
      <c r="U19" s="1"/>
      <c r="V19" s="726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ht="14.4" x14ac:dyDescent="0.3">
      <c r="A20" s="1"/>
      <c r="B20" s="1"/>
      <c r="C20" s="744" t="s">
        <v>1472</v>
      </c>
      <c r="D20" s="656">
        <v>0.5</v>
      </c>
      <c r="E20" s="655"/>
      <c r="F20" s="745">
        <v>0.03</v>
      </c>
      <c r="G20" s="1"/>
      <c r="H20" s="725"/>
      <c r="I20" s="749" t="s">
        <v>1513</v>
      </c>
      <c r="J20" s="768">
        <f t="shared" si="11"/>
        <v>1.1000000000000001</v>
      </c>
      <c r="K20" s="325">
        <f t="shared" si="12"/>
        <v>0.3</v>
      </c>
      <c r="L20" s="1"/>
      <c r="M20" s="1"/>
      <c r="N20" s="726"/>
      <c r="O20" s="1"/>
      <c r="P20" s="725"/>
      <c r="Q20" s="749" t="s">
        <v>1513</v>
      </c>
      <c r="R20" s="768">
        <f t="shared" si="9"/>
        <v>1.1000000000000001E-3</v>
      </c>
      <c r="S20" s="325">
        <f t="shared" si="10"/>
        <v>0.3</v>
      </c>
      <c r="T20" s="1"/>
      <c r="U20" s="1"/>
      <c r="V20" s="726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3">
      <c r="A21" s="1"/>
      <c r="B21" s="1"/>
      <c r="C21" s="744" t="s">
        <v>1514</v>
      </c>
      <c r="D21" s="656">
        <v>0.02</v>
      </c>
      <c r="E21" s="655"/>
      <c r="F21" s="745">
        <v>2.0000000000000001E-4</v>
      </c>
      <c r="G21" s="1"/>
      <c r="H21" s="725"/>
      <c r="I21" s="1"/>
      <c r="J21" s="1"/>
      <c r="K21" s="1"/>
      <c r="L21" s="1"/>
      <c r="M21" s="1"/>
      <c r="N21" s="726"/>
      <c r="O21" s="1"/>
      <c r="P21" s="725"/>
      <c r="Q21" s="1"/>
      <c r="R21" s="1"/>
      <c r="S21" s="1"/>
      <c r="T21" s="1"/>
      <c r="U21" s="1"/>
      <c r="V21" s="726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3">
      <c r="A22" s="1"/>
      <c r="B22" s="1"/>
      <c r="C22" s="744" t="s">
        <v>1515</v>
      </c>
      <c r="D22" s="656">
        <v>0.6</v>
      </c>
      <c r="E22" s="655"/>
      <c r="F22" s="745">
        <v>1E-4</v>
      </c>
      <c r="G22" s="1"/>
      <c r="H22" s="725"/>
      <c r="I22" s="1"/>
      <c r="J22" s="1"/>
      <c r="K22" s="1"/>
      <c r="L22" s="1"/>
      <c r="M22" s="1"/>
      <c r="N22" s="726"/>
      <c r="O22" s="1"/>
      <c r="P22" s="725"/>
      <c r="Q22" s="1"/>
      <c r="R22" s="1"/>
      <c r="S22" s="1"/>
      <c r="T22" s="1"/>
      <c r="U22" s="1"/>
      <c r="V22" s="726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3">
      <c r="A23" s="1"/>
      <c r="B23" s="1"/>
      <c r="C23" s="744" t="s">
        <v>1516</v>
      </c>
      <c r="D23" s="656">
        <v>11.8</v>
      </c>
      <c r="E23" s="655"/>
      <c r="F23" s="745">
        <v>0.25</v>
      </c>
      <c r="G23" s="1"/>
      <c r="H23" s="725"/>
      <c r="I23" s="1"/>
      <c r="J23" s="1"/>
      <c r="K23" s="1"/>
      <c r="L23" s="1"/>
      <c r="M23" s="1"/>
      <c r="N23" s="726"/>
      <c r="O23" s="1"/>
      <c r="P23" s="725"/>
      <c r="Q23" s="1"/>
      <c r="R23" s="1"/>
      <c r="S23" s="1"/>
      <c r="T23" s="1"/>
      <c r="U23" s="1"/>
      <c r="V23" s="726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3">
      <c r="A24" s="1"/>
      <c r="B24" s="1"/>
      <c r="C24" s="744" t="s">
        <v>1517</v>
      </c>
      <c r="D24" s="656">
        <v>11.83</v>
      </c>
      <c r="E24" s="655"/>
      <c r="F24" s="745">
        <v>0.17</v>
      </c>
      <c r="G24" s="1"/>
      <c r="H24" s="725"/>
      <c r="I24" s="1"/>
      <c r="J24" s="62" t="s">
        <v>1498</v>
      </c>
      <c r="K24" s="62" t="s">
        <v>1499</v>
      </c>
      <c r="L24" s="1"/>
      <c r="M24" s="1"/>
      <c r="N24" s="726"/>
      <c r="O24" s="1"/>
      <c r="P24" s="725"/>
      <c r="Q24" s="1"/>
      <c r="R24" s="62" t="s">
        <v>1500</v>
      </c>
      <c r="S24" s="62" t="s">
        <v>1499</v>
      </c>
      <c r="T24" s="1"/>
      <c r="U24" s="1"/>
      <c r="V24" s="726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3">
      <c r="A25" s="1"/>
      <c r="B25" s="1"/>
      <c r="C25" s="744" t="s">
        <v>1518</v>
      </c>
      <c r="D25" s="656">
        <v>32.799999999999997</v>
      </c>
      <c r="E25" s="655">
        <v>0.99</v>
      </c>
      <c r="F25" s="745">
        <v>1.75</v>
      </c>
      <c r="G25" s="1"/>
      <c r="H25" s="725"/>
      <c r="I25" s="758" t="s">
        <v>1511</v>
      </c>
      <c r="J25" s="763">
        <v>84.45</v>
      </c>
      <c r="K25" s="760">
        <f>+SUM(F20:F27)</f>
        <v>5.6703000000000001</v>
      </c>
      <c r="L25" s="1"/>
      <c r="M25" s="1"/>
      <c r="N25" s="726"/>
      <c r="O25" s="1"/>
      <c r="P25" s="725"/>
      <c r="Q25" s="758" t="s">
        <v>1511</v>
      </c>
      <c r="R25" s="763">
        <f t="shared" ref="R25:R27" si="13">+J25/1000</f>
        <v>8.4449999999999997E-2</v>
      </c>
      <c r="S25" s="760">
        <f t="shared" ref="S25:S27" si="14">+K25*1000/1000</f>
        <v>5.6703000000000001</v>
      </c>
      <c r="T25" s="1"/>
      <c r="U25" s="1"/>
      <c r="V25" s="726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3">
      <c r="A26" s="1"/>
      <c r="B26" s="1"/>
      <c r="C26" s="744" t="s">
        <v>1519</v>
      </c>
      <c r="D26" s="656">
        <v>26.9</v>
      </c>
      <c r="E26" s="655">
        <v>0.54</v>
      </c>
      <c r="F26" s="745">
        <v>0.56000000000000005</v>
      </c>
      <c r="G26" s="1"/>
      <c r="H26" s="725"/>
      <c r="I26" s="747" t="s">
        <v>1520</v>
      </c>
      <c r="J26" s="748">
        <f>+SUM(D20:D26)</f>
        <v>84.449999999999989</v>
      </c>
      <c r="K26" s="745">
        <f>+SUM(F20:F26)</f>
        <v>2.7603</v>
      </c>
      <c r="L26" s="1"/>
      <c r="M26" s="1"/>
      <c r="N26" s="726"/>
      <c r="O26" s="1"/>
      <c r="P26" s="725"/>
      <c r="Q26" s="747" t="s">
        <v>1520</v>
      </c>
      <c r="R26" s="748">
        <f t="shared" si="13"/>
        <v>8.4449999999999983E-2</v>
      </c>
      <c r="S26" s="745">
        <f t="shared" si="14"/>
        <v>2.7603</v>
      </c>
      <c r="T26" s="1"/>
      <c r="U26" s="1"/>
      <c r="V26" s="72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3">
      <c r="A27" s="1"/>
      <c r="B27" s="1"/>
      <c r="C27" s="750" t="s">
        <v>1521</v>
      </c>
      <c r="D27" s="751">
        <v>64.400000000000006</v>
      </c>
      <c r="E27" s="769">
        <f>+SUMPRODUCT(D25:D26,E25:E26)</f>
        <v>46.99799999999999</v>
      </c>
      <c r="F27" s="753">
        <v>2.91</v>
      </c>
      <c r="G27" s="1"/>
      <c r="H27" s="725"/>
      <c r="I27" s="770" t="s">
        <v>1522</v>
      </c>
      <c r="J27" s="771">
        <f>+D27</f>
        <v>64.400000000000006</v>
      </c>
      <c r="K27" s="753">
        <f>+F27</f>
        <v>2.91</v>
      </c>
      <c r="L27" s="1"/>
      <c r="M27" s="1"/>
      <c r="N27" s="726"/>
      <c r="O27" s="1"/>
      <c r="P27" s="725"/>
      <c r="Q27" s="770" t="s">
        <v>1522</v>
      </c>
      <c r="R27" s="771">
        <f t="shared" si="13"/>
        <v>6.4399999999999999E-2</v>
      </c>
      <c r="S27" s="753">
        <f t="shared" si="14"/>
        <v>2.91</v>
      </c>
      <c r="T27" s="1"/>
      <c r="U27" s="1"/>
      <c r="V27" s="726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3">
      <c r="A28" s="1"/>
      <c r="B28" s="1"/>
      <c r="C28" s="1"/>
      <c r="D28" s="1"/>
      <c r="E28" s="1"/>
      <c r="F28" s="1"/>
      <c r="G28" s="1"/>
      <c r="H28" s="725"/>
      <c r="I28" s="1"/>
      <c r="J28" s="1"/>
      <c r="K28" s="1"/>
      <c r="L28" s="1"/>
      <c r="M28" s="1"/>
      <c r="N28" s="726"/>
      <c r="O28" s="1"/>
      <c r="P28" s="725"/>
      <c r="Q28" s="1"/>
      <c r="R28" s="1"/>
      <c r="S28" s="1"/>
      <c r="T28" s="1"/>
      <c r="U28" s="1"/>
      <c r="V28" s="726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3">
      <c r="A29" s="1"/>
      <c r="B29" s="1"/>
      <c r="C29" s="1"/>
      <c r="D29" s="1"/>
      <c r="E29" s="1"/>
      <c r="F29" s="1"/>
      <c r="G29" s="1"/>
      <c r="H29" s="772"/>
      <c r="I29" s="773"/>
      <c r="J29" s="773"/>
      <c r="K29" s="773"/>
      <c r="L29" s="773"/>
      <c r="M29" s="773"/>
      <c r="N29" s="774"/>
      <c r="O29" s="1"/>
      <c r="P29" s="772"/>
      <c r="Q29" s="773"/>
      <c r="R29" s="773"/>
      <c r="S29" s="773"/>
      <c r="T29" s="773"/>
      <c r="U29" s="773"/>
      <c r="V29" s="774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3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3">
      <c r="A50" s="1"/>
      <c r="B50" s="1"/>
      <c r="C50" s="1"/>
      <c r="D50" s="1" t="s">
        <v>1523</v>
      </c>
      <c r="E50" s="1"/>
      <c r="F50" s="2" t="s">
        <v>480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3">
      <c r="A51" s="1"/>
      <c r="B51" s="1"/>
      <c r="C51" s="775" t="s">
        <v>1505</v>
      </c>
      <c r="D51" s="776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3">
      <c r="A52" s="1"/>
      <c r="B52" s="1"/>
      <c r="C52" s="744" t="s">
        <v>1406</v>
      </c>
      <c r="D52" s="777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3">
      <c r="A53" s="1"/>
      <c r="B53" s="1"/>
      <c r="C53" s="744" t="s">
        <v>1407</v>
      </c>
      <c r="D53" s="777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3">
      <c r="A54" s="1"/>
      <c r="B54" s="1"/>
      <c r="C54" s="744" t="s">
        <v>1408</v>
      </c>
      <c r="D54" s="777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3">
      <c r="A55" s="1"/>
      <c r="B55" s="1"/>
      <c r="C55" s="750" t="s">
        <v>1506</v>
      </c>
      <c r="D55" s="756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3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topLeftCell="A4" workbookViewId="0"/>
  </sheetViews>
  <sheetFormatPr baseColWidth="10" defaultColWidth="14.44140625" defaultRowHeight="15" customHeight="1" x14ac:dyDescent="0.3"/>
  <cols>
    <col min="1" max="2" width="10.6640625" customWidth="1"/>
    <col min="3" max="3" width="25.109375" customWidth="1"/>
    <col min="4" max="8" width="10.6640625" customWidth="1"/>
    <col min="9" max="9" width="23.109375" customWidth="1"/>
    <col min="10" max="10" width="10.88671875" customWidth="1"/>
    <col min="11" max="26" width="10.6640625" customWidth="1"/>
  </cols>
  <sheetData>
    <row r="4" spans="2:17" ht="14.4" x14ac:dyDescent="0.3">
      <c r="D4" s="14" t="str">
        <f>'5. Data'!D4</f>
        <v>PCI</v>
      </c>
      <c r="E4" s="14" t="str">
        <f>'5. Data'!E4</f>
        <v>F.E. CO2eq</v>
      </c>
    </row>
    <row r="5" spans="2:17" ht="14.4" x14ac:dyDescent="0.3">
      <c r="D5" s="14"/>
      <c r="E5" s="14" t="str">
        <f>'5. Data'!E5</f>
        <v>kt/PJ</v>
      </c>
      <c r="I5" s="1048" t="s">
        <v>1524</v>
      </c>
      <c r="J5" s="990"/>
      <c r="K5" s="990"/>
      <c r="L5" s="990"/>
      <c r="M5" s="990"/>
      <c r="N5" s="990"/>
      <c r="O5" s="990"/>
      <c r="P5" s="990"/>
      <c r="Q5" s="990"/>
    </row>
    <row r="6" spans="2:17" ht="14.4" x14ac:dyDescent="0.3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78"/>
      <c r="J6" s="778">
        <v>2014</v>
      </c>
      <c r="K6" s="778">
        <v>2015</v>
      </c>
      <c r="L6" s="778">
        <v>2016</v>
      </c>
      <c r="M6" s="778">
        <v>2017</v>
      </c>
      <c r="N6" s="778">
        <v>2018</v>
      </c>
      <c r="O6" s="778">
        <v>2019</v>
      </c>
      <c r="P6" s="778">
        <v>2020</v>
      </c>
      <c r="Q6" s="778">
        <v>2021</v>
      </c>
    </row>
    <row r="7" spans="2:17" ht="14.4" x14ac:dyDescent="0.3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79" t="s">
        <v>1525</v>
      </c>
      <c r="J7" s="103">
        <v>1972</v>
      </c>
      <c r="K7" s="103">
        <v>2084</v>
      </c>
      <c r="L7" s="103">
        <v>1849</v>
      </c>
      <c r="M7" s="779">
        <v>1598</v>
      </c>
      <c r="N7" s="779">
        <v>1659</v>
      </c>
      <c r="O7" s="779">
        <v>1727</v>
      </c>
      <c r="P7" s="779">
        <v>1893</v>
      </c>
      <c r="Q7" s="779">
        <v>1770</v>
      </c>
    </row>
    <row r="8" spans="2:17" ht="14.4" x14ac:dyDescent="0.3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1526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ht="14.4" x14ac:dyDescent="0.3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1527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ht="14.4" x14ac:dyDescent="0.3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1528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ht="14.4" x14ac:dyDescent="0.3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1529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ht="14.4" x14ac:dyDescent="0.3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0" t="s">
        <v>935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ht="14.4" x14ac:dyDescent="0.3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1530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ht="14.4" x14ac:dyDescent="0.3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ht="14.4" x14ac:dyDescent="0.3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1531</v>
      </c>
    </row>
    <row r="16" spans="2:17" ht="14.4" x14ac:dyDescent="0.3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1" t="s">
        <v>1532</v>
      </c>
      <c r="J16" s="40" t="s">
        <v>1022</v>
      </c>
      <c r="K16" s="782">
        <v>0.29699999999999999</v>
      </c>
      <c r="L16" s="40" t="s">
        <v>1022</v>
      </c>
      <c r="M16" s="40" t="s">
        <v>1022</v>
      </c>
      <c r="N16" s="783">
        <v>0.3</v>
      </c>
      <c r="O16" s="783">
        <v>0.27</v>
      </c>
      <c r="P16" s="783">
        <v>0.28999999999999998</v>
      </c>
      <c r="Q16" s="783">
        <v>0.28000000000000003</v>
      </c>
    </row>
    <row r="17" spans="2:17" ht="14.4" x14ac:dyDescent="0.3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1533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ht="14.4" x14ac:dyDescent="0.3">
      <c r="B18" s="70" t="str">
        <f>'5. Data'!B18</f>
        <v>*Para todos, menos gas natural, las unidades son TJ/Mpc; PJ/kpc</v>
      </c>
      <c r="I18" s="784" t="s">
        <v>1534</v>
      </c>
      <c r="J18" s="49" t="str">
        <f t="shared" ref="J18:Q18" si="2">+IF(J16="-","-",J16*J13)</f>
        <v>-</v>
      </c>
      <c r="K18" s="785">
        <f t="shared" si="2"/>
        <v>548.85599999999999</v>
      </c>
      <c r="L18" s="785" t="str">
        <f t="shared" si="2"/>
        <v>-</v>
      </c>
      <c r="M18" s="785" t="str">
        <f t="shared" si="2"/>
        <v>-</v>
      </c>
      <c r="N18" s="785">
        <f t="shared" si="2"/>
        <v>518.1</v>
      </c>
      <c r="O18" s="785">
        <f t="shared" si="2"/>
        <v>511.11</v>
      </c>
      <c r="P18" s="785">
        <f t="shared" si="2"/>
        <v>513.41599999999994</v>
      </c>
      <c r="Q18" s="785">
        <f t="shared" si="2"/>
        <v>560.42000000000007</v>
      </c>
    </row>
    <row r="20" spans="2:17" ht="14.4" x14ac:dyDescent="0.3">
      <c r="I20" s="786" t="s">
        <v>1535</v>
      </c>
    </row>
    <row r="21" spans="2:17" ht="15.75" customHeight="1" x14ac:dyDescent="0.3">
      <c r="C21" s="12" t="s">
        <v>1254</v>
      </c>
      <c r="D21" s="343">
        <v>6117863200</v>
      </c>
      <c r="E21" s="12" t="s">
        <v>1317</v>
      </c>
      <c r="I21" s="112" t="s">
        <v>1536</v>
      </c>
      <c r="J21" s="787">
        <f t="shared" ref="J21:Q21" si="3">-SUM(J8:J11)/J12</f>
        <v>1.4609053497942386</v>
      </c>
      <c r="K21" s="787">
        <f t="shared" si="3"/>
        <v>5.9760956175298807E-2</v>
      </c>
      <c r="L21" s="787">
        <f t="shared" si="3"/>
        <v>-6.8085106382978725E-2</v>
      </c>
      <c r="M21" s="787">
        <f t="shared" si="3"/>
        <v>1.2606837606837606</v>
      </c>
      <c r="N21" s="787">
        <f t="shared" si="3"/>
        <v>1.2845188284518829</v>
      </c>
      <c r="O21" s="787">
        <f t="shared" si="3"/>
        <v>1.6859504132231404</v>
      </c>
      <c r="P21" s="787">
        <f t="shared" si="3"/>
        <v>0.48050847457627122</v>
      </c>
      <c r="Q21" s="787">
        <f t="shared" si="3"/>
        <v>2.002164502164502</v>
      </c>
    </row>
    <row r="22" spans="2:17" ht="15.75" customHeight="1" x14ac:dyDescent="0.3">
      <c r="C22" s="12" t="s">
        <v>1254</v>
      </c>
      <c r="D22" s="343">
        <f>+D21*1000/(1000000000000)</f>
        <v>6.1178632000000004</v>
      </c>
      <c r="E22" s="12" t="s">
        <v>1238</v>
      </c>
      <c r="I22" s="12" t="s">
        <v>1537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3">
      <c r="D23" s="12">
        <v>5800</v>
      </c>
      <c r="E23" s="12" t="s">
        <v>1538</v>
      </c>
      <c r="I23" s="12" t="s">
        <v>1539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3">
      <c r="I24" s="12" t="s">
        <v>1540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3">
      <c r="I25" s="118" t="s">
        <v>1541</v>
      </c>
      <c r="J25" s="788">
        <f t="shared" ref="J25:Q25" si="7">-J11/J12</f>
        <v>0</v>
      </c>
      <c r="K25" s="788">
        <f t="shared" si="7"/>
        <v>0</v>
      </c>
      <c r="L25" s="788">
        <f t="shared" si="7"/>
        <v>0</v>
      </c>
      <c r="M25" s="788">
        <f t="shared" si="7"/>
        <v>0.18803418803418803</v>
      </c>
      <c r="N25" s="788">
        <f t="shared" si="7"/>
        <v>0.2384937238493724</v>
      </c>
      <c r="O25" s="788">
        <f t="shared" si="7"/>
        <v>0.27685950413223143</v>
      </c>
      <c r="P25" s="788">
        <f t="shared" si="7"/>
        <v>0.12245762711864407</v>
      </c>
      <c r="Q25" s="788">
        <f t="shared" si="7"/>
        <v>-1.5151515151515152E-2</v>
      </c>
    </row>
    <row r="26" spans="2:17" ht="15.75" customHeight="1" x14ac:dyDescent="0.3"/>
    <row r="27" spans="2:17" ht="15.75" customHeight="1" x14ac:dyDescent="0.3">
      <c r="I27" s="778" t="s">
        <v>1542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3">
      <c r="I28" s="12" t="s">
        <v>1358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3"/>
    <row r="30" spans="2:17" ht="15.75" customHeight="1" x14ac:dyDescent="0.3"/>
    <row r="31" spans="2:17" ht="15.75" customHeight="1" x14ac:dyDescent="0.3"/>
    <row r="32" spans="2:17" ht="15.75" customHeight="1" x14ac:dyDescent="0.3"/>
    <row r="33" spans="9:17" ht="15.75" customHeight="1" x14ac:dyDescent="0.3">
      <c r="I33" s="99" t="s">
        <v>1543</v>
      </c>
      <c r="J33" s="99"/>
      <c r="K33" s="99"/>
      <c r="L33" s="99"/>
      <c r="M33" s="99"/>
    </row>
    <row r="34" spans="9:17" ht="15.75" customHeight="1" x14ac:dyDescent="0.3"/>
    <row r="35" spans="9:17" ht="15.75" customHeight="1" x14ac:dyDescent="0.3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3">
      <c r="I36" s="99" t="s">
        <v>1544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3">
      <c r="I37" s="99" t="s">
        <v>1545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3">
      <c r="I38" s="99" t="s">
        <v>1546</v>
      </c>
      <c r="M38" s="205">
        <f>(1840*(1000000000)/D23)/1000000</f>
        <v>317.24137931034483</v>
      </c>
    </row>
    <row r="39" spans="9:17" ht="15.75" customHeight="1" x14ac:dyDescent="0.3"/>
    <row r="40" spans="9:17" ht="15.75" customHeight="1" x14ac:dyDescent="0.3"/>
    <row r="41" spans="9:17" ht="15.75" customHeight="1" x14ac:dyDescent="0.3"/>
    <row r="42" spans="9:17" ht="15.75" customHeight="1" x14ac:dyDescent="0.3"/>
    <row r="43" spans="9:17" ht="15.75" customHeight="1" x14ac:dyDescent="0.3"/>
    <row r="44" spans="9:17" ht="15.75" customHeight="1" x14ac:dyDescent="0.3">
      <c r="I44" s="1048" t="s">
        <v>1547</v>
      </c>
      <c r="J44" s="990"/>
      <c r="K44" s="990"/>
      <c r="L44" s="990"/>
      <c r="M44" s="990"/>
      <c r="N44" s="990"/>
      <c r="O44" s="990"/>
      <c r="P44" s="990"/>
      <c r="Q44" s="99"/>
    </row>
    <row r="45" spans="9:17" ht="15.75" customHeight="1" x14ac:dyDescent="0.3">
      <c r="I45" s="118"/>
      <c r="J45" s="1049" t="s">
        <v>1548</v>
      </c>
      <c r="K45" s="990"/>
      <c r="L45" s="1049" t="s">
        <v>1549</v>
      </c>
      <c r="M45" s="988"/>
      <c r="N45" s="789"/>
      <c r="O45" s="49" t="s">
        <v>1550</v>
      </c>
      <c r="P45" s="790" t="s">
        <v>1549</v>
      </c>
    </row>
    <row r="46" spans="9:17" ht="15.75" customHeight="1" x14ac:dyDescent="0.3">
      <c r="I46" s="12" t="s">
        <v>1551</v>
      </c>
      <c r="J46" s="14">
        <v>2234</v>
      </c>
      <c r="K46" s="14" t="s">
        <v>1552</v>
      </c>
      <c r="L46" s="402">
        <f>+('5. Data'!AF100+'5. Data'!AF101)*$D$7</f>
        <v>1575.8267249675596</v>
      </c>
      <c r="M46" s="14" t="s">
        <v>1552</v>
      </c>
      <c r="N46" s="791" t="s">
        <v>1551</v>
      </c>
      <c r="O46" s="295">
        <f t="shared" ref="O46:O51" si="10">+J46/$J$53</f>
        <v>0.59700694815606625</v>
      </c>
      <c r="P46" s="792">
        <f>+L46/$L$53</f>
        <v>0.83055506880816976</v>
      </c>
    </row>
    <row r="47" spans="9:17" ht="15.75" customHeight="1" x14ac:dyDescent="0.3">
      <c r="I47" s="12" t="s">
        <v>1187</v>
      </c>
      <c r="J47" s="14">
        <v>508</v>
      </c>
      <c r="K47" s="14" t="s">
        <v>1552</v>
      </c>
      <c r="L47" s="14" t="s">
        <v>1022</v>
      </c>
      <c r="M47" s="14"/>
      <c r="N47" s="791" t="s">
        <v>1187</v>
      </c>
      <c r="O47" s="295">
        <f t="shared" si="10"/>
        <v>0.13575628006413681</v>
      </c>
      <c r="P47" s="792" t="s">
        <v>1022</v>
      </c>
    </row>
    <row r="48" spans="9:17" ht="15.75" customHeight="1" x14ac:dyDescent="0.3">
      <c r="I48" s="12" t="s">
        <v>1145</v>
      </c>
      <c r="J48" s="14">
        <v>584</v>
      </c>
      <c r="K48" s="14" t="s">
        <v>1552</v>
      </c>
      <c r="L48" s="402">
        <f>+'5. Data'!AF99-'5. Data'!AF69</f>
        <v>243.24624083200007</v>
      </c>
      <c r="M48" s="14" t="s">
        <v>1552</v>
      </c>
      <c r="N48" s="791" t="s">
        <v>1145</v>
      </c>
      <c r="O48" s="295">
        <f t="shared" si="10"/>
        <v>0.15606627471940138</v>
      </c>
      <c r="P48" s="792">
        <f t="shared" ref="P48:P52" si="11">+L48/$L$53</f>
        <v>0.12820533824599878</v>
      </c>
    </row>
    <row r="49" spans="9:16" ht="15.75" customHeight="1" x14ac:dyDescent="0.3">
      <c r="I49" s="12" t="s">
        <v>1170</v>
      </c>
      <c r="J49" s="14">
        <v>226</v>
      </c>
      <c r="K49" s="14" t="s">
        <v>1552</v>
      </c>
      <c r="L49" s="402">
        <f>+'5. Data'!AF103</f>
        <v>30.707442634670208</v>
      </c>
      <c r="M49" s="14" t="s">
        <v>1552</v>
      </c>
      <c r="N49" s="791" t="s">
        <v>1170</v>
      </c>
      <c r="O49" s="295">
        <f t="shared" si="10"/>
        <v>6.0395510422234101E-2</v>
      </c>
      <c r="P49" s="792">
        <f t="shared" si="11"/>
        <v>1.6184661502606817E-2</v>
      </c>
    </row>
    <row r="50" spans="9:16" ht="15.75" customHeight="1" x14ac:dyDescent="0.3">
      <c r="I50" s="12" t="s">
        <v>1553</v>
      </c>
      <c r="J50" s="14">
        <v>168</v>
      </c>
      <c r="K50" s="14" t="s">
        <v>1552</v>
      </c>
      <c r="L50" s="402">
        <f>+'5. Data'!AF69</f>
        <v>23.492594688000001</v>
      </c>
      <c r="M50" s="14" t="s">
        <v>1552</v>
      </c>
      <c r="N50" s="791" t="s">
        <v>1553</v>
      </c>
      <c r="O50" s="295">
        <f t="shared" si="10"/>
        <v>4.4895777659005882E-2</v>
      </c>
      <c r="P50" s="792">
        <f t="shared" si="11"/>
        <v>1.2382004498607524E-2</v>
      </c>
    </row>
    <row r="51" spans="9:16" ht="15.75" customHeight="1" x14ac:dyDescent="0.3">
      <c r="I51" s="12" t="s">
        <v>1179</v>
      </c>
      <c r="J51" s="14">
        <v>22</v>
      </c>
      <c r="K51" s="14" t="s">
        <v>1552</v>
      </c>
      <c r="L51" s="402">
        <f>+'5. Data'!AF104</f>
        <v>13.932585988360662</v>
      </c>
      <c r="M51" s="14" t="s">
        <v>1552</v>
      </c>
      <c r="N51" s="791" t="s">
        <v>1179</v>
      </c>
      <c r="O51" s="295">
        <f t="shared" si="10"/>
        <v>5.8792089791555322E-3</v>
      </c>
      <c r="P51" s="792">
        <f t="shared" si="11"/>
        <v>7.3433073134845147E-3</v>
      </c>
    </row>
    <row r="52" spans="9:16" ht="15.75" customHeight="1" x14ac:dyDescent="0.3">
      <c r="I52" s="12" t="s">
        <v>1554</v>
      </c>
      <c r="J52" s="49" t="s">
        <v>1022</v>
      </c>
      <c r="K52" s="49"/>
      <c r="L52" s="785">
        <f>+'5. Data'!AF102</f>
        <v>10.111980967983444</v>
      </c>
      <c r="M52" s="790" t="s">
        <v>1552</v>
      </c>
      <c r="N52" s="789" t="s">
        <v>1554</v>
      </c>
      <c r="O52" s="793" t="s">
        <v>1022</v>
      </c>
      <c r="P52" s="794">
        <f t="shared" si="11"/>
        <v>5.3296196311325324E-3</v>
      </c>
    </row>
    <row r="53" spans="9:16" ht="15.75" customHeight="1" x14ac:dyDescent="0.3">
      <c r="J53" s="14">
        <f>+SUM(J46:J51)</f>
        <v>3742</v>
      </c>
      <c r="K53" s="14" t="s">
        <v>1552</v>
      </c>
      <c r="L53" s="402">
        <f>+SUM(L46:L52)</f>
        <v>1897.3175700785741</v>
      </c>
      <c r="M53" s="14" t="s">
        <v>1552</v>
      </c>
    </row>
    <row r="54" spans="9:16" ht="15.75" customHeight="1" x14ac:dyDescent="0.3"/>
    <row r="55" spans="9:16" ht="15.75" customHeight="1" x14ac:dyDescent="0.3"/>
    <row r="56" spans="9:16" ht="15.75" customHeight="1" x14ac:dyDescent="0.3"/>
    <row r="57" spans="9:16" ht="15.75" customHeight="1" x14ac:dyDescent="0.3">
      <c r="I57" s="1048" t="s">
        <v>1555</v>
      </c>
      <c r="J57" s="990"/>
      <c r="K57" s="990"/>
      <c r="L57" s="990"/>
      <c r="M57" s="990"/>
      <c r="N57" s="990"/>
      <c r="O57" s="990"/>
      <c r="P57" s="990"/>
    </row>
    <row r="58" spans="9:16" ht="15.75" customHeight="1" x14ac:dyDescent="0.3">
      <c r="J58" s="795" t="s">
        <v>1556</v>
      </c>
      <c r="K58" s="795" t="s">
        <v>1557</v>
      </c>
      <c r="L58" s="795" t="s">
        <v>1558</v>
      </c>
      <c r="M58" s="796" t="s">
        <v>1556</v>
      </c>
      <c r="N58" s="795" t="s">
        <v>1557</v>
      </c>
      <c r="O58" s="797" t="s">
        <v>1558</v>
      </c>
    </row>
    <row r="59" spans="9:16" ht="15.75" customHeight="1" x14ac:dyDescent="0.3">
      <c r="I59" s="12" t="s">
        <v>1551</v>
      </c>
      <c r="J59" s="214">
        <v>2234</v>
      </c>
      <c r="K59" s="214">
        <v>322</v>
      </c>
      <c r="L59" s="214">
        <v>16</v>
      </c>
      <c r="M59" s="798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3">
      <c r="I60" s="12" t="s">
        <v>1187</v>
      </c>
      <c r="J60" s="214">
        <v>508</v>
      </c>
      <c r="K60" s="214">
        <v>223</v>
      </c>
      <c r="L60" s="214">
        <v>229</v>
      </c>
      <c r="M60" s="798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3">
      <c r="I61" s="12" t="s">
        <v>1145</v>
      </c>
      <c r="J61" s="214">
        <v>584</v>
      </c>
      <c r="K61" s="214">
        <v>22</v>
      </c>
      <c r="L61" s="214">
        <v>22</v>
      </c>
      <c r="M61" s="798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3">
      <c r="I62" s="12" t="s">
        <v>1170</v>
      </c>
      <c r="J62" s="214">
        <v>226</v>
      </c>
      <c r="K62" s="214">
        <v>115</v>
      </c>
      <c r="L62" s="214">
        <v>73</v>
      </c>
      <c r="M62" s="798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3">
      <c r="I63" s="12" t="s">
        <v>1553</v>
      </c>
      <c r="J63" s="214">
        <v>168</v>
      </c>
      <c r="K63" s="214">
        <v>85</v>
      </c>
      <c r="L63" s="214">
        <v>56</v>
      </c>
      <c r="M63" s="798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3">
      <c r="I64" s="12" t="s">
        <v>1179</v>
      </c>
      <c r="J64" s="214">
        <v>22</v>
      </c>
      <c r="K64" s="214">
        <v>0</v>
      </c>
      <c r="L64" s="214">
        <v>0</v>
      </c>
      <c r="M64" s="798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3">
      <c r="I65" s="12" t="s">
        <v>1554</v>
      </c>
      <c r="J65" s="214" t="s">
        <v>1022</v>
      </c>
      <c r="K65" s="214" t="s">
        <v>1022</v>
      </c>
      <c r="L65" s="214" t="s">
        <v>1022</v>
      </c>
      <c r="M65" s="798"/>
      <c r="N65" s="228"/>
      <c r="O65" s="363"/>
    </row>
    <row r="66" spans="9:17" ht="15.75" customHeight="1" x14ac:dyDescent="0.3">
      <c r="I66" s="12" t="s">
        <v>1559</v>
      </c>
      <c r="J66" s="214">
        <v>17</v>
      </c>
      <c r="K66" s="214">
        <v>8</v>
      </c>
      <c r="L66" s="214">
        <v>7</v>
      </c>
      <c r="M66" s="798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3">
      <c r="I67" s="12" t="s">
        <v>1560</v>
      </c>
      <c r="J67" s="214">
        <v>17</v>
      </c>
      <c r="K67" s="214">
        <v>7</v>
      </c>
      <c r="L67" s="214">
        <v>5</v>
      </c>
      <c r="M67" s="798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3">
      <c r="I68" s="12" t="s">
        <v>1561</v>
      </c>
      <c r="J68" s="214">
        <v>7</v>
      </c>
      <c r="K68" s="214">
        <v>9</v>
      </c>
      <c r="L68" s="214">
        <v>2</v>
      </c>
      <c r="M68" s="798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3">
      <c r="I69" s="14" t="s">
        <v>1562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799">
        <f t="shared" ref="M69:O69" si="22">+J69/J$69</f>
        <v>1</v>
      </c>
      <c r="N69" s="788">
        <f t="shared" si="22"/>
        <v>1</v>
      </c>
      <c r="O69" s="800">
        <f t="shared" si="22"/>
        <v>1</v>
      </c>
    </row>
    <row r="70" spans="9:17" ht="15.75" customHeight="1" x14ac:dyDescent="0.3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3"/>
    <row r="72" spans="9:17" ht="15.75" customHeight="1" x14ac:dyDescent="0.3"/>
    <row r="73" spans="9:17" ht="15.75" customHeight="1" x14ac:dyDescent="0.3"/>
    <row r="74" spans="9:17" ht="15.75" customHeight="1" x14ac:dyDescent="0.3"/>
    <row r="75" spans="9:17" ht="15.75" customHeight="1" x14ac:dyDescent="0.3">
      <c r="I75" s="12" t="s">
        <v>1543</v>
      </c>
    </row>
    <row r="76" spans="9:17" ht="15.75" customHeight="1" x14ac:dyDescent="0.3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1">
        <v>2021</v>
      </c>
    </row>
    <row r="77" spans="9:17" ht="15.75" customHeight="1" x14ac:dyDescent="0.3">
      <c r="I77" s="12" t="s">
        <v>1556</v>
      </c>
      <c r="J77" s="12">
        <f>+J69</f>
        <v>3783</v>
      </c>
      <c r="K77" s="12">
        <v>2949</v>
      </c>
      <c r="L77" s="12">
        <v>3164</v>
      </c>
      <c r="M77" s="798">
        <v>1</v>
      </c>
      <c r="N77" s="228">
        <v>1</v>
      </c>
      <c r="O77" s="363">
        <v>1</v>
      </c>
    </row>
    <row r="78" spans="9:17" ht="15.75" customHeight="1" x14ac:dyDescent="0.3">
      <c r="I78" s="12" t="s">
        <v>1557</v>
      </c>
      <c r="J78" s="12">
        <f>+K69</f>
        <v>791</v>
      </c>
      <c r="K78" s="12">
        <v>632</v>
      </c>
      <c r="L78" s="12">
        <v>689</v>
      </c>
      <c r="M78" s="798">
        <f t="shared" ref="M78:O78" si="23">+J78/J77</f>
        <v>0.2090933121860957</v>
      </c>
      <c r="N78" s="798">
        <f t="shared" si="23"/>
        <v>0.21430993557138012</v>
      </c>
      <c r="O78" s="798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3">
      <c r="I79" s="12" t="s">
        <v>1558</v>
      </c>
      <c r="J79" s="12">
        <f>+L69</f>
        <v>410</v>
      </c>
      <c r="K79" s="12">
        <v>450</v>
      </c>
      <c r="L79" s="12">
        <v>640</v>
      </c>
      <c r="M79" s="799">
        <f t="shared" ref="M79:O79" si="25">+J79/J77</f>
        <v>0.10837959291567539</v>
      </c>
      <c r="N79" s="799">
        <f t="shared" si="25"/>
        <v>0.1525940996948118</v>
      </c>
      <c r="O79" s="799">
        <f t="shared" si="25"/>
        <v>0.20227560050568899</v>
      </c>
      <c r="Q79" s="228">
        <f t="shared" si="24"/>
        <v>0.1544164310387254</v>
      </c>
    </row>
    <row r="80" spans="9:17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REF2</vt:lpstr>
      <vt:lpstr>4.2 Ref_Barranca</vt:lpstr>
      <vt:lpstr>4.1 Ref_Cart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2023-03-24T19:49:48Z</dcterms:modified>
</cp:coreProperties>
</file>